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30048" windowHeight="14064" tabRatio="899" firstSheet="10"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r:id="rId43"/>
    <sheet name="面积明细" sheetId="78" r:id="rId44"/>
    <sheet name="土地案例" sheetId="79" r:id="rId45"/>
    <sheet name="土地比较法-换案例" sheetId="80" r:id="rId46"/>
    <sheet name="区片价（范围）" sheetId="75" state="hidden" r:id="rId47"/>
  </sheets>
  <externalReferences>
    <externalReference r:id="rId48"/>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基准地价修正!$A$1:$J$41,基准地价修正!$A$45:$H$88,基准地价修正!$R$1:$V$16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3">[1]定义!$D$1:$D$4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3">'[1]数据-汇总表'!$C$17:$C$26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_xlnm._FilterDatabase" localSheetId="45" hidden="1">'土地比较法-换案例'!$A$1:$L$43</definedName>
    <definedName name="_xlnm.Print_Area" localSheetId="45">'土地比较法-换案例'!$A$1:$K$61,'土地比较法-换案例'!$A$64:$M$121</definedName>
    <definedName name="套工道路等级" localSheetId="45">'土地比较法-换案例'!$B$97:$M$97</definedName>
    <definedName name="套工地质条件" localSheetId="45">'土地比较法-换案例'!$B$114:$M$114</definedName>
    <definedName name="套工土地级别" localSheetId="45">'土地比较法-换案例'!$B$99:$M$99</definedName>
    <definedName name="套工用途" localSheetId="45">'土地比较法-换案例'!$B$70:$M$70</definedName>
    <definedName name="套工宗地开发程度" localSheetId="45">'土地比较法-换案例'!$B$112:$M$112</definedName>
    <definedName name="套工宗地形状" localSheetId="45">'土地比较法-换案例'!$B$110:$M$110</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2"/>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sz val="9"/>
            <rFont val="宋体"/>
            <charset val="134"/>
          </rPr>
          <t xml:space="preserve">地下商业：地上主用途需选商业
地下办公：地上主用途需选办公
地下仓储及车库：按地上主用途计算
</t>
        </r>
      </text>
    </comment>
    <comment ref="G41" authorId="3">
      <text>
        <r>
          <rPr>
            <sz val="9"/>
            <rFont val="宋体"/>
            <charset val="134"/>
          </rPr>
          <t xml:space="preserve">需在此处填写剩余土地年限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2.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<sst xmlns="http://schemas.openxmlformats.org/spreadsheetml/2006/main" count="8059" uniqueCount="2790">
  <si>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</si>
  <si>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</si>
  <si>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</si>
  <si>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</si>
  <si>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</si>
  <si>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</si>
  <si>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</si>
  <si>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</si>
  <si>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</si>
  <si>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</si>
  <si>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</si>
  <si>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</si>
  <si>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</si>
  <si>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</si>
  <si>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</si>
  <si>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</si>
  <si>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</si>
  <si>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</si>
  <si>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</si>
  <si>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</si>
  <si>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</si>
  <si>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</si>
  <si>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</si>
  <si>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</si>
  <si>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</si>
  <si>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</si>
  <si>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</si>
  <si>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</si>
  <si>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</si>
  <si>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</si>
  <si>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</si>
  <si>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</si>
  <si>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</si>
  <si>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</si>
  <si>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</si>
  <si>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</si>
  <si>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</si>
  <si>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</si>
  <si>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</si>
  <si>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</si>
  <si>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</si>
  <si>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</si>
  <si>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</si>
  <si>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</si>
  <si>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</si>
  <si>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</si>
  <si>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</si>
  <si>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</si>
  <si>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</si>
  <si>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</si>
  <si>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</si>
  <si>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</si>
  <si>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</si>
  <si>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</si>
  <si>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</si>
  <si>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</si>
  <si>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</si>
  <si>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</si>
  <si>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</si>
  <si>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</si>
  <si>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</si>
  <si>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</si>
  <si>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</si>
  <si>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</si>
  <si>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</si>
  <si>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</si>
  <si>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</si>
  <si>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</si>
  <si>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</si>
  <si>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</si>
  <si>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</si>
  <si>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</si>
  <si>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</si>
  <si>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</si>
  <si>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</si>
  <si>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</si>
  <si>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</si>
  <si>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</si>
  <si>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</si>
  <si>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</si>
  <si>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</si>
  <si>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</si>
  <si>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</si>
  <si>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</si>
  <si>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</si>
  <si>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</si>
  <si>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</si>
  <si>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</si>
  <si>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</si>
  <si>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</si>
  <si>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</si>
  <si>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</si>
  <si>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</si>
  <si>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</si>
  <si>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</si>
  <si>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</si>
  <si>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</si>
  <si>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</si>
  <si>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</si>
  <si>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</si>
  <si>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</si>
  <si>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</si>
  <si>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</si>
  <si>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</si>
  <si>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</si>
  <si>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</si>
  <si>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</si>
  <si>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</si>
  <si>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</si>
  <si>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</si>
  <si>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</si>
  <si>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</si>
  <si>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</si>
  <si>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</si>
  <si>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</si>
  <si>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</si>
  <si>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</si>
  <si>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</si>
  <si>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</si>
  <si>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</si>
  <si>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</si>
  <si>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</si>
  <si>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</si>
  <si>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</si>
  <si>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</si>
  <si>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</si>
  <si>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</si>
  <si>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</si>
  <si>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</si>
  <si>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</si>
  <si>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</si>
  <si>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</si>
  <si>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</si>
  <si>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</si>
  <si>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</si>
  <si>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</si>
  <si>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</si>
  <si>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</si>
  <si>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</si>
  <si>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</si>
  <si>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</si>
  <si>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</si>
  <si>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</si>
  <si>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</si>
  <si>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</si>
  <si>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</si>
  <si>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</si>
  <si>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</si>
  <si>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</si>
  <si>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</si>
  <si>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</si>
  <si>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</si>
  <si>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</si>
  <si>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</si>
  <si>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</si>
  <si>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</si>
  <si>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</si>
  <si>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</si>
  <si>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</si>
  <si>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</si>
  <si>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</si>
  <si>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</si>
  <si>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</si>
  <si>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</si>
  <si>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</si>
  <si>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</si>
  <si>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</si>
  <si>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</si>
  <si>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</si>
  <si>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</si>
  <si>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</si>
  <si>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</si>
  <si>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</si>
  <si>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</si>
  <si>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</si>
  <si>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</si>
  <si>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</si>
  <si>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</si>
  <si>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</si>
  <si>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</si>
  <si>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</si>
  <si>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</si>
  <si>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</si>
  <si>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</si>
  <si>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</si>
  <si>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</si>
  <si>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</si>
  <si>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</si>
  <si>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</si>
  <si>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</si>
  <si>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</si>
  <si>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</si>
  <si>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</si>
  <si>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</si>
  <si>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</si>
  <si>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</si>
  <si>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</si>
  <si>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</si>
  <si>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</si>
  <si>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</si>
  <si>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</si>
  <si>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</si>
  <si>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</si>
  <si>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</si>
  <si>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</si>
  <si>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</si>
  <si>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</si>
  <si>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</si>
  <si>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</si>
  <si>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r>
      <rPr>
        <sz val="11"/>
        <color indexed="8"/>
        <rFont val="宋体"/>
        <charset val="134"/>
        <scheme val="minor"/>
      </rPr>
      <t>判定</t>
    </r>
  </si>
  <si>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</si>
  <si>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</si>
  <si>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</si>
  <si>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</si>
  <si>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</si>
  <si>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</si>
  <si>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</si>
  <si>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</si>
  <si>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</si>
  <si>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</si>
  <si>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</si>
  <si>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</si>
  <si>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</si>
  <si>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</si>
  <si>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</si>
  <si>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</si>
  <si>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</si>
  <si>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</si>
  <si>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</si>
  <si>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</si>
  <si>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</si>
  <si>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</si>
  <si>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</si>
  <si>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r>
      <rPr>
        <sz val="11"/>
        <color theme="1"/>
        <rFont val="宋体"/>
        <charset val="134"/>
        <scheme val="minor"/>
      </rPr>
      <t>60-70</t>
    </r>
    <r>
      <rPr>
        <sz val="11"/>
        <color indexed="8"/>
        <rFont val="宋体"/>
        <charset val="134"/>
        <scheme val="minor"/>
      </rPr>
      <t>（含）</t>
    </r>
  </si>
  <si>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</si>
  <si>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</si>
  <si>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</si>
  <si>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</si>
  <si>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</si>
  <si>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</si>
  <si>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</si>
  <si>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</si>
  <si>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</si>
  <si>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r>
      <rPr>
        <sz val="11"/>
        <color theme="1"/>
        <rFont val="宋体"/>
        <charset val="134"/>
        <scheme val="minor"/>
      </rPr>
      <t>50-60</t>
    </r>
    <r>
      <rPr>
        <sz val="11"/>
        <color indexed="8"/>
        <rFont val="宋体"/>
        <charset val="134"/>
        <scheme val="minor"/>
      </rPr>
      <t>（含）</t>
    </r>
  </si>
  <si>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</si>
  <si>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</si>
  <si>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</si>
  <si>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</si>
  <si>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</si>
  <si>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</si>
  <si>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</si>
  <si>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</si>
  <si>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</si>
  <si>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r>
      <rPr>
        <sz val="11"/>
        <color theme="1"/>
        <rFont val="宋体"/>
        <charset val="134"/>
        <scheme val="minor"/>
      </rPr>
      <t>40-50</t>
    </r>
    <r>
      <rPr>
        <sz val="11"/>
        <color indexed="8"/>
        <rFont val="宋体"/>
        <charset val="134"/>
        <scheme val="minor"/>
      </rPr>
      <t>（含）</t>
    </r>
  </si>
  <si>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</si>
  <si>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</si>
  <si>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</si>
  <si>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</si>
  <si>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</si>
  <si>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</si>
  <si>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</si>
  <si>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r>
      <rPr>
        <sz val="11"/>
        <color theme="1"/>
        <rFont val="宋体"/>
        <charset val="134"/>
        <scheme val="minor"/>
      </rPr>
      <t>30-40</t>
    </r>
    <r>
      <rPr>
        <sz val="11"/>
        <color indexed="8"/>
        <rFont val="宋体"/>
        <charset val="134"/>
        <scheme val="minor"/>
      </rPr>
      <t>（含）</t>
    </r>
  </si>
  <si>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</si>
  <si>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</si>
  <si>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</si>
  <si>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</si>
  <si>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</si>
  <si>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</si>
  <si>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r>
      <rPr>
        <sz val="11"/>
        <color theme="1"/>
        <rFont val="宋体"/>
        <charset val="134"/>
        <scheme val="minor"/>
      </rPr>
      <t>20-30</t>
    </r>
    <r>
      <rPr>
        <sz val="11"/>
        <color indexed="8"/>
        <rFont val="宋体"/>
        <charset val="134"/>
        <scheme val="minor"/>
      </rPr>
      <t>（含）</t>
    </r>
  </si>
  <si>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</si>
  <si>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</si>
  <si>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</si>
  <si>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</si>
  <si>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</si>
  <si>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</si>
  <si>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r>
      <rPr>
        <sz val="11"/>
        <color theme="1"/>
        <rFont val="宋体"/>
        <charset val="134"/>
        <scheme val="minor"/>
      </rPr>
      <t>10-20</t>
    </r>
    <r>
      <rPr>
        <sz val="11"/>
        <color indexed="8"/>
        <rFont val="宋体"/>
        <charset val="134"/>
        <scheme val="minor"/>
      </rPr>
      <t>（含）</t>
    </r>
  </si>
  <si>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</si>
  <si>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</si>
  <si>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</si>
  <si>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</si>
  <si>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r>
      <rPr>
        <sz val="11"/>
        <color theme="1"/>
        <rFont val="宋体"/>
        <charset val="134"/>
        <scheme val="minor"/>
      </rPr>
      <t>0-10</t>
    </r>
    <r>
      <rPr>
        <sz val="11"/>
        <color indexed="8"/>
        <rFont val="宋体"/>
        <charset val="134"/>
        <scheme val="minor"/>
      </rPr>
      <t>（含）</t>
    </r>
  </si>
  <si>
    <r>
      <rPr>
        <sz val="11"/>
        <color indexed="8"/>
        <rFont val="宋体"/>
        <charset val="134"/>
        <scheme val="minor"/>
      </rPr>
      <t>联排</t>
    </r>
  </si>
  <si>
    <r>
      <rPr>
        <sz val="11"/>
        <color indexed="8"/>
        <rFont val="宋体"/>
        <charset val="134"/>
        <scheme val="minor"/>
      </rPr>
      <t>比较法-商业</t>
    </r>
  </si>
  <si>
    <t>八级</t>
  </si>
  <si>
    <r>
      <rPr>
        <sz val="11"/>
        <color indexed="8"/>
        <rFont val="宋体"/>
        <charset val="134"/>
        <scheme val="minor"/>
      </rPr>
      <t>双拼</t>
    </r>
  </si>
  <si>
    <r>
      <rPr>
        <sz val="11"/>
        <color indexed="8"/>
        <rFont val="宋体"/>
        <charset val="134"/>
        <scheme val="minor"/>
      </rPr>
      <t>比较法-办公</t>
    </r>
  </si>
  <si>
    <t>九级</t>
  </si>
  <si>
    <r>
      <rPr>
        <sz val="11"/>
        <color indexed="8"/>
        <rFont val="宋体"/>
        <charset val="134"/>
        <scheme val="minor"/>
      </rPr>
      <t>独栋</t>
    </r>
  </si>
  <si>
    <r>
      <rPr>
        <sz val="11"/>
        <color indexed="8"/>
        <rFont val="宋体"/>
        <charset val="134"/>
        <scheme val="minor"/>
      </rPr>
      <t>比较法-工业</t>
    </r>
  </si>
  <si>
    <t>十级</t>
  </si>
  <si>
    <r>
      <rPr>
        <sz val="11"/>
        <color indexed="8"/>
        <rFont val="宋体"/>
        <charset val="134"/>
        <scheme val="minor"/>
      </rPr>
      <t>底商</t>
    </r>
  </si>
  <si>
    <r>
      <rPr>
        <sz val="11"/>
        <color indexed="8"/>
        <rFont val="宋体"/>
        <charset val="134"/>
        <scheme val="minor"/>
      </rPr>
      <t>比较法-车位</t>
    </r>
  </si>
  <si>
    <t>十一级</t>
  </si>
  <si>
    <r>
      <rPr>
        <sz val="11"/>
        <color indexed="8"/>
        <rFont val="宋体"/>
        <charset val="134"/>
        <scheme val="minor"/>
      </rPr>
      <t>独立商业</t>
    </r>
  </si>
  <si>
    <r>
      <rPr>
        <sz val="11"/>
        <color indexed="8"/>
        <rFont val="宋体"/>
        <charset val="134"/>
        <scheme val="minor"/>
      </rPr>
      <t>比较法-仓储</t>
    </r>
  </si>
  <si>
    <t>十二级</t>
  </si>
  <si>
    <r>
      <rPr>
        <sz val="11"/>
        <color indexed="8"/>
        <rFont val="宋体"/>
        <charset val="134"/>
        <scheme val="minor"/>
      </rPr>
      <t>商业街</t>
    </r>
  </si>
  <si>
    <r>
      <rPr>
        <sz val="11"/>
        <color indexed="8"/>
        <rFont val="宋体"/>
        <charset val="134"/>
        <scheme val="minor"/>
      </rPr>
      <t>土地比较法-住宅、综合</t>
    </r>
  </si>
  <si>
    <r>
      <rPr>
        <sz val="11"/>
        <color indexed="8"/>
        <rFont val="宋体"/>
        <charset val="134"/>
        <scheme val="minor"/>
      </rPr>
      <t>酒店</t>
    </r>
  </si>
  <si>
    <r>
      <rPr>
        <sz val="11"/>
        <color indexed="8"/>
        <rFont val="宋体"/>
        <charset val="134"/>
        <scheme val="minor"/>
      </rPr>
      <t>土地比较法-工业</t>
    </r>
  </si>
  <si>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</si>
  <si>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</si>
  <si>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</si>
  <si>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</si>
  <si>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</si>
  <si>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</si>
  <si>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</si>
  <si>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</si>
  <si>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</si>
  <si>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</si>
  <si>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</si>
  <si>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</si>
  <si>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</si>
  <si>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</si>
  <si>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</si>
  <si>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</si>
  <si>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</si>
  <si>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</si>
  <si>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</si>
  <si>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</si>
  <si>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</si>
  <si>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</si>
  <si>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</si>
  <si>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</si>
  <si>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</si>
  <si>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</si>
  <si>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</si>
  <si>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</si>
  <si>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</si>
  <si>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</si>
  <si>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</si>
  <si>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</si>
  <si>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</si>
  <si>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</si>
  <si>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</si>
  <si>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</si>
  <si>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</si>
  <si>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</si>
  <si>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</si>
  <si>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</si>
  <si>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</si>
  <si>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</si>
  <si>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</si>
  <si>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</si>
  <si>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</si>
  <si>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</si>
  <si>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</si>
  <si>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t>出让</t>
  </si>
  <si>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</si>
  <si>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</si>
  <si>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</si>
  <si>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</si>
  <si>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</si>
  <si>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</si>
  <si>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</si>
  <si>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</si>
  <si>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</si>
  <si>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</si>
  <si>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</si>
  <si>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</si>
  <si>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</si>
  <si>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</si>
  <si>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</si>
  <si>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</si>
  <si>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</si>
  <si>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</si>
  <si>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</si>
  <si>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</si>
  <si>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</si>
  <si>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</si>
  <si>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</si>
  <si>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</si>
  <si>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</si>
  <si>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</si>
  <si>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</si>
  <si>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</si>
  <si>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</si>
  <si>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</si>
  <si>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</si>
  <si>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</si>
  <si>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</si>
  <si>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</si>
  <si>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</si>
  <si>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</si>
  <si>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</si>
  <si>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</si>
  <si>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</si>
  <si>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</si>
  <si>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</si>
  <si>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</si>
  <si>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</si>
  <si>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t>现房</t>
  </si>
  <si>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</si>
  <si>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</si>
  <si>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</si>
  <si>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</si>
  <si>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</si>
  <si>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</si>
  <si>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</si>
  <si>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</si>
  <si>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</si>
  <si>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</si>
  <si>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</si>
  <si>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</si>
  <si>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Ⅵ-空港A</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</si>
  <si>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</si>
  <si>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</si>
  <si>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</si>
  <si>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</si>
  <si>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</si>
  <si>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</si>
  <si>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</si>
  <si>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</si>
  <si>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</si>
  <si>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</si>
  <si>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</si>
  <si>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</si>
  <si>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</si>
  <si>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</si>
  <si>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</si>
  <si>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</si>
  <si>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</si>
  <si>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</si>
  <si>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</si>
  <si>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</si>
  <si>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</si>
  <si>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</si>
  <si>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</si>
  <si>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</si>
  <si>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</si>
  <si>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</si>
  <si>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</si>
  <si>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</si>
  <si>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</si>
  <si>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</si>
  <si>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</si>
  <si>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</si>
  <si>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</si>
  <si>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</si>
  <si>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</si>
  <si>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</si>
  <si>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</si>
  <si>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</si>
  <si>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</si>
  <si>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</si>
  <si>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</si>
  <si>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</si>
  <si>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</si>
  <si>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t>地下</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</si>
  <si>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</si>
  <si>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</si>
  <si>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</si>
  <si>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</si>
  <si>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</si>
  <si>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工业</t>
  </si>
  <si>
    <t>车库</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</si>
  <si>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</si>
  <si>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</si>
  <si>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</si>
  <si>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</si>
  <si>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</si>
  <si>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</si>
  <si>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</si>
  <si>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</si>
  <si>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</si>
  <si>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</si>
  <si>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</si>
  <si>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</si>
  <si>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</si>
  <si>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</si>
  <si>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</si>
  <si>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</si>
  <si>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</si>
  <si>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</si>
  <si>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</si>
  <si>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</si>
  <si>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</si>
  <si>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</si>
  <si>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</si>
  <si>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</si>
  <si>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</si>
  <si>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</si>
  <si>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</si>
  <si>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</si>
  <si>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</si>
  <si>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</si>
  <si>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</si>
  <si>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</si>
  <si>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</si>
  <si>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</si>
  <si>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</si>
  <si>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</si>
  <si>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</si>
  <si>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</si>
  <si>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</si>
  <si>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</si>
  <si>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</si>
  <si>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</si>
  <si>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</si>
  <si>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</si>
  <si>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</si>
  <si>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</si>
  <si>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</si>
  <si>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</si>
  <si>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</si>
  <si>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</si>
  <si>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</si>
  <si>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</si>
  <si>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</si>
  <si>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</si>
  <si>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</si>
  <si>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</si>
  <si>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</si>
  <si>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</si>
  <si>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</si>
  <si>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</si>
  <si>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</si>
  <si>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</si>
  <si>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</si>
  <si>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</si>
  <si>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</si>
  <si>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</si>
  <si>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</si>
  <si>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</si>
  <si>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</si>
  <si>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</si>
  <si>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</si>
  <si>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</si>
  <si>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</si>
  <si>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</si>
  <si>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</si>
  <si>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</si>
  <si>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</si>
  <si>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</si>
  <si>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</si>
  <si>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</si>
  <si>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</si>
  <si>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</si>
  <si>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</si>
  <si>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</si>
  <si>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</si>
  <si>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</si>
  <si>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</si>
  <si>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</si>
  <si>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</si>
  <si>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</si>
  <si>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</si>
  <si>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</si>
  <si>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</si>
  <si>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</si>
  <si>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</si>
  <si>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</si>
  <si>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</si>
  <si>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</si>
  <si>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</si>
  <si>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工程进度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</si>
  <si>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</si>
  <si>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</si>
  <si>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</si>
  <si>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</si>
  <si>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</si>
  <si>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</si>
  <si>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</si>
  <si>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</si>
  <si>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</si>
  <si>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</si>
  <si>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</si>
  <si>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</si>
  <si>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</si>
  <si>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</si>
  <si>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</si>
  <si>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</si>
  <si>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</si>
  <si>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</si>
  <si>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</si>
  <si>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</si>
  <si>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</si>
  <si>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</si>
  <si>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</si>
  <si>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</si>
  <si>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</si>
  <si>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</si>
  <si>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t>主体结构施工完成、房屋内部管道铺设基本完成，正在进行玻璃幕墙施工，预计9月底全部完工</t>
  </si>
  <si>
    <r>
      <rPr>
        <b/>
        <sz val="11"/>
        <color indexed="8"/>
        <rFont val="宋体"/>
        <charset val="134"/>
      </rPr>
      <t>开发期</t>
    </r>
  </si>
  <si>
    <t>地上按办公计算租金，8米层高，可隔为两层，所以按3.5元*2计算</t>
  </si>
  <si>
    <r>
      <rPr>
        <sz val="11"/>
        <rFont val="宋体"/>
        <charset val="134"/>
      </rPr>
      <t>土地开发期</t>
    </r>
  </si>
  <si>
    <t>★默认为已完成的土地开发期★</t>
  </si>
  <si>
    <t>地下4米层高，按地下仓储计算租金，单层1.5元</t>
  </si>
  <si>
    <r>
      <rPr>
        <sz val="11"/>
        <rFont val="宋体"/>
        <charset val="134"/>
      </rPr>
      <t>建设期</t>
    </r>
  </si>
  <si>
    <r>
      <rPr>
        <sz val="11"/>
        <color rgb="FFFF0000"/>
        <rFont val="宋体"/>
        <charset val="134"/>
      </rPr>
      <t>包含未完成的红线外市政工程时间（如现状三通，开发完成后七通）</t>
    </r>
  </si>
  <si>
    <t>部位</t>
  </si>
  <si>
    <t>总面积</t>
  </si>
  <si>
    <t>地上工业</t>
  </si>
  <si>
    <t>地下工业</t>
  </si>
  <si>
    <t>楼层</t>
  </si>
  <si>
    <t>地上租金</t>
  </si>
  <si>
    <t>地下租金</t>
  </si>
  <si>
    <t>平均</t>
  </si>
  <si>
    <r>
      <rPr>
        <sz val="11"/>
        <color indexed="8"/>
        <rFont val="宋体"/>
        <charset val="134"/>
      </rPr>
      <t>已建工期</t>
    </r>
  </si>
  <si>
    <t>1号楼</t>
  </si>
  <si>
    <t>2/-2</t>
  </si>
  <si>
    <r>
      <rPr>
        <sz val="11"/>
        <rFont val="宋体"/>
        <charset val="134"/>
      </rPr>
      <t>项目开发期</t>
    </r>
  </si>
  <si>
    <t>2号楼</t>
  </si>
  <si>
    <t>1/-2</t>
  </si>
  <si>
    <r>
      <rPr>
        <sz val="11"/>
        <color indexed="8"/>
        <rFont val="宋体"/>
        <charset val="134"/>
      </rPr>
      <t>项目已运行</t>
    </r>
  </si>
  <si>
    <t>3号楼</t>
  </si>
  <si>
    <r>
      <rPr>
        <sz val="11"/>
        <rFont val="宋体"/>
        <charset val="134"/>
      </rPr>
      <t>续建工期</t>
    </r>
  </si>
  <si>
    <t>4号楼</t>
  </si>
  <si>
    <t>元/月/车位</t>
  </si>
  <si>
    <r>
      <rPr>
        <b/>
        <sz val="11"/>
        <color indexed="8"/>
        <rFont val="宋体"/>
        <charset val="134"/>
      </rPr>
      <t>其他取费</t>
    </r>
  </si>
  <si>
    <r>
      <rPr>
        <sz val="11"/>
        <color indexed="8"/>
        <rFont val="宋体"/>
        <charset val="134"/>
      </rPr>
      <t>取值</t>
    </r>
  </si>
  <si>
    <r>
      <rPr>
        <sz val="11"/>
        <color indexed="8"/>
        <rFont val="宋体"/>
        <charset val="134"/>
      </rPr>
      <t>备注</t>
    </r>
  </si>
  <si>
    <t>综合租金</t>
  </si>
  <si>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</si>
  <si>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</si>
  <si>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</si>
  <si>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</si>
  <si>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</si>
  <si>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</si>
  <si>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</si>
  <si>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</si>
  <si>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</si>
  <si>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</si>
  <si>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</si>
  <si>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</si>
  <si>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</si>
  <si>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</si>
  <si>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</si>
  <si>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</si>
  <si>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</si>
  <si>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</si>
  <si>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</si>
  <si>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</si>
  <si>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</si>
  <si>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利息：取LPR加浮动点数</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</si>
  <si>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</si>
  <si>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</si>
  <si>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</si>
  <si>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</si>
  <si>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</si>
  <si>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</si>
  <si>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</si>
  <si>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</si>
  <si>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</si>
  <si>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</si>
  <si>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</si>
  <si>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</si>
  <si>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</si>
  <si>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</si>
  <si>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</si>
  <si>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</si>
  <si>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</si>
  <si>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</si>
  <si>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</si>
  <si>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</si>
  <si>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</si>
  <si>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</si>
  <si>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</si>
  <si>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</si>
  <si>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</si>
  <si>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</si>
  <si>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</si>
  <si>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</si>
  <si>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</si>
  <si>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</si>
  <si>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</si>
  <si>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</si>
  <si>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</si>
  <si>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</si>
  <si>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</si>
  <si>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</si>
  <si>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</si>
  <si>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</si>
  <si>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</si>
  <si>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</si>
  <si>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</si>
  <si>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</si>
  <si>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</si>
  <si>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</si>
  <si>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</si>
  <si>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</si>
  <si>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</si>
  <si>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</si>
  <si>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</si>
  <si>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</si>
  <si>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</si>
  <si>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</si>
  <si>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</si>
  <si>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</si>
  <si>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</si>
  <si>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</si>
  <si>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</si>
  <si>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</si>
  <si>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</si>
  <si>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</si>
  <si>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</si>
  <si>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</si>
  <si>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</si>
  <si>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</si>
  <si>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</si>
  <si>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</si>
  <si>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</si>
  <si>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</si>
  <si>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</si>
  <si>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</si>
  <si>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</si>
  <si>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</si>
  <si>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</si>
  <si>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</si>
  <si>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</si>
  <si>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</si>
  <si>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</si>
  <si>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</si>
  <si>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</si>
  <si>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</si>
  <si>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</si>
  <si>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</si>
  <si>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</si>
  <si>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</si>
  <si>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</si>
  <si>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</si>
  <si>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</si>
  <si>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</si>
  <si>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</si>
  <si>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</si>
  <si>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t>假设开发法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</si>
  <si>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</si>
  <si>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</si>
  <si>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</si>
  <si>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</si>
  <si>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</si>
  <si>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</si>
  <si>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</si>
  <si>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</si>
  <si>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</si>
  <si>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</si>
  <si>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</si>
  <si>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</si>
  <si>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</si>
  <si>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</si>
  <si>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</si>
  <si>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</si>
  <si>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</si>
  <si>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</si>
  <si>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</si>
  <si>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</si>
  <si>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</si>
  <si>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</si>
  <si>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</si>
  <si>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</si>
  <si>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</si>
  <si>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</si>
  <si>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</si>
  <si>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</si>
  <si>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</si>
  <si>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</si>
  <si>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</si>
  <si>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</si>
  <si>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</si>
  <si>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</si>
  <si>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</si>
  <si>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</si>
  <si>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</si>
  <si>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</si>
  <si>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</si>
  <si>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</si>
  <si>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</si>
  <si>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</si>
  <si>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</si>
  <si>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</si>
  <si>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</si>
  <si>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</si>
  <si>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</si>
  <si>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</si>
  <si>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</si>
  <si>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</si>
  <si>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</si>
  <si>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</si>
  <si>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</si>
  <si>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t xml:space="preserve">     </t>
  </si>
  <si>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</si>
  <si>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</si>
  <si>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</si>
  <si>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</si>
  <si>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</si>
  <si>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</si>
  <si>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</si>
  <si>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</si>
  <si>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</si>
  <si>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</si>
  <si>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</si>
  <si>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</si>
  <si>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</si>
  <si>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</si>
  <si>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</si>
  <si>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</si>
  <si>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</si>
  <si>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</si>
  <si>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</si>
  <si>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</si>
  <si>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</si>
  <si>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</si>
  <si>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</si>
  <si>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</si>
  <si>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</si>
  <si>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</si>
  <si>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</si>
  <si>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</si>
  <si>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</si>
  <si>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</si>
  <si>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</si>
  <si>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</si>
  <si>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</si>
  <si>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</si>
  <si>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</si>
  <si>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</si>
  <si>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</si>
  <si>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</si>
  <si>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</si>
  <si>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</si>
  <si>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</si>
  <si>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</si>
  <si>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</si>
  <si>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</si>
  <si>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</si>
  <si>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</si>
  <si>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</si>
  <si>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</si>
  <si>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</si>
  <si>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</si>
  <si>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</si>
  <si>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</si>
  <si>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</si>
  <si>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</si>
  <si>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</si>
  <si>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</si>
  <si>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</si>
  <si>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</si>
  <si>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</si>
  <si>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</si>
  <si>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</si>
  <si>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</si>
  <si>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</si>
  <si>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</si>
  <si>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</si>
  <si>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</si>
  <si>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</si>
  <si>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</si>
  <si>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</si>
  <si>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</si>
  <si>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</si>
  <si>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</si>
  <si>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</si>
  <si>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</si>
  <si>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</si>
  <si>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</si>
  <si>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</si>
  <si>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</si>
  <si>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</si>
  <si>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</si>
  <si>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</si>
  <si>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</si>
  <si>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</si>
  <si>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</si>
  <si>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</si>
  <si>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</si>
  <si>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</si>
  <si>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</si>
  <si>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</si>
  <si>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</si>
  <si>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</si>
  <si>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</si>
  <si>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</si>
  <si>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</si>
  <si>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</si>
  <si>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</si>
  <si>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</si>
  <si>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</si>
  <si>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</si>
  <si>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</si>
  <si>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</si>
  <si>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</si>
  <si>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</si>
  <si>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</si>
  <si>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</si>
  <si>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</si>
  <si>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</si>
  <si>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</si>
  <si>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</si>
  <si>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</si>
  <si>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</si>
  <si>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</si>
  <si>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</si>
  <si>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</si>
  <si>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</si>
  <si>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</si>
  <si>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</si>
  <si>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</si>
  <si>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</si>
  <si>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</si>
  <si>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</si>
  <si>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</si>
  <si>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</si>
  <si>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</si>
  <si>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</si>
  <si>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</si>
  <si>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</si>
  <si>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</si>
  <si>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</si>
  <si>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</si>
  <si>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</si>
  <si>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</si>
  <si>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</si>
  <si>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</si>
  <si>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</si>
  <si>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</si>
  <si>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</si>
  <si>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</si>
  <si>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</si>
  <si>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</si>
  <si>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</si>
  <si>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</si>
  <si>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</si>
  <si>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</si>
  <si>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</si>
  <si>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</si>
  <si>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</si>
  <si>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</si>
  <si>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</si>
  <si>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</si>
  <si>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</si>
  <si>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</si>
  <si>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</si>
  <si>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</si>
  <si>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</si>
  <si>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</si>
  <si>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</si>
  <si>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</si>
  <si>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</si>
  <si>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</si>
  <si>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</si>
  <si>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</si>
  <si>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</si>
  <si>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</si>
  <si>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</si>
  <si>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</si>
  <si>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</si>
  <si>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</si>
  <si>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</si>
  <si>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</si>
  <si>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</si>
  <si>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</si>
  <si>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</si>
  <si>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</si>
  <si>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</si>
  <si>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</si>
  <si>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</si>
  <si>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</si>
  <si>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</si>
  <si>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</si>
  <si>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</si>
  <si>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</si>
  <si>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</si>
  <si>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</si>
  <si>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</si>
  <si>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</si>
  <si>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</si>
  <si>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</si>
  <si>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</si>
  <si>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</si>
  <si>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</si>
  <si>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</si>
  <si>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</si>
  <si>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</si>
  <si>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</si>
  <si>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</si>
  <si>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</si>
  <si>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</si>
  <si>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</si>
  <si>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</si>
  <si>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</si>
  <si>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</si>
  <si>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</si>
  <si>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</si>
  <si>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</si>
  <si>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</si>
  <si>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</si>
  <si>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</si>
  <si>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</si>
  <si>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</si>
  <si>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</si>
  <si>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</si>
  <si>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</si>
  <si>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</si>
  <si>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</si>
  <si>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</si>
  <si>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</si>
  <si>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</si>
  <si>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</si>
  <si>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</si>
  <si>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</si>
  <si>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</si>
  <si>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</si>
  <si>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</si>
  <si>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</si>
  <si>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</si>
  <si>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</si>
  <si>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</si>
  <si>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</si>
  <si>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</si>
  <si>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</si>
  <si>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</si>
  <si>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</si>
  <si>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</si>
  <si>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</si>
  <si>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</si>
  <si>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</si>
  <si>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</si>
  <si>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</si>
  <si>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</si>
  <si>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</si>
  <si>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</si>
  <si>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</si>
  <si>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</si>
  <si>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</si>
  <si>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</si>
  <si>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</si>
  <si>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</si>
  <si>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</si>
  <si>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</si>
  <si>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</si>
  <si>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</si>
  <si>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</si>
  <si>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</si>
  <si>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</si>
  <si>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</si>
  <si>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</si>
  <si>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</si>
  <si>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</si>
  <si>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</si>
  <si>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</si>
  <si>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</si>
  <si>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</si>
  <si>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</si>
  <si>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</si>
  <si>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</si>
  <si>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</si>
  <si>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</si>
  <si>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</si>
  <si>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</si>
  <si>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</si>
  <si>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</si>
  <si>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</si>
  <si>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</si>
  <si>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</si>
  <si>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</si>
  <si>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</si>
  <si>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</si>
  <si>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</si>
  <si>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</si>
  <si>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</si>
  <si>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</si>
  <si>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</si>
  <si>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</si>
  <si>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</si>
  <si>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</si>
  <si>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</si>
  <si>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</si>
  <si>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</si>
  <si>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</si>
  <si>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</si>
  <si>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</si>
  <si>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</si>
  <si>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</si>
  <si>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</si>
  <si>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</si>
  <si>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</si>
  <si>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</si>
  <si>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</si>
  <si>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</si>
  <si>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</si>
  <si>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</si>
  <si>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</si>
  <si>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</si>
  <si>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</si>
  <si>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</si>
  <si>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</si>
  <si>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</si>
  <si>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</si>
  <si>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</si>
  <si>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</si>
  <si>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</si>
  <si>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</si>
  <si>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</si>
  <si>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</si>
  <si>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t>在建（套用方法）</t>
  </si>
  <si>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</si>
  <si>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</si>
  <si>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</si>
  <si>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</si>
  <si>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</si>
  <si>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</si>
  <si>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</si>
  <si>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</si>
  <si>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</si>
  <si>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</si>
  <si>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</si>
  <si>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</si>
  <si>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</si>
  <si>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</si>
  <si>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</si>
  <si>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</si>
  <si>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</si>
  <si>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</si>
  <si>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</si>
  <si>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</si>
  <si>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</si>
  <si>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</si>
  <si>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</si>
  <si>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</si>
  <si>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b/>
        <sz val="10"/>
        <color indexed="8"/>
        <rFont val="宋体"/>
        <charset val="134"/>
      </rPr>
      <t>押二</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</si>
  <si>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</si>
  <si>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</si>
  <si>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</si>
  <si>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</si>
  <si>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</si>
  <si>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</si>
  <si>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</si>
  <si>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</si>
  <si>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</si>
  <si>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</si>
  <si>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</si>
  <si>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</si>
  <si>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</si>
  <si>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</si>
  <si>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</si>
  <si>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</si>
  <si>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</si>
  <si>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</si>
  <si>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</si>
  <si>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</si>
  <si>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</si>
  <si>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</si>
  <si>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</si>
  <si>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</si>
  <si>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</si>
  <si>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</si>
  <si>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</si>
  <si>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r>
      <rPr>
        <sz val="10"/>
        <color indexed="8"/>
        <rFont val="宋体"/>
        <charset val="134"/>
      </rPr>
      <t>按房产原值计税</t>
    </r>
  </si>
  <si>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</si>
  <si>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</si>
  <si>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</si>
  <si>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</si>
  <si>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</si>
  <si>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</si>
  <si>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</si>
  <si>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</si>
  <si>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</si>
  <si>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</si>
  <si>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</si>
  <si>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</si>
  <si>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</si>
  <si>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</si>
  <si>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</si>
  <si>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</si>
  <si>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</si>
  <si>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</si>
  <si>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</si>
  <si>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</si>
  <si>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</si>
  <si>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</si>
  <si>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</si>
  <si>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</si>
  <si>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</si>
  <si>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</si>
  <si>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</si>
  <si>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</si>
  <si>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</si>
  <si>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</si>
  <si>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</si>
  <si>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</si>
  <si>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</si>
  <si>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</si>
  <si>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</si>
  <si>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</si>
  <si>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</si>
  <si>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</si>
  <si>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</si>
  <si>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</si>
  <si>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</si>
  <si>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</si>
  <si>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</si>
  <si>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t>按租金收入计税</t>
  </si>
  <si>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</si>
  <si>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</si>
  <si>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</si>
  <si>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</si>
  <si>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</si>
  <si>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</si>
  <si>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</si>
  <si>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</si>
  <si>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</si>
  <si>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</si>
  <si>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</si>
  <si>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</si>
  <si>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</si>
  <si>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</si>
  <si>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</si>
  <si>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</si>
  <si>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</si>
  <si>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</si>
  <si>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</si>
  <si>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</si>
  <si>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</si>
  <si>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</si>
  <si>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</si>
  <si>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</si>
  <si>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</si>
  <si>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</si>
  <si>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</si>
  <si>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</si>
  <si>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</si>
  <si>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</si>
  <si>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</si>
  <si>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</si>
  <si>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</si>
  <si>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</si>
  <si>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</si>
  <si>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</si>
  <si>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</si>
  <si>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</si>
  <si>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</si>
  <si>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</si>
  <si>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</si>
  <si>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</si>
  <si>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</si>
  <si>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</si>
  <si>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</si>
  <si>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</si>
  <si>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</si>
  <si>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</si>
  <si>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</si>
  <si>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</si>
  <si>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</si>
  <si>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收益还原</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</si>
  <si>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</si>
  <si>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</si>
  <si>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</si>
  <si>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</si>
  <si>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</si>
  <si>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</si>
  <si>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</si>
  <si>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</si>
  <si>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</si>
  <si>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</si>
  <si>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</si>
  <si>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</si>
  <si>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</si>
  <si>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</si>
  <si>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</si>
  <si>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</si>
  <si>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</si>
  <si>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</si>
  <si>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</si>
  <si>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</si>
  <si>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</si>
  <si>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</si>
  <si>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</si>
  <si>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</si>
  <si>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</si>
  <si>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</si>
  <si>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</si>
  <si>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</si>
  <si>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</si>
  <si>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</si>
  <si>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</si>
  <si>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</si>
  <si>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</si>
  <si>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</si>
  <si>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</si>
  <si>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</si>
  <si>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</si>
  <si>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</si>
  <si>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</si>
  <si>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</si>
  <si>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</si>
  <si>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</si>
  <si>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</si>
  <si>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</si>
  <si>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</si>
  <si>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</si>
  <si>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</si>
  <si>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</si>
  <si>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</si>
  <si>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元</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</si>
  <si>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</si>
  <si>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</si>
  <si>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</si>
  <si>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</si>
  <si>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</si>
  <si>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</si>
  <si>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</si>
  <si>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</si>
  <si>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</si>
  <si>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</si>
  <si>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</si>
  <si>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</si>
  <si>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</si>
  <si>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</si>
  <si>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</si>
  <si>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</si>
  <si>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</si>
  <si>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</si>
  <si>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</si>
  <si>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</si>
  <si>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</si>
  <si>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</si>
  <si>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</si>
  <si>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</si>
  <si>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</si>
  <si>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</si>
  <si>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</si>
  <si>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</si>
  <si>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</si>
  <si>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</si>
  <si>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</si>
  <si>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</si>
  <si>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</si>
  <si>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</si>
  <si>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</si>
  <si>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</si>
  <si>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</si>
  <si>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</si>
  <si>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</si>
  <si>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</si>
  <si>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</si>
  <si>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</si>
  <si>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</si>
  <si>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</si>
  <si>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</si>
  <si>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</si>
  <si>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</si>
  <si>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</si>
  <si>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</si>
  <si>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</si>
  <si>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</si>
  <si>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</si>
  <si>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</si>
  <si>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</si>
  <si>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</si>
  <si>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</si>
  <si>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</si>
  <si>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</si>
  <si>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</si>
  <si>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</si>
  <si>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</si>
  <si>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</si>
  <si>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</si>
  <si>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</si>
  <si>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</si>
  <si>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</si>
  <si>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</si>
  <si>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</si>
  <si>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</si>
  <si>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</si>
  <si>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</si>
  <si>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</si>
  <si>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</si>
  <si>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</si>
  <si>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</si>
  <si>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</si>
  <si>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</si>
  <si>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</si>
  <si>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</si>
  <si>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</si>
  <si>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</si>
  <si>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</si>
  <si>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</si>
  <si>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</si>
  <si>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</si>
  <si>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</si>
  <si>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</si>
  <si>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</si>
  <si>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</si>
  <si>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</si>
  <si>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</si>
  <si>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</si>
  <si>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</si>
  <si>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</si>
  <si>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</si>
  <si>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</si>
  <si>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</si>
  <si>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</si>
  <si>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</si>
  <si>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</si>
  <si>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</si>
  <si>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</si>
  <si>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</si>
  <si>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</si>
  <si>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</si>
  <si>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</si>
  <si>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</si>
  <si>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</si>
  <si>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</si>
  <si>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</si>
  <si>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</si>
  <si>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</si>
  <si>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</si>
  <si>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</si>
  <si>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</si>
  <si>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</si>
  <si>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</si>
  <si>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</si>
  <si>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</si>
  <si>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</si>
  <si>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</si>
  <si>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</si>
  <si>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</si>
  <si>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</si>
  <si>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</si>
  <si>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</si>
  <si>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</si>
  <si>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rFont val="宋体"/>
        <charset val="134"/>
      </rPr>
      <t>售价</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</si>
  <si>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</si>
  <si>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</si>
  <si>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</si>
  <si>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</si>
  <si>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</si>
  <si>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</si>
  <si>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</si>
  <si>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</si>
  <si>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</si>
  <si>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</si>
  <si>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</si>
  <si>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</si>
  <si>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</si>
  <si>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</si>
  <si>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</si>
  <si>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</si>
  <si>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</si>
  <si>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</si>
  <si>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</si>
  <si>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</si>
  <si>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</si>
  <si>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</si>
  <si>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</si>
  <si>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</si>
  <si>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</si>
  <si>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</si>
  <si>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</si>
  <si>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</si>
  <si>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</si>
  <si>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</si>
  <si>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</si>
  <si>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</si>
  <si>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</si>
  <si>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</si>
  <si>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</si>
  <si>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</si>
  <si>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</si>
  <si>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</si>
  <si>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</si>
  <si>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</si>
  <si>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</si>
  <si>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</si>
  <si>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</si>
  <si>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</si>
  <si>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</si>
  <si>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</si>
  <si>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</si>
  <si>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</si>
  <si>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</si>
  <si>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</si>
  <si>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</si>
  <si>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</si>
  <si>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</si>
  <si>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</si>
  <si>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</si>
  <si>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</si>
  <si>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</si>
  <si>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</si>
  <si>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</si>
  <si>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</si>
  <si>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</si>
  <si>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</si>
  <si>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</si>
  <si>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</si>
  <si>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</si>
  <si>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</si>
  <si>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</si>
  <si>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</si>
  <si>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</si>
  <si>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</si>
  <si>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</si>
  <si>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</si>
  <si>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</si>
  <si>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</si>
  <si>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</si>
  <si>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</si>
  <si>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</si>
  <si>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</si>
  <si>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</si>
  <si>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</si>
  <si>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</si>
  <si>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</si>
  <si>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</si>
  <si>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</si>
  <si>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</si>
  <si>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</si>
  <si>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</si>
  <si>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</si>
  <si>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</si>
  <si>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</si>
  <si>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</si>
  <si>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</si>
  <si>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</si>
  <si>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</si>
  <si>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</si>
  <si>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</si>
  <si>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</si>
  <si>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</si>
  <si>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</si>
  <si>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</si>
  <si>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</si>
  <si>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</si>
  <si>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</si>
  <si>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</si>
  <si>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</si>
  <si>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</si>
  <si>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</si>
  <si>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t>-</t>
  </si>
  <si>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</si>
  <si>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</si>
  <si>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</si>
  <si>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</si>
  <si>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</si>
  <si>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</si>
  <si>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</si>
  <si>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</si>
  <si>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</si>
  <si>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</si>
  <si>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</si>
  <si>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</si>
  <si>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</si>
  <si>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</si>
  <si>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</si>
  <si>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</si>
  <si>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</si>
  <si>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</si>
  <si>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</si>
  <si>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</si>
  <si>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</si>
  <si>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</si>
  <si>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元</t>
    </r>
    <r>
      <rPr>
        <b/>
        <sz val="11"/>
        <rFont val="Arial"/>
        <charset val="134"/>
      </rPr>
      <t>/</t>
    </r>
    <r>
      <rPr>
        <b/>
        <sz val="11"/>
        <rFont val="宋体"/>
        <charset val="134"/>
      </rPr>
      <t>车位</t>
    </r>
  </si>
  <si>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</si>
  <si>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</si>
  <si>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</si>
  <si>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</si>
  <si>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</si>
  <si>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</si>
  <si>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</si>
  <si>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</si>
  <si>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</si>
  <si>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</si>
  <si>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</si>
  <si>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</si>
  <si>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</si>
  <si>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</si>
  <si>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</si>
  <si>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</si>
  <si>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</si>
  <si>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</si>
  <si>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</si>
  <si>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</si>
  <si>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</si>
  <si>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</si>
  <si>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</si>
  <si>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</si>
  <si>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</si>
  <si>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</si>
  <si>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</si>
  <si>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</si>
  <si>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</si>
  <si>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</si>
  <si>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</si>
  <si>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</si>
  <si>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</si>
  <si>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</si>
  <si>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</si>
  <si>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</si>
  <si>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</si>
  <si>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</si>
  <si>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</si>
  <si>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</si>
  <si>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</si>
  <si>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</si>
  <si>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</si>
  <si>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</si>
  <si>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</si>
  <si>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</si>
  <si>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</si>
  <si>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</si>
  <si>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t>正常</t>
  </si>
  <si>
    <t>较好</t>
  </si>
  <si>
    <t>一般</t>
  </si>
  <si>
    <r>
      <rPr>
        <sz val="11"/>
        <color indexed="8"/>
        <rFont val="宋体"/>
        <charset val="134"/>
      </rPr>
      <t>环境状况</t>
    </r>
  </si>
  <si>
    <t>单位面积地价</t>
  </si>
  <si>
    <r>
      <rPr>
        <sz val="11"/>
        <rFont val="宋体"/>
        <charset val="134"/>
      </rPr>
      <t>北京市</t>
    </r>
  </si>
  <si>
    <r>
      <rPr>
        <b/>
        <sz val="11"/>
        <color indexed="8"/>
        <rFont val="宋体"/>
        <charset val="134"/>
      </rPr>
      <t>工业</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</si>
  <si>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</si>
  <si>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</si>
  <si>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</si>
  <si>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</si>
  <si>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</si>
  <si>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</si>
  <si>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</si>
  <si>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</si>
  <si>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</si>
  <si>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</si>
  <si>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</si>
  <si>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</si>
  <si>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宗地容积率</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</si>
  <si>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</si>
  <si>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</si>
  <si>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</si>
  <si>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</si>
  <si>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</si>
  <si>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</si>
  <si>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</si>
  <si>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</si>
  <si>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</si>
  <si>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</si>
  <si>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</si>
  <si>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</si>
  <si>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</si>
  <si>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</si>
  <si>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</si>
  <si>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</si>
  <si>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</si>
  <si>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</si>
  <si>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</si>
  <si>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</si>
  <si>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</si>
  <si>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</si>
  <si>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</si>
  <si>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</si>
  <si>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</si>
  <si>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</si>
  <si>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</si>
  <si>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</si>
  <si>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</si>
  <si>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</si>
  <si>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</si>
  <si>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</si>
  <si>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</si>
  <si>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</si>
  <si>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</si>
  <si>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</si>
  <si>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</si>
  <si>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</si>
  <si>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</si>
  <si>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</si>
  <si>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</si>
  <si>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</si>
  <si>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</si>
  <si>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</si>
  <si>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</si>
  <si>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r>
      <rPr>
        <sz val="10"/>
        <rFont val="宋体"/>
        <charset val="134"/>
      </rPr>
      <t>商业</t>
    </r>
    <r>
      <rPr>
        <sz val="10"/>
        <rFont val="Arial"/>
        <charset val="134"/>
      </rPr>
      <t>R&lt;1</t>
    </r>
  </si>
  <si>
    <r>
      <rPr>
        <b/>
        <sz val="10"/>
        <rFont val="宋体"/>
        <charset val="134"/>
      </rPr>
      <t>特殊情况修正（居住用途）</t>
    </r>
  </si>
  <si>
    <r>
      <rPr>
        <sz val="10"/>
        <rFont val="宋体"/>
        <charset val="134"/>
      </rPr>
      <t>需根据项目情况调整公式修正项</t>
    </r>
  </si>
  <si>
    <r>
      <rPr>
        <sz val="11"/>
        <color theme="1"/>
        <rFont val="宋体"/>
        <charset val="134"/>
      </rPr>
      <t>十二级</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</si>
  <si>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</si>
  <si>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</si>
  <si>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</si>
  <si>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</si>
  <si>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</si>
  <si>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</si>
  <si>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</si>
  <si>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</si>
  <si>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sz val="10"/>
        <color indexed="8"/>
        <rFont val="宋体"/>
        <charset val="134"/>
      </rPr>
      <t>修正系数</t>
    </r>
  </si>
  <si>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</si>
  <si>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</si>
  <si>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</si>
  <si>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</si>
  <si>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</si>
  <si>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</si>
  <si>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</si>
  <si>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</si>
  <si>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</si>
  <si>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</si>
  <si>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</si>
  <si>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</si>
  <si>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</si>
  <si>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</si>
  <si>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</si>
  <si>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</si>
  <si>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</si>
  <si>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</si>
  <si>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r>
      <rPr>
        <b/>
        <sz val="11"/>
        <rFont val="宋体"/>
        <charset val="134"/>
      </rPr>
      <t>楼层修正</t>
    </r>
  </si>
  <si>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</si>
  <si>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</si>
  <si>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</si>
  <si>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</si>
  <si>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</si>
  <si>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</si>
  <si>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</si>
  <si>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</si>
  <si>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</si>
  <si>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</si>
  <si>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</si>
  <si>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</si>
  <si>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</si>
  <si>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</si>
  <si>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</si>
  <si>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</si>
  <si>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</si>
  <si>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</si>
  <si>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</si>
  <si>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</si>
  <si>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</si>
  <si>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</si>
  <si>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</si>
  <si>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</si>
  <si>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</si>
  <si>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</si>
  <si>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</si>
  <si>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</si>
  <si>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</si>
  <si>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</si>
  <si>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</si>
  <si>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</si>
  <si>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sz val="10"/>
        <color theme="1"/>
        <rFont val="宋体"/>
        <charset val="134"/>
      </rPr>
      <t>地下第</t>
    </r>
    <r>
      <rPr>
        <sz val="10"/>
        <color theme="1"/>
        <rFont val="Arial"/>
        <charset val="134"/>
      </rPr>
      <t>1</t>
    </r>
    <r>
      <rPr>
        <sz val="10"/>
        <color theme="1"/>
        <rFont val="宋体"/>
        <charset val="134"/>
      </rPr>
      <t>层商业</t>
    </r>
  </si>
  <si>
    <t>★地下商业不考虑路线价修正★</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</si>
  <si>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</si>
  <si>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</si>
  <si>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</si>
  <si>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</si>
  <si>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</si>
  <si>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</si>
  <si>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</si>
  <si>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</si>
  <si>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</si>
  <si>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</si>
  <si>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</si>
  <si>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</si>
  <si>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</si>
  <si>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</si>
  <si>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</si>
  <si>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</si>
  <si>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</si>
  <si>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</si>
  <si>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</si>
  <si>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</si>
  <si>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</si>
  <si>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</si>
  <si>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</si>
  <si>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</si>
  <si>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</si>
  <si>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</si>
  <si>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</si>
  <si>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</si>
  <si>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</si>
  <si>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</si>
  <si>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</si>
  <si>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</si>
  <si>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</si>
  <si>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</si>
  <si>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</si>
  <si>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</si>
  <si>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</si>
  <si>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</si>
  <si>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</si>
  <si>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</si>
  <si>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</si>
  <si>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</si>
  <si>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</si>
  <si>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</si>
  <si>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</si>
  <si>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</si>
  <si>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</si>
  <si>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</si>
  <si>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</si>
  <si>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</si>
  <si>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</si>
  <si>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</si>
  <si>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</si>
  <si>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</si>
  <si>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</si>
  <si>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</si>
  <si>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</si>
  <si>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</si>
  <si>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</si>
  <si>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</si>
  <si>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</si>
  <si>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</si>
  <si>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</si>
  <si>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商业</t>
  </si>
  <si>
    <t>办公</t>
  </si>
  <si>
    <t>住宅</t>
  </si>
  <si>
    <t>M4科研用地</t>
  </si>
  <si>
    <t>公共服务</t>
  </si>
  <si>
    <t>通路</t>
  </si>
  <si>
    <t>通电</t>
  </si>
  <si>
    <t>通讯</t>
  </si>
  <si>
    <t>通上水</t>
  </si>
  <si>
    <t>通下水</t>
  </si>
  <si>
    <t>通热</t>
  </si>
  <si>
    <t>燃气</t>
  </si>
  <si>
    <t>平整</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</si>
  <si>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</si>
  <si>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</si>
  <si>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</si>
  <si>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</si>
  <si>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</si>
  <si>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</si>
  <si>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</si>
  <si>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</si>
  <si>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</si>
  <si>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</si>
  <si>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</si>
  <si>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</si>
  <si>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</si>
  <si>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</si>
  <si>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</si>
  <si>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</si>
  <si>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</si>
  <si>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</si>
  <si>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</si>
  <si>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</si>
  <si>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</si>
  <si>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</si>
  <si>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</si>
  <si>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</si>
  <si>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</si>
  <si>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</si>
  <si>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</si>
  <si>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</si>
  <si>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</si>
  <si>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</si>
  <si>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</si>
  <si>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</si>
  <si>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</si>
  <si>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</si>
  <si>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</si>
  <si>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</si>
  <si>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</si>
  <si>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</si>
  <si>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</si>
  <si>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</si>
  <si>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</si>
  <si>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</si>
  <si>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</si>
  <si>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</si>
  <si>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</si>
  <si>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</si>
  <si>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</si>
  <si>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</si>
  <si>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</si>
  <si>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</si>
  <si>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</si>
  <si>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</si>
  <si>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</si>
  <si>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</si>
  <si>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</si>
  <si>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</si>
  <si>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</si>
  <si>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</si>
  <si>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</si>
  <si>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</si>
  <si>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</si>
  <si>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</si>
  <si>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</si>
  <si>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</si>
  <si>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</si>
  <si>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</si>
  <si>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</si>
  <si>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</si>
  <si>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</si>
  <si>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</si>
  <si>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</si>
  <si>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</si>
  <si>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</si>
  <si>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</si>
  <si>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</si>
  <si>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</si>
  <si>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</si>
  <si>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</si>
  <si>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</si>
  <si>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</si>
  <si>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</si>
  <si>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</si>
  <si>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</si>
  <si>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</si>
  <si>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</si>
  <si>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</si>
  <si>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</si>
  <si>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</si>
  <si>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</si>
  <si>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</si>
  <si>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</si>
  <si>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</si>
  <si>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</si>
  <si>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</si>
  <si>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</si>
  <si>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</si>
  <si>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</si>
  <si>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</si>
  <si>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</si>
  <si>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</si>
  <si>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</si>
  <si>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</si>
  <si>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</si>
  <si>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</si>
  <si>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</si>
  <si>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</si>
  <si>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</si>
  <si>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</si>
  <si>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</si>
  <si>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</si>
  <si>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</si>
  <si>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</si>
  <si>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</si>
  <si>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</si>
  <si>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</si>
  <si>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</si>
  <si>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</si>
  <si>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</si>
  <si>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</si>
  <si>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</si>
  <si>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</si>
  <si>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</si>
  <si>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</si>
  <si>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</si>
  <si>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</si>
  <si>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</si>
  <si>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</si>
  <si>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</si>
  <si>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</si>
  <si>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</si>
  <si>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</si>
  <si>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</si>
  <si>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</si>
  <si>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</si>
  <si>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</si>
  <si>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</si>
  <si>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</si>
  <si>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</si>
  <si>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</si>
  <si>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</si>
  <si>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</si>
  <si>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</si>
  <si>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</si>
  <si>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</si>
  <si>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</si>
  <si>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</si>
  <si>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</si>
  <si>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</si>
  <si>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</si>
  <si>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</si>
  <si>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</si>
  <si>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</si>
  <si>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</si>
  <si>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</si>
  <si>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</si>
  <si>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</si>
  <si>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</si>
  <si>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</si>
  <si>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</si>
  <si>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</si>
  <si>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</si>
  <si>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</si>
  <si>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</si>
  <si>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</si>
  <si>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</si>
  <si>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</si>
  <si>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</si>
  <si>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</si>
  <si>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</si>
  <si>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</si>
  <si>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</si>
  <si>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</si>
  <si>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</si>
  <si>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</si>
  <si>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</si>
  <si>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</si>
  <si>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</si>
  <si>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</si>
  <si>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</si>
  <si>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</si>
  <si>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</si>
  <si>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</si>
  <si>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</si>
  <si>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</si>
  <si>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</si>
  <si>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</si>
  <si>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</si>
  <si>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</si>
  <si>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</si>
  <si>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</si>
  <si>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</si>
  <si>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</si>
  <si>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</si>
  <si>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</si>
  <si>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</si>
  <si>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</si>
  <si>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</si>
  <si>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</si>
  <si>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</si>
  <si>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</si>
  <si>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</si>
  <si>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</si>
  <si>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</si>
  <si>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</si>
  <si>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</si>
  <si>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</si>
  <si>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</si>
  <si>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</si>
  <si>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</si>
  <si>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</si>
  <si>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</si>
  <si>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</si>
  <si>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</si>
  <si>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</si>
  <si>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</si>
  <si>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</si>
  <si>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</si>
  <si>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</si>
  <si>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</si>
  <si>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</si>
  <si>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</si>
  <si>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</si>
  <si>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</si>
  <si>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</si>
  <si>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</si>
  <si>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</si>
  <si>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</si>
  <si>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</si>
  <si>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</si>
  <si>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</si>
  <si>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</si>
  <si>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</si>
  <si>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</si>
  <si>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</si>
  <si>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</si>
  <si>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</si>
  <si>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</si>
  <si>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</si>
  <si>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</si>
  <si>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</si>
  <si>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</si>
  <si>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</si>
  <si>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</si>
  <si>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</si>
  <si>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</si>
  <si>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</si>
  <si>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</si>
  <si>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</si>
  <si>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</si>
  <si>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</si>
  <si>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</si>
  <si>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</si>
  <si>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本行不参与计算</t>
  </si>
  <si>
    <t>2022-1</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</si>
  <si>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</si>
  <si>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</si>
  <si>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</si>
  <si>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</si>
  <si>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</si>
  <si>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</si>
  <si>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</si>
  <si>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</si>
  <si>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</si>
  <si>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</si>
  <si>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</si>
  <si>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</si>
  <si>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</si>
  <si>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</si>
  <si>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</si>
  <si>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</si>
  <si>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</si>
  <si>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</si>
  <si>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</si>
  <si>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</si>
  <si>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</si>
  <si>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</si>
  <si>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</si>
  <si>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</si>
  <si>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</si>
  <si>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</si>
  <si>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</si>
  <si>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</si>
  <si>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</si>
  <si>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</si>
  <si>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</si>
  <si>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</si>
  <si>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</si>
  <si>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</si>
  <si>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</si>
  <si>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</si>
  <si>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</si>
  <si>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</si>
  <si>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</si>
  <si>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</si>
  <si>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</si>
  <si>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</si>
  <si>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</si>
  <si>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</si>
  <si>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</si>
  <si>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</si>
  <si>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</si>
  <si>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</si>
  <si>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</si>
  <si>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</si>
  <si>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</si>
  <si>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</si>
  <si>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</si>
  <si>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</si>
  <si>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</si>
  <si>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</si>
  <si>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</si>
  <si>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</si>
  <si>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</si>
  <si>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</si>
  <si>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</si>
  <si>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</si>
  <si>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</si>
  <si>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</si>
  <si>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</si>
  <si>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</si>
  <si>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</si>
  <si>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</si>
  <si>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</si>
  <si>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</si>
  <si>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</si>
  <si>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</si>
  <si>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</si>
  <si>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</si>
  <si>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</si>
  <si>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</si>
  <si>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</si>
  <si>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</si>
  <si>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</si>
  <si>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</si>
  <si>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</si>
  <si>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</si>
  <si>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</si>
  <si>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</si>
  <si>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</si>
  <si>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</si>
  <si>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</si>
  <si>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</si>
  <si>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</si>
  <si>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</si>
  <si>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</si>
  <si>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</si>
  <si>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</si>
  <si>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</si>
  <si>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</si>
  <si>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</si>
  <si>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</si>
  <si>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</si>
  <si>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</si>
  <si>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</si>
  <si>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</si>
  <si>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</si>
  <si>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</si>
  <si>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</si>
  <si>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</si>
  <si>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</si>
  <si>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</si>
  <si>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</si>
  <si>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indexed="10"/>
        <rFont val="楷体_GB2312"/>
        <charset val="134"/>
      </rPr>
      <t>成本法</t>
    </r>
  </si>
  <si>
    <r>
      <rPr>
        <b/>
        <sz val="12"/>
        <rFont val="楷体_GB2312"/>
        <charset val="134"/>
      </rPr>
      <t>总价</t>
    </r>
  </si>
  <si>
    <t>万元</t>
  </si>
  <si>
    <r>
      <rPr>
        <b/>
        <sz val="12"/>
        <rFont val="楷体_GB2312"/>
        <charset val="134"/>
      </rPr>
      <t>楼面单价</t>
    </r>
  </si>
  <si>
    <t>元/平方米</t>
  </si>
  <si>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</si>
  <si>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</si>
  <si>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</si>
  <si>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</si>
  <si>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</si>
  <si>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</si>
  <si>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</si>
  <si>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</si>
  <si>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</si>
  <si>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</si>
  <si>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</si>
  <si>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</si>
  <si>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</si>
  <si>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</si>
  <si>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</si>
  <si>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</si>
  <si>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</si>
  <si>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</si>
  <si>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</si>
  <si>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</si>
  <si>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t>（2）</t>
  </si>
  <si>
    <r>
      <rPr>
        <b/>
        <sz val="10"/>
        <rFont val="楷体_GB2312"/>
        <charset val="134"/>
      </rPr>
      <t>土地开发费用</t>
    </r>
    <r>
      <rPr>
        <b/>
        <sz val="10"/>
        <rFont val="Arial"/>
        <charset val="134"/>
      </rPr>
      <t>-</t>
    </r>
    <r>
      <rPr>
        <b/>
        <sz val="10"/>
        <rFont val="楷体_GB2312"/>
        <charset val="134"/>
      </rPr>
      <t>红线外（现状）</t>
    </r>
  </si>
  <si>
    <t>未包含在土地取得成本中</t>
  </si>
  <si>
    <t>（3）</t>
  </si>
  <si>
    <r>
      <rPr>
        <b/>
        <sz val="10"/>
        <rFont val="楷体_GB2312"/>
        <charset val="134"/>
      </rPr>
      <t>管理费用</t>
    </r>
  </si>
  <si>
    <t>以前述2项为基数</t>
  </si>
  <si>
    <t>（4）</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</si>
  <si>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</si>
  <si>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</si>
  <si>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</si>
  <si>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t>（5）</t>
  </si>
  <si>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</si>
  <si>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</si>
  <si>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</si>
  <si>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</si>
  <si>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</si>
  <si>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</si>
  <si>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</si>
  <si>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</si>
  <si>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t>（6）</t>
  </si>
  <si>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</si>
  <si>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</si>
  <si>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</si>
  <si>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</si>
  <si>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</si>
  <si>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</si>
  <si>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</si>
  <si>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</si>
  <si>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</si>
  <si>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</si>
  <si>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</si>
  <si>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</si>
  <si>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</si>
  <si>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</si>
  <si>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</si>
  <si>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</si>
  <si>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</si>
  <si>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</si>
  <si>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</si>
  <si>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</si>
  <si>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</si>
  <si>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</si>
  <si>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</si>
  <si>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</si>
  <si>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</si>
  <si>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</si>
  <si>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</si>
  <si>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</si>
  <si>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</si>
  <si>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</si>
  <si>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</si>
  <si>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</si>
  <si>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</si>
  <si>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</si>
  <si>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</si>
  <si>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</si>
  <si>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</si>
  <si>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</si>
  <si>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</si>
  <si>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</si>
  <si>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</si>
  <si>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</si>
  <si>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</si>
  <si>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</si>
  <si>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</si>
  <si>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</si>
  <si>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</si>
  <si>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</si>
  <si>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</si>
  <si>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</si>
  <si>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</si>
  <si>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</si>
  <si>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</si>
  <si>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</si>
  <si>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</si>
  <si>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</si>
  <si>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</si>
  <si>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</si>
  <si>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</si>
  <si>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</si>
  <si>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</si>
  <si>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</si>
  <si>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</si>
  <si>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</si>
  <si>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</si>
  <si>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</si>
  <si>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</si>
  <si>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</si>
  <si>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</si>
  <si>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</si>
  <si>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</si>
  <si>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</si>
  <si>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</si>
  <si>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</si>
  <si>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</si>
  <si>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</si>
  <si>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</si>
  <si>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</si>
  <si>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</si>
  <si>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</si>
  <si>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</si>
  <si>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</si>
  <si>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</si>
  <si>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</si>
  <si>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</si>
  <si>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</si>
  <si>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</si>
  <si>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</si>
  <si>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</si>
  <si>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</si>
  <si>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</si>
  <si>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</si>
  <si>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</si>
  <si>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</si>
  <si>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</si>
  <si>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</si>
  <si>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</si>
  <si>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</si>
  <si>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</si>
  <si>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</si>
  <si>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</si>
  <si>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</si>
  <si>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</si>
  <si>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</si>
  <si>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</si>
  <si>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</si>
  <si>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</si>
  <si>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</si>
  <si>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</si>
  <si>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</si>
  <si>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</si>
  <si>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</si>
  <si>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</si>
  <si>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</si>
  <si>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</si>
  <si>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</si>
  <si>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</si>
  <si>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</si>
  <si>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</si>
  <si>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</si>
  <si>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</si>
  <si>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</si>
  <si>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</si>
  <si>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</si>
  <si>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</si>
  <si>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</si>
  <si>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</si>
  <si>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</si>
  <si>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</si>
  <si>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</si>
  <si>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</si>
  <si>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</si>
  <si>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</si>
  <si>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</si>
  <si>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</si>
  <si>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</si>
  <si>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</si>
  <si>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</si>
  <si>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</si>
  <si>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</si>
  <si>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</si>
  <si>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</si>
  <si>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</si>
  <si>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</si>
  <si>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</si>
  <si>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</si>
  <si>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</si>
  <si>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</si>
  <si>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</si>
  <si>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</si>
  <si>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</si>
  <si>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</si>
  <si>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</si>
  <si>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</si>
  <si>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</si>
  <si>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</si>
  <si>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</si>
  <si>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</si>
  <si>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</si>
  <si>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</si>
  <si>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</si>
  <si>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</si>
  <si>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</si>
  <si>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</si>
  <si>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</si>
  <si>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</si>
  <si>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</si>
  <si>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</si>
  <si>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</si>
  <si>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</si>
  <si>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</si>
  <si>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</si>
  <si>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</si>
  <si>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</si>
  <si>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</si>
  <si>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</si>
  <si>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</si>
  <si>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</si>
  <si>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</si>
  <si>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</si>
  <si>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</si>
  <si>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</si>
  <si>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</si>
  <si>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</si>
  <si>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</si>
  <si>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</si>
  <si>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</si>
  <si>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</si>
  <si>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</si>
  <si>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</si>
  <si>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</si>
  <si>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</si>
  <si>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</si>
  <si>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</si>
  <si>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</si>
  <si>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</si>
  <si>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</si>
  <si>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</si>
  <si>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</si>
  <si>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</si>
  <si>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</si>
  <si>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</si>
  <si>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</si>
  <si>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</si>
  <si>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</si>
  <si>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</si>
  <si>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</si>
  <si>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</si>
  <si>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</si>
  <si>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</si>
  <si>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</si>
  <si>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</si>
  <si>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</si>
  <si>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</si>
  <si>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</si>
  <si>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</si>
  <si>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</si>
  <si>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</si>
  <si>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</si>
  <si>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</si>
  <si>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</si>
  <si>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</si>
  <si>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</si>
  <si>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</si>
  <si>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</si>
  <si>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</si>
  <si>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</si>
  <si>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</si>
  <si>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</si>
  <si>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</si>
  <si>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</si>
  <si>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</si>
  <si>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</si>
  <si>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</si>
  <si>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</si>
  <si>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</si>
  <si>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</si>
  <si>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</si>
  <si>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</si>
  <si>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</si>
  <si>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</si>
  <si>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</si>
  <si>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</si>
  <si>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</si>
  <si>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</si>
  <si>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</si>
  <si>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</si>
  <si>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</si>
  <si>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</si>
  <si>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</si>
  <si>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</si>
  <si>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</si>
  <si>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</si>
  <si>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</si>
  <si>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</si>
  <si>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</si>
  <si>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</si>
  <si>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</si>
  <si>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</si>
  <si>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</si>
  <si>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</si>
  <si>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</si>
  <si>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</si>
  <si>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</si>
  <si>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</si>
  <si>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</si>
  <si>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</si>
  <si>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</si>
  <si>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</si>
  <si>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</si>
  <si>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</si>
  <si>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</si>
  <si>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</si>
  <si>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</si>
  <si>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</si>
  <si>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</si>
  <si>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</si>
  <si>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</si>
  <si>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</si>
  <si>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</si>
  <si>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</si>
  <si>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</si>
  <si>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</si>
  <si>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</si>
  <si>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</si>
  <si>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</si>
  <si>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</si>
  <si>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</si>
  <si>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</si>
  <si>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</si>
  <si>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</si>
  <si>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</si>
  <si>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</si>
  <si>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</si>
  <si>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</si>
  <si>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</si>
  <si>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</si>
  <si>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</si>
  <si>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</si>
  <si>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</si>
  <si>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</si>
  <si>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</si>
  <si>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</si>
  <si>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</si>
  <si>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</si>
  <si>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</si>
  <si>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</si>
  <si>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</si>
  <si>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</si>
  <si>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</si>
  <si>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</si>
  <si>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</si>
  <si>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</si>
  <si>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</si>
  <si>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</si>
  <si>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</si>
  <si>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charset val="134"/>
      </rPr>
      <t>Ⅰ</t>
    </r>
  </si>
  <si>
    <t>Ⅵ-兴1</t>
  </si>
  <si>
    <t>Ⅶ-农林园</t>
  </si>
  <si>
    <t>Ⅷ-亦1</t>
  </si>
  <si>
    <t>Ⅸ-平1</t>
  </si>
  <si>
    <r>
      <rPr>
        <sz val="10"/>
        <color theme="1"/>
        <rFont val="仿宋_GB2312"/>
        <charset val="134"/>
      </rPr>
      <t>Ⅴ-西北旺</t>
    </r>
    <r>
      <rPr>
        <sz val="10"/>
        <color indexed="8"/>
        <rFont val="宋体"/>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</si>
  <si>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</si>
  <si>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</si>
  <si>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</si>
  <si>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</si>
  <si>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</si>
  <si>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</si>
  <si>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</si>
  <si>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</si>
  <si>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</si>
  <si>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charset val="134"/>
      </rPr>
      <t>Ⅰ</t>
    </r>
  </si>
  <si>
    <t>Ⅵ-昌3</t>
  </si>
  <si>
    <r>
      <rPr>
        <sz val="10"/>
        <color theme="1"/>
        <rFont val="仿宋_GB2312"/>
        <charset val="134"/>
      </rPr>
      <t>Ⅶ-苏家坨科技</t>
    </r>
    <r>
      <rPr>
        <sz val="10"/>
        <color indexed="8"/>
        <rFont val="宋体"/>
        <charset val="134"/>
      </rPr>
      <t>Ⅰ</t>
    </r>
  </si>
  <si>
    <t>Ⅷ-良乡开发区B</t>
  </si>
  <si>
    <t>Ⅸ-延1</t>
  </si>
  <si>
    <r>
      <rPr>
        <sz val="10"/>
        <color theme="1"/>
        <rFont val="仿宋_GB2312"/>
        <charset val="134"/>
      </rPr>
      <t>Ⅴ-石景山园北</t>
    </r>
    <r>
      <rPr>
        <sz val="10"/>
        <color indexed="8"/>
        <rFont val="宋体"/>
        <charset val="134"/>
      </rPr>
      <t>Ⅱ</t>
    </r>
  </si>
  <si>
    <t>Ⅵ-昌4</t>
  </si>
  <si>
    <r>
      <rPr>
        <sz val="10"/>
        <color theme="1"/>
        <rFont val="仿宋_GB2312"/>
        <charset val="134"/>
      </rPr>
      <t>Ⅶ-苏家坨科技</t>
    </r>
    <r>
      <rPr>
        <sz val="10"/>
        <color indexed="8"/>
        <rFont val="宋体"/>
        <charset val="134"/>
      </rPr>
      <t>Ⅱ</t>
    </r>
  </si>
  <si>
    <t>Ⅷ-良乡开发区C</t>
  </si>
  <si>
    <t>Ⅸ-亦1</t>
  </si>
  <si>
    <t>Ⅵ-亦1</t>
  </si>
  <si>
    <r>
      <rPr>
        <sz val="10"/>
        <color theme="1"/>
        <rFont val="仿宋_GB2312"/>
        <charset val="134"/>
      </rPr>
      <t>Ⅶ-丰台园西</t>
    </r>
    <r>
      <rPr>
        <sz val="10"/>
        <color indexed="8"/>
        <rFont val="宋体"/>
        <charset val="134"/>
      </rPr>
      <t>Ⅰ</t>
    </r>
  </si>
  <si>
    <t>Ⅷ-通州环保园</t>
  </si>
  <si>
    <t>Ⅸ-房山工业园东</t>
  </si>
  <si>
    <t>Ⅵ-创新园</t>
  </si>
  <si>
    <r>
      <rPr>
        <sz val="10"/>
        <color theme="1"/>
        <rFont val="仿宋_GB2312"/>
        <charset val="134"/>
      </rPr>
      <t>Ⅶ-丰台园西</t>
    </r>
    <r>
      <rPr>
        <sz val="10"/>
        <color indexed="8"/>
        <rFont val="宋体"/>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</si>
  <si>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</si>
  <si>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</si>
  <si>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</si>
  <si>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</si>
  <si>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</si>
  <si>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</si>
  <si>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charset val="134"/>
      </rPr>
      <t>Ⅰ</t>
    </r>
  </si>
  <si>
    <t>Ⅶ-光机电</t>
  </si>
  <si>
    <t>Ⅷ-生物医药基地</t>
  </si>
  <si>
    <t>Ⅸ-永乐开发区</t>
  </si>
  <si>
    <r>
      <rPr>
        <sz val="10"/>
        <color theme="1"/>
        <rFont val="仿宋_GB2312"/>
        <charset val="134"/>
      </rPr>
      <t>Ⅵ-温泉科技</t>
    </r>
    <r>
      <rPr>
        <sz val="10"/>
        <color indexed="8"/>
        <rFont val="宋体"/>
        <charset val="134"/>
      </rPr>
      <t>Ⅱ</t>
    </r>
  </si>
  <si>
    <t>Ⅶ-通州开发区西</t>
  </si>
  <si>
    <t>Ⅷ-小汤山工业园</t>
  </si>
  <si>
    <t>Ⅸ-采育开发区</t>
  </si>
  <si>
    <r>
      <rPr>
        <sz val="10"/>
        <color theme="1"/>
        <rFont val="仿宋_GB2312"/>
        <charset val="134"/>
      </rPr>
      <t>Ⅵ-温泉科技</t>
    </r>
    <r>
      <rPr>
        <sz val="10"/>
        <color indexed="8"/>
        <rFont val="宋体"/>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</si>
  <si>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</si>
  <si>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</si>
  <si>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</si>
  <si>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</si>
  <si>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</si>
  <si>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</si>
  <si>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charset val="134"/>
      </rPr>
      <t>Ⅰ</t>
    </r>
  </si>
  <si>
    <t>Ⅸ-雁栖开发区A</t>
  </si>
  <si>
    <t>Ⅵ-天竺保税区北2</t>
  </si>
  <si>
    <r>
      <rPr>
        <sz val="10"/>
        <color theme="1"/>
        <rFont val="仿宋_GB2312"/>
        <charset val="134"/>
      </rPr>
      <t>Ⅶ-昌平园南</t>
    </r>
    <r>
      <rPr>
        <sz val="10"/>
        <color indexed="8"/>
        <rFont val="宋体"/>
        <charset val="134"/>
      </rPr>
      <t>Ⅱ</t>
    </r>
  </si>
  <si>
    <t>Ⅸ-雁栖开发区B</t>
  </si>
  <si>
    <r>
      <rPr>
        <sz val="10"/>
        <color theme="1"/>
        <rFont val="仿宋_GB2312"/>
        <charset val="134"/>
      </rPr>
      <t>Ⅶ-昌平园北</t>
    </r>
    <r>
      <rPr>
        <sz val="10"/>
        <color indexed="8"/>
        <rFont val="宋体"/>
        <charset val="134"/>
      </rPr>
      <t>Ⅰ</t>
    </r>
  </si>
  <si>
    <t>Ⅸ-雁栖开发区C</t>
  </si>
  <si>
    <t>Ⅵ-空港B</t>
  </si>
  <si>
    <r>
      <rPr>
        <sz val="10"/>
        <color theme="1"/>
        <rFont val="仿宋_GB2312"/>
        <charset val="134"/>
      </rPr>
      <t>Ⅶ-昌平园北</t>
    </r>
    <r>
      <rPr>
        <sz val="10"/>
        <color indexed="8"/>
        <rFont val="宋体"/>
        <charset val="134"/>
      </rPr>
      <t>Ⅱ</t>
    </r>
  </si>
  <si>
    <t>Ⅸ-密云开发区</t>
  </si>
  <si>
    <t>Ⅵ-生命科学园</t>
  </si>
  <si>
    <r>
      <rPr>
        <sz val="10"/>
        <color theme="1"/>
        <rFont val="仿宋_GB2312"/>
        <charset val="134"/>
      </rPr>
      <t>Ⅶ-昌平园北</t>
    </r>
    <r>
      <rPr>
        <sz val="10"/>
        <color indexed="8"/>
        <rFont val="宋体"/>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</si>
  <si>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</si>
  <si>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</si>
  <si>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</si>
  <si>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</si>
  <si>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</si>
  <si>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</si>
  <si>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</si>
  <si>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</si>
  <si>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</si>
  <si>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</si>
  <si>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</si>
  <si>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</si>
  <si>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</si>
  <si>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</si>
  <si>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</si>
  <si>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</si>
  <si>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</si>
  <si>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</si>
  <si>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</si>
  <si>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</si>
  <si>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</si>
  <si>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</si>
  <si>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</si>
  <si>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</si>
  <si>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</si>
  <si>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</si>
  <si>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</si>
  <si>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</si>
  <si>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</si>
  <si>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</si>
  <si>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</si>
  <si>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</si>
  <si>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</si>
  <si>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</si>
  <si>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</si>
  <si>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</si>
  <si>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</si>
  <si>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建筑面积（含人防）</t>
  </si>
  <si>
    <t>普通写字楼</t>
  </si>
  <si>
    <t>2.5-3.0</t>
  </si>
  <si>
    <t>经营性用途（预留10格)</t>
  </si>
  <si>
    <t>低密写字楼</t>
  </si>
  <si>
    <t>3.5-5</t>
  </si>
  <si>
    <t>层高</t>
  </si>
  <si>
    <t>本项目按1层3.5租金计算</t>
  </si>
  <si>
    <t>16.55/-9.3</t>
  </si>
  <si>
    <t>8/-9.3</t>
  </si>
  <si>
    <t>地块名称</t>
  </si>
  <si>
    <t>地块编号</t>
  </si>
  <si>
    <t>用地性质</t>
  </si>
  <si>
    <t>建设用地面积(㎡)</t>
  </si>
  <si>
    <t>规划建筑面积(㎡)</t>
  </si>
  <si>
    <t>出让方式</t>
  </si>
  <si>
    <t>详细规划</t>
  </si>
  <si>
    <t>成交日期</t>
  </si>
  <si>
    <t>成交状态</t>
  </si>
  <si>
    <t>受让单位</t>
  </si>
  <si>
    <t>成交价(万元)</t>
  </si>
  <si>
    <t>成交每亩价(万元/亩)</t>
  </si>
  <si>
    <t>成交楼面价(元/㎡)</t>
  </si>
  <si>
    <t>溢价率(%)</t>
  </si>
  <si>
    <t>出让年限(年)</t>
  </si>
  <si>
    <t>地面价</t>
  </si>
  <si>
    <t>折算50年地面价</t>
  </si>
  <si>
    <t>顺义新城3401街区(高丽营镇中关村科技园区顺义园三代半产业基地)2号地 2-1(东区)地块M1工业用地国有建设用地使用权出让</t>
  </si>
  <si>
    <t>京土整储挂(顺)工业[2022]002号</t>
  </si>
  <si>
    <t xml:space="preserve"> 工业用地</t>
  </si>
  <si>
    <t xml:space="preserve"> ≤1.5</t>
  </si>
  <si>
    <t xml:space="preserve"> 挂牌</t>
  </si>
  <si>
    <t xml:space="preserve"> M1工业用地</t>
  </si>
  <si>
    <t xml:space="preserve"> 已成交</t>
  </si>
  <si>
    <t xml:space="preserve"> 赢合控股集团有限公司  </t>
  </si>
  <si>
    <t>顺义新城3401街区(高丽营镇中关村顺义园三代半产业基地)3-2-3(3号地B)地块M1工业用地国有建设用地使用权出让</t>
  </si>
  <si>
    <t>京土整储挂(顺)工业[2022]003号</t>
  </si>
  <si>
    <t xml:space="preserve"> 泰科天润半导体科技(北京)有限公司  </t>
  </si>
  <si>
    <t>顺义新城第30街区30-27-02地块M1工业用地国有建设用地使用权出让</t>
  </si>
  <si>
    <t>京土整储挂(顺)工业[2022]001号</t>
  </si>
  <si>
    <t xml:space="preserve"> ≤1.3</t>
  </si>
  <si>
    <t xml:space="preserve"> 亿讯时代(北京)数据科技有限公司  </t>
  </si>
  <si>
    <t xml:space="preserve"> 20年</t>
  </si>
  <si>
    <t>京平公转铁综合物流枢纽产业园土地整理(一期)一级开发项目南场区PG05-0003-B004地块</t>
  </si>
  <si>
    <t>京规自挂(平)工业【2022】001</t>
  </si>
  <si>
    <t xml:space="preserve"> ≥1.0,≤1.0</t>
  </si>
  <si>
    <t xml:space="preserve"> W1物流用地</t>
  </si>
  <si>
    <t xml:space="preserve"> 北京金谷智通绿链科技有限公司  </t>
  </si>
  <si>
    <t xml:space="preserve"> 50年</t>
  </si>
  <si>
    <t>顺义区马坡聚源工业区A02-2-2地块</t>
  </si>
  <si>
    <t>京土整储挂(顺)工业[2021]001号</t>
  </si>
  <si>
    <t xml:space="preserve"> ≤1.6</t>
  </si>
  <si>
    <t xml:space="preserve"> 北京奕承科技有限公司  </t>
  </si>
  <si>
    <t>顺义区赵全营镇SY04-0100-6006-1-2地块</t>
  </si>
  <si>
    <t>京土整储挂(顺)工业研发[2021]002号</t>
  </si>
  <si>
    <t xml:space="preserve"> ≤1.80</t>
  </si>
  <si>
    <t xml:space="preserve"> 北京理工华创电动车技术有限公司  </t>
  </si>
  <si>
    <t>北京市顺义临空国际(科创功能区)6-1-1地块M1一类工业用地国有建设用地</t>
  </si>
  <si>
    <t>京土整储挂(顺)工业[2020]002号</t>
  </si>
  <si>
    <t xml:space="preserve"> ≥0.8;≤2</t>
  </si>
  <si>
    <t xml:space="preserve"> 一类工业用地</t>
  </si>
  <si>
    <t xml:space="preserve"> 中电科光电科技有限公司 、中国电子科技集团公司第十一研究所  </t>
  </si>
  <si>
    <t>顺义区赵全营板桥SY04-0100-6006-2地块M4工业研发用地</t>
  </si>
  <si>
    <t>京土整储挂(顺)研发【2019】004号</t>
  </si>
  <si>
    <t xml:space="preserve"> ≤1.8</t>
  </si>
  <si>
    <t xml:space="preserve"> 工业研发M4</t>
  </si>
  <si>
    <t xml:space="preserve"> 北京怡和中源科技有限公司  </t>
  </si>
  <si>
    <t>顺义区赵全营镇SY04-0100-6006-3地块M4工业研发项目</t>
  </si>
  <si>
    <t>京土整储挂(顺)工业研发[2019]002号</t>
  </si>
  <si>
    <t xml:space="preserve"> M4工业研发</t>
  </si>
  <si>
    <t xml:space="preserve"> 北京吉源医药科技有限公司  </t>
  </si>
  <si>
    <t>顺义区SY02-0200-6001、6002地块M4工业研发项目</t>
  </si>
  <si>
    <t>京土整储挂(顺)工业研发[2019]001号</t>
  </si>
  <si>
    <t xml:space="preserve"> 北京控制工程研究所  </t>
  </si>
  <si>
    <t>顺义区赵全营镇SY04-0100-6006-4地块M4工业研发项目</t>
  </si>
  <si>
    <t>京土整储挂(顺)工业研发[2019]003号</t>
  </si>
  <si>
    <t xml:space="preserve"> 北京连山科技股份有限公司  </t>
  </si>
  <si>
    <t>顺义新城第14街区SY00-0014-6001M1一类工业用地项目</t>
  </si>
  <si>
    <t>京土整储挂(顺)工业[2017]004号</t>
  </si>
  <si>
    <t xml:space="preserve"> M1一类工业用地</t>
  </si>
  <si>
    <t xml:space="preserve"> 北京星汉特种印刷有限公司  </t>
  </si>
  <si>
    <t>顺义区天竺综合保税区3-4(C12地块局部)地块</t>
  </si>
  <si>
    <t>京土整储挂(顺)工业[2017]002</t>
  </si>
  <si>
    <t xml:space="preserve"> W2普通仓储用地</t>
  </si>
  <si>
    <t xml:space="preserve"> 经纬供应链管理(北京)有限公司  </t>
  </si>
  <si>
    <t>顺义区新城第26街区C-19(网内8号地)</t>
  </si>
  <si>
    <t>京土整储挂(顺)工业[2017]003</t>
  </si>
  <si>
    <t xml:space="preserve"> 北京天保宏远物流发展有限公司  </t>
  </si>
  <si>
    <t>顺义区赵全营镇SY19-0107-0001至0003(即SY10-0107-6003)地块</t>
  </si>
  <si>
    <t>京土整储挂(顺)工业[2017]001号</t>
  </si>
  <si>
    <t xml:space="preserve"> 北京汽车集团有限公司  </t>
  </si>
  <si>
    <t>京平公转铁综合物流枢纽产业园土地整理(一期)一级开发项目北场区PG05-0001-B019地块</t>
  </si>
  <si>
    <t>京规自挂(平)工业[2022]002号</t>
  </si>
  <si>
    <t xml:space="preserve"> W1类物流用地</t>
  </si>
  <si>
    <t xml:space="preserve"> 北京劢迪鸿运仓储服务有限公司  </t>
  </si>
  <si>
    <t>北京市昌平区北郊农场工业前期开发项目CP00-1805-0011等地块土地一级开发项目CP01-0602-0006、CP01-0602-0008地块M1一类工业用地</t>
  </si>
  <si>
    <t>京规自挂(昌)工业[2022]002号</t>
  </si>
  <si>
    <t xml:space="preserve"> 北京中维益道生物技术有限公司  </t>
  </si>
  <si>
    <t xml:space="preserve"> 北20年</t>
  </si>
  <si>
    <t>北京市昌平区中关村科技园昌平园东区(二期)土地一级开发项目CP00-0303-6035-A地块 M1一类工业用地</t>
  </si>
  <si>
    <t>京规自挂(昌)工业[2022]001号</t>
  </si>
  <si>
    <t xml:space="preserve"> ≤1.2</t>
  </si>
  <si>
    <t xml:space="preserve"> 北京新雷能科技股份有限公司  </t>
  </si>
  <si>
    <t>北京市昌平区中关村科技园昌平园东区(二期)土地一级开发项目CP00-0303-6035-B地块</t>
  </si>
  <si>
    <t>京土整储挂(昌)工业[2021]003号</t>
  </si>
  <si>
    <t xml:space="preserve"> M1 一类工业用地</t>
  </si>
  <si>
    <t xml:space="preserve"> 北京爱康宜诚医疗器材有限公司  </t>
  </si>
  <si>
    <t>北京市昌平区回龙观信息产业基地二期(一)项目CP01-0801-0007、0009、0010地块</t>
  </si>
  <si>
    <t>京土整储挂(昌)工业[2021]004号</t>
  </si>
  <si>
    <t xml:space="preserve"> 北京天诚医药科技有限公司  </t>
  </si>
  <si>
    <t>北京市平谷新城北部产业用地D02-01地块M1工业用地国有建设用地使用权出让公告</t>
  </si>
  <si>
    <t>京土整储挂(平)工业【2021】003号</t>
  </si>
  <si>
    <t xml:space="preserve"> ≤1.1</t>
  </si>
  <si>
    <t xml:space="preserve"> 北京同生科技有限公司  </t>
  </si>
  <si>
    <t>北京市平谷新城北部产业用地F01地块M1工业用地国有建设用地使用权出让公告</t>
  </si>
  <si>
    <t>京土整储挂(平)工业【2021】004号</t>
  </si>
  <si>
    <t xml:space="preserve"> ≤1.0</t>
  </si>
  <si>
    <t xml:space="preserve"> 北京二十二城一号供应链管理有限公司  </t>
  </si>
  <si>
    <t>北京市昌平区南口镇工业用地(三期)土地一级开发项目2-2、3-1地块M1一类工业用地</t>
  </si>
  <si>
    <t>京土整储挂(昌)工业[2021]002号</t>
  </si>
  <si>
    <t xml:space="preserve"> 北京市三一重机有限公司  </t>
  </si>
  <si>
    <t>北京市昌平区回龙观国际信息产业基地二期(二)地块土地一级开发项目CP00-0320-0002、CP00-0320-0003地块M1一类工业用地国有建设用地使用权出让公告</t>
  </si>
  <si>
    <t>京土整储挂(昌)工业[2021]001号</t>
  </si>
  <si>
    <t xml:space="preserve"> ≤2</t>
  </si>
  <si>
    <t xml:space="preserve"> 谧谷(北京)信息科技有限公司  </t>
  </si>
  <si>
    <t>北京市平谷新城北部产业用地F05-05地块M2工业用地</t>
  </si>
  <si>
    <t>京土整储挂(平)工业【2020】001号</t>
  </si>
  <si>
    <t xml:space="preserve"> ≤1</t>
  </si>
  <si>
    <t xml:space="preserve"> M2工业用地</t>
  </si>
  <si>
    <t xml:space="preserve"> 北京市富乐科技开发有限公司  </t>
  </si>
  <si>
    <t>平谷区新城北部产业用地F05-04地块工业用地</t>
  </si>
  <si>
    <t>京土整储挂(平)工业[2019]001号</t>
  </si>
  <si>
    <t xml:space="preserve"> 北京中安泰华科技有限公司  </t>
  </si>
  <si>
    <t>平谷区新城北部产业用地F05-02地块工业用地</t>
  </si>
  <si>
    <t>京土整储挂(平)工业【2018】001号</t>
  </si>
  <si>
    <t xml:space="preserve"> 工业</t>
  </si>
  <si>
    <t xml:space="preserve"> 北京联东金木投资有限公司  </t>
  </si>
  <si>
    <t>平谷区新城北部产业用地F05-03地块工业用地</t>
  </si>
  <si>
    <t>京土整储挂(平)工业【2018】002号</t>
  </si>
  <si>
    <t xml:space="preserve"> 北京银都天盛科技有限公司  </t>
  </si>
  <si>
    <t>平谷区新城北部产业用地F13地块用地项目</t>
  </si>
  <si>
    <t>京土整储挂(平)工业【2016】001号</t>
  </si>
  <si>
    <t xml:space="preserve"> M2二类工业用地</t>
  </si>
  <si>
    <t xml:space="preserve"> 北京兴谷中心企业创新投资管理有限公司  </t>
  </si>
  <si>
    <t>平谷区新城北部产业用地D02、D04地块工业用地</t>
  </si>
  <si>
    <t>京土整储工挂(平)【2014】01号</t>
  </si>
  <si>
    <t xml:space="preserve"> M1-3工业用地</t>
  </si>
  <si>
    <t xml:space="preserve"> 北京联东金平投资管理有限公司  </t>
  </si>
  <si>
    <t>北京市基准地价表</t>
  </si>
  <si>
    <t>地价类型</t>
  </si>
  <si>
    <t>楼面熟地价</t>
  </si>
  <si>
    <t>（一）北京市级别基准地价表</t>
  </si>
  <si>
    <t>基准期日：２０１４年１月１日                        单位：元／建筑平方米</t>
  </si>
  <si>
    <t>用途</t>
  </si>
  <si>
    <t>居住</t>
  </si>
  <si>
    <t>低限</t>
  </si>
  <si>
    <t>高限</t>
  </si>
</sst>
</file>

<file path=xl/styles.xml><?xml version="1.0" encoding="utf-8"?>
<styleSheet xmlns="http://schemas.openxmlformats.org/spreadsheetml/2006/main">
  <numFmts count="25">
    <numFmt numFmtId="41" formatCode="_ * #,##0_ ;_ * \-#,##0_ ;_ * &quot;-&quot;_ ;_ @_ "/>
    <numFmt numFmtId="44" formatCode="_ &quot;￥&quot;* #,##0.00_ ;_ &quot;￥&quot;* \-#,##0.00_ ;_ &quot;￥&quot;* &quot;-&quot;??_ ;_ @_ "/>
    <numFmt numFmtId="42" formatCode="_ &quot;￥&quot;* #,##0_ ;_ &quot;￥&quot;* \-#,##0_ ;_ &quot;￥&quot;* &quot;-&quot;_ ;_ @_ "/>
    <numFmt numFmtId="176" formatCode="0.0_);[Red]\(0.0\)"/>
    <numFmt numFmtId="43" formatCode="_ * #,##0.00_ ;_ * \-#,##0.00_ ;_ * &quot;-&quot;??_ ;_ @_ "/>
    <numFmt numFmtId="177" formatCode="yyyy/m/d;@"/>
    <numFmt numFmtId="178" formatCode="0.000_ "/>
    <numFmt numFmtId="179" formatCode="0.00_ "/>
    <numFmt numFmtId="180" formatCode="0.0%"/>
    <numFmt numFmtId="181" formatCode="0_ "/>
    <numFmt numFmtId="182" formatCode="0_);[Red]\(0\)"/>
    <numFmt numFmtId="183" formatCode="yyyy&quot;年&quot;m&quot;月&quot;d&quot;日&quot;;@"/>
    <numFmt numFmtId="184" formatCode="0.00_);[Red]\(0.00\)"/>
    <numFmt numFmtId="185" formatCode="0.000_);[Red]\(0.000\)"/>
    <numFmt numFmtId="186" formatCode="0.0_ "/>
    <numFmt numFmtId="187" formatCode="0.0000%"/>
    <numFmt numFmtId="188" formatCode="0.0000_ "/>
    <numFmt numFmtId="189" formatCode="yyyy&quot;年&quot;m&quot;月&quot;;@"/>
    <numFmt numFmtId="190" formatCode="0_ ;[Red]\-0\ "/>
    <numFmt numFmtId="191" formatCode="0.000%"/>
    <numFmt numFmtId="192" formatCode="[$-F800]dddd\,\ mmmm\ dd\,\ yyyy"/>
    <numFmt numFmtId="193" formatCode="0;_쐀"/>
    <numFmt numFmtId="194" formatCode="[DBNum2][$-804]General"/>
    <numFmt numFmtId="195" formatCode="[DBNum1][$-804]General"/>
    <numFmt numFmtId="196" formatCode="[DBNum1][$-804]yyyy&quot;年&quot;m&quot;月&quot;d&quot;日&quot;;@"/>
  </numFmts>
  <fonts count="235">
    <font>
      <sz val="11"/>
      <color theme="1"/>
      <name val="宋体"/>
      <charset val="134"/>
      <scheme val="minor"/>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sz val="10"/>
      <color rgb="FF000000"/>
      <name val="Arial"/>
      <charset val="134"/>
    </font>
    <font>
      <sz val="10"/>
      <color theme="1"/>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sz val="11"/>
      <name val="Arial"/>
      <charset val="134"/>
    </font>
    <font>
      <b/>
      <sz val="16"/>
      <color rgb="FFFF0000"/>
      <name val="Arial"/>
      <charset val="134"/>
    </font>
    <font>
      <b/>
      <sz val="16"/>
      <name val="Arial"/>
      <charset val="134"/>
    </font>
    <font>
      <b/>
      <sz val="16"/>
      <color indexed="10"/>
      <name val="Arial"/>
      <charset val="134"/>
    </font>
    <font>
      <b/>
      <sz val="12"/>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sz val="11"/>
      <color theme="1"/>
      <name val="Arial"/>
      <charset val="134"/>
    </font>
    <font>
      <b/>
      <sz val="11"/>
      <color indexed="53"/>
      <name val="Arial"/>
      <charset val="134"/>
    </font>
    <font>
      <b/>
      <sz val="10"/>
      <name val="Arial"/>
      <charset val="134"/>
    </font>
    <font>
      <sz val="10"/>
      <name val="Arial"/>
      <charset val="134"/>
    </font>
    <font>
      <b/>
      <sz val="16"/>
      <color indexed="8"/>
      <name val="Arial"/>
      <charset val="134"/>
    </font>
    <font>
      <sz val="12"/>
      <color indexed="8"/>
      <name val="Arial"/>
      <charset val="134"/>
    </font>
    <font>
      <sz val="12"/>
      <name val="Arial"/>
      <charset val="134"/>
    </font>
    <font>
      <sz val="12"/>
      <color indexed="53"/>
      <name val="Arial"/>
      <charset val="134"/>
    </font>
    <font>
      <sz val="11"/>
      <color rgb="FFFF0000"/>
      <name val="Arial"/>
      <charset val="134"/>
    </font>
    <font>
      <sz val="11"/>
      <name val="宋体"/>
      <charset val="134"/>
    </font>
    <font>
      <sz val="11"/>
      <color rgb="FF000000"/>
      <name val="宋体"/>
      <charset val="134"/>
    </font>
    <font>
      <sz val="12"/>
      <color theme="1"/>
      <name val="宋体"/>
      <charset val="134"/>
      <scheme val="minor"/>
    </font>
    <font>
      <sz val="12"/>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1"/>
      <color theme="1"/>
      <name val="仿宋_GB2312"/>
      <charset val="134"/>
    </font>
    <font>
      <b/>
      <sz val="10"/>
      <color theme="1"/>
      <name val="仿宋_GB2312"/>
      <charset val="134"/>
    </font>
    <font>
      <sz val="10"/>
      <color theme="1"/>
      <name val="仿宋_GB2312"/>
      <charset val="134"/>
    </font>
    <font>
      <sz val="11"/>
      <color theme="1"/>
      <name val="仿宋_GB2312"/>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sz val="10"/>
      <color indexed="10"/>
      <name val="Arial"/>
      <charset val="134"/>
    </font>
    <font>
      <b/>
      <sz val="10"/>
      <color indexed="8"/>
      <name val="Arial"/>
      <charset val="134"/>
    </font>
    <font>
      <sz val="10"/>
      <color theme="9" tint="-0.249977111117893"/>
      <name val="Arial"/>
      <charset val="134"/>
    </font>
    <font>
      <b/>
      <sz val="12"/>
      <color indexed="8"/>
      <name val="Arial"/>
      <charset val="134"/>
    </font>
    <font>
      <b/>
      <sz val="10"/>
      <color theme="1"/>
      <name val="Arial"/>
      <charset val="134"/>
    </font>
    <font>
      <b/>
      <sz val="10"/>
      <color theme="0"/>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0"/>
      <color rgb="FF707070"/>
      <name val="Arial"/>
      <charset val="134"/>
    </font>
    <font>
      <b/>
      <sz val="12"/>
      <color theme="1"/>
      <name val="Arial"/>
      <charset val="134"/>
    </font>
    <font>
      <b/>
      <sz val="12"/>
      <name val="仿宋_GB2312"/>
      <charset val="134"/>
    </font>
    <font>
      <sz val="10"/>
      <name val="仿宋_GB2312"/>
      <charset val="134"/>
    </font>
    <font>
      <sz val="10"/>
      <color rgb="FF000000"/>
      <name val="仿宋_GB2312"/>
      <charset val="134"/>
    </font>
    <font>
      <sz val="10"/>
      <color theme="1"/>
      <name val="宋体"/>
      <charset val="134"/>
      <scheme val="minor"/>
    </font>
    <font>
      <b/>
      <sz val="10"/>
      <color theme="1"/>
      <name val="宋体"/>
      <charset val="134"/>
      <scheme val="minor"/>
    </font>
    <font>
      <b/>
      <sz val="11"/>
      <color theme="0" tint="-0.499984740745262"/>
      <name val="Arial"/>
      <charset val="134"/>
    </font>
    <font>
      <b/>
      <sz val="10"/>
      <color rgb="FFFF0000"/>
      <name val="Arial"/>
      <charset val="134"/>
    </font>
    <font>
      <b/>
      <sz val="11"/>
      <color rgb="FFFF0000"/>
      <name val="Arial"/>
      <charset val="134"/>
    </font>
    <font>
      <b/>
      <sz val="11"/>
      <color theme="1"/>
      <name val="Arial"/>
      <charset val="134"/>
    </font>
    <font>
      <sz val="12"/>
      <color rgb="FFFF0000"/>
      <name val="Arial"/>
      <charset val="134"/>
    </font>
    <font>
      <b/>
      <sz val="12"/>
      <color indexed="10"/>
      <name val="Arial"/>
      <charset val="134"/>
    </font>
    <font>
      <sz val="9"/>
      <name val="宋体"/>
      <charset val="134"/>
    </font>
    <font>
      <sz val="9"/>
      <name val="Arial"/>
      <charset val="134"/>
    </font>
    <font>
      <b/>
      <sz val="16"/>
      <name val="宋体"/>
      <charset val="134"/>
    </font>
    <font>
      <b/>
      <sz val="10"/>
      <color theme="9" tint="-0.249977111117893"/>
      <name val="Arial"/>
      <charset val="134"/>
    </font>
    <font>
      <sz val="12"/>
      <name val="宋体"/>
      <charset val="134"/>
    </font>
    <font>
      <b/>
      <sz val="12"/>
      <name val="宋体"/>
      <charset val="134"/>
    </font>
    <font>
      <i/>
      <sz val="10"/>
      <color indexed="8"/>
      <name val="Arial"/>
      <charset val="134"/>
    </font>
    <font>
      <sz val="10"/>
      <color indexed="8"/>
      <name val="宋体"/>
      <charset val="134"/>
    </font>
    <font>
      <b/>
      <sz val="12"/>
      <color rgb="FFFF0000"/>
      <name val="Arial"/>
      <charset val="134"/>
    </font>
    <font>
      <b/>
      <sz val="14"/>
      <color rgb="FFFF0000"/>
      <name val="Arial"/>
      <charset val="134"/>
    </font>
    <font>
      <u/>
      <sz val="11"/>
      <color rgb="FFFF0000"/>
      <name val="Arial"/>
      <charset val="134"/>
    </font>
    <font>
      <sz val="10"/>
      <color rgb="FF000000"/>
      <name val="宋体"/>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2"/>
      <color indexed="8"/>
      <name val="楷体_GB2312"/>
      <charset val="134"/>
    </font>
    <font>
      <sz val="12"/>
      <color theme="1"/>
      <name val="楷体_GB2312"/>
      <charset val="134"/>
    </font>
    <font>
      <sz val="9"/>
      <color rgb="FFFF0000"/>
      <name val="Arial"/>
      <charset val="134"/>
    </font>
    <font>
      <sz val="11"/>
      <color indexed="8"/>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2"/>
      <color rgb="FFFF000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sz val="11"/>
      <color theme="0"/>
      <name val="宋体"/>
      <charset val="0"/>
      <scheme val="minor"/>
    </font>
    <font>
      <sz val="11"/>
      <color theme="1"/>
      <name val="宋体"/>
      <charset val="0"/>
      <scheme val="minor"/>
    </font>
    <font>
      <sz val="11"/>
      <color rgb="FF3F3F76"/>
      <name val="宋体"/>
      <charset val="0"/>
      <scheme val="minor"/>
    </font>
    <font>
      <b/>
      <sz val="15"/>
      <color theme="3"/>
      <name val="宋体"/>
      <charset val="134"/>
      <scheme val="minor"/>
    </font>
    <font>
      <sz val="11"/>
      <color rgb="FF9C0006"/>
      <name val="宋体"/>
      <charset val="0"/>
      <scheme val="minor"/>
    </font>
    <font>
      <b/>
      <sz val="18"/>
      <color theme="3"/>
      <name val="宋体"/>
      <charset val="134"/>
      <scheme val="minor"/>
    </font>
    <font>
      <sz val="11"/>
      <color rgb="FF9C6500"/>
      <name val="宋体"/>
      <charset val="0"/>
      <scheme val="minor"/>
    </font>
    <font>
      <sz val="11"/>
      <color rgb="FF006100"/>
      <name val="宋体"/>
      <charset val="0"/>
      <scheme val="minor"/>
    </font>
    <font>
      <u/>
      <sz val="11"/>
      <color rgb="FF0000FF"/>
      <name val="宋体"/>
      <charset val="0"/>
      <scheme val="minor"/>
    </font>
    <font>
      <b/>
      <sz val="11"/>
      <color rgb="FFFA7D00"/>
      <name val="宋体"/>
      <charset val="0"/>
      <scheme val="minor"/>
    </font>
    <font>
      <u/>
      <sz val="11"/>
      <color rgb="FF800080"/>
      <name val="宋体"/>
      <charset val="0"/>
      <scheme val="minor"/>
    </font>
    <font>
      <b/>
      <sz val="11"/>
      <color theme="3"/>
      <name val="宋体"/>
      <charset val="134"/>
      <scheme val="minor"/>
    </font>
    <font>
      <b/>
      <sz val="11"/>
      <color rgb="FFFFFFFF"/>
      <name val="宋体"/>
      <charset val="0"/>
      <scheme val="minor"/>
    </font>
    <font>
      <b/>
      <sz val="11"/>
      <color rgb="FF3F3F3F"/>
      <name val="宋体"/>
      <charset val="0"/>
      <scheme val="minor"/>
    </font>
    <font>
      <sz val="11"/>
      <color rgb="FFFF0000"/>
      <name val="宋体"/>
      <charset val="0"/>
      <scheme val="minor"/>
    </font>
    <font>
      <b/>
      <sz val="13"/>
      <color theme="3"/>
      <name val="宋体"/>
      <charset val="134"/>
      <scheme val="minor"/>
    </font>
    <font>
      <i/>
      <sz val="11"/>
      <color rgb="FF7F7F7F"/>
      <name val="宋体"/>
      <charset val="0"/>
      <scheme val="minor"/>
    </font>
    <font>
      <sz val="11"/>
      <color rgb="FFFA7D00"/>
      <name val="宋体"/>
      <charset val="0"/>
      <scheme val="minor"/>
    </font>
    <font>
      <b/>
      <sz val="11"/>
      <color theme="1"/>
      <name val="宋体"/>
      <charset val="0"/>
      <scheme val="minor"/>
    </font>
    <font>
      <b/>
      <sz val="16"/>
      <color indexed="10"/>
      <name val="宋体"/>
      <charset val="134"/>
    </font>
    <font>
      <b/>
      <sz val="11"/>
      <name val="宋体"/>
      <charset val="134"/>
    </font>
    <font>
      <sz val="11"/>
      <color indexed="8"/>
      <name val="宋体"/>
      <charset val="134"/>
    </font>
    <font>
      <sz val="11"/>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8"/>
      <color indexed="10"/>
      <name val="΢ȭхڬˎ̥"/>
      <charset val="134"/>
    </font>
    <font>
      <b/>
      <sz val="16"/>
      <color indexed="10"/>
      <name val="楷体_GB2312"/>
      <charset val="134"/>
    </font>
    <font>
      <sz val="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sz val="10"/>
      <color rgb="FF707070"/>
      <name val="宋体"/>
      <charset val="134"/>
    </font>
    <font>
      <sz val="11"/>
      <color theme="1"/>
      <name val="宋体"/>
      <charset val="134"/>
    </font>
    <font>
      <sz val="10"/>
      <color indexed="10"/>
      <name val="宋体"/>
      <charset val="134"/>
    </font>
    <font>
      <b/>
      <sz val="11"/>
      <color rgb="FFFF0000"/>
      <name val="宋体"/>
      <charset val="134"/>
    </font>
    <font>
      <b/>
      <sz val="11"/>
      <color indexed="10"/>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i/>
      <sz val="10"/>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sz val="9"/>
      <color indexed="8"/>
      <name val="宋体"/>
      <charset val="134"/>
    </font>
    <font>
      <b/>
      <i/>
      <sz val="11"/>
      <color theme="3" tint="0.399975585192419"/>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75585192419"/>
      <name val="宋体"/>
      <charset val="134"/>
    </font>
    <font>
      <b/>
      <sz val="12"/>
      <color rgb="FF000000"/>
      <name val="宋体"/>
      <charset val="134"/>
    </font>
    <font>
      <b/>
      <sz val="18"/>
      <color theme="1"/>
      <name val="宋体"/>
      <charset val="134"/>
    </font>
    <font>
      <b/>
      <sz val="14"/>
      <color rgb="FF000000"/>
      <name val="宋体"/>
      <charset val="134"/>
    </font>
    <font>
      <i/>
      <sz val="14"/>
      <color theme="3" tint="0.399975585192419"/>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2"/>
      <name val="楷体_GB2312"/>
      <charset val="134"/>
    </font>
    <font>
      <sz val="16"/>
      <name val="宋体"/>
      <charset val="134"/>
    </font>
    <font>
      <sz val="9"/>
      <name val="宋体"/>
      <charset val="134"/>
    </font>
    <font>
      <sz val="12"/>
      <name val="仿宋_GB2312"/>
      <charset val="134"/>
    </font>
    <font>
      <sz val="12"/>
      <name val="宋体"/>
      <charset val="0"/>
      <scheme val="minor"/>
    </font>
    <font>
      <b/>
      <sz val="8"/>
      <name val="宋体"/>
      <charset val="134"/>
    </font>
    <font>
      <sz val="11"/>
      <name val="楷体_GB2312"/>
      <charset val="134"/>
    </font>
    <font>
      <b/>
      <sz val="12"/>
      <name val="宋体"/>
      <charset val="134"/>
    </font>
    <font>
      <sz val="14"/>
      <name val="楷体_GB2312"/>
      <charset val="134"/>
    </font>
    <font>
      <sz val="12"/>
      <name val="宋体"/>
      <charset val="134"/>
    </font>
    <font>
      <sz val="11"/>
      <name val="宋体"/>
      <charset val="134"/>
    </font>
    <font>
      <b/>
      <sz val="11"/>
      <name val="宋体"/>
      <charset val="134"/>
    </font>
    <font>
      <sz val="10"/>
      <name val="宋体"/>
      <charset val="134"/>
    </font>
    <font>
      <b/>
      <sz val="9"/>
      <name val="宋体"/>
      <charset val="134"/>
    </font>
  </fonts>
  <fills count="49">
    <fill>
      <patternFill patternType="none"/>
    </fill>
    <fill>
      <patternFill patternType="gray125"/>
    </fill>
    <fill>
      <patternFill patternType="solid">
        <fgColor theme="0" tint="-0.249977111117893"/>
        <bgColor indexed="64"/>
      </patternFill>
    </fill>
    <fill>
      <patternFill patternType="solid">
        <fgColor indexed="13"/>
        <bgColor indexed="64"/>
      </patternFill>
    </fill>
    <fill>
      <patternFill patternType="solid">
        <fgColor indexed="9"/>
        <bgColor indexed="64"/>
      </patternFill>
    </fill>
    <fill>
      <patternFill patternType="solid">
        <fgColor theme="9" tint="-0.249977111117893"/>
        <bgColor indexed="64"/>
      </patternFill>
    </fill>
    <fill>
      <patternFill patternType="solid">
        <fgColor rgb="FFFFFFFF"/>
        <bgColor indexed="64"/>
      </patternFill>
    </fill>
    <fill>
      <patternFill patternType="solid">
        <fgColor rgb="FFFFFF00"/>
        <bgColor indexed="64"/>
      </patternFill>
    </fill>
    <fill>
      <patternFill patternType="solid">
        <fgColor theme="3" tint="0.4"/>
        <bgColor indexed="64"/>
      </patternFill>
    </fill>
    <fill>
      <patternFill patternType="solid">
        <fgColor theme="4"/>
        <bgColor indexed="64"/>
      </patternFill>
    </fill>
    <fill>
      <patternFill patternType="solid">
        <fgColor rgb="FFFF0000"/>
        <bgColor indexed="64"/>
      </patternFill>
    </fill>
    <fill>
      <patternFill patternType="solid">
        <fgColor theme="0"/>
        <bgColor indexed="64"/>
      </patternFill>
    </fill>
    <fill>
      <patternFill patternType="solid">
        <fgColor theme="8" tint="0.599993896298105"/>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theme="6" tint="0.599993896298105"/>
        <bgColor indexed="64"/>
      </patternFill>
    </fill>
    <fill>
      <patternFill patternType="solid">
        <fgColor theme="0" tint="-0.149998474074526"/>
        <bgColor indexed="64"/>
      </patternFill>
    </fill>
    <fill>
      <patternFill patternType="solid">
        <fgColor theme="7" tint="0.399975585192419"/>
        <bgColor indexed="64"/>
      </patternFill>
    </fill>
    <fill>
      <patternFill patternType="solid">
        <fgColor rgb="FFFFC000"/>
        <bgColor indexed="64"/>
      </patternFill>
    </fill>
    <fill>
      <patternFill patternType="solid">
        <fgColor rgb="FF57EF57"/>
        <bgColor indexed="64"/>
      </patternFill>
    </fill>
    <fill>
      <patternFill patternType="solid">
        <fgColor indexed="10"/>
        <bgColor indexed="64"/>
      </patternFill>
    </fill>
    <fill>
      <patternFill patternType="solid">
        <fgColor rgb="FF92D050"/>
        <bgColor indexed="64"/>
      </patternFill>
    </fill>
    <fill>
      <patternFill patternType="solid">
        <fgColor theme="8"/>
        <bgColor indexed="64"/>
      </patternFill>
    </fill>
    <fill>
      <patternFill patternType="solid">
        <fgColor theme="9" tint="0.799981688894314"/>
        <bgColor indexed="64"/>
      </patternFill>
    </fill>
    <fill>
      <patternFill patternType="solid">
        <fgColor theme="7"/>
        <bgColor indexed="64"/>
      </patternFill>
    </fill>
    <fill>
      <patternFill patternType="solid">
        <fgColor theme="6" tint="0.799981688894314"/>
        <bgColor indexed="64"/>
      </patternFill>
    </fill>
    <fill>
      <patternFill patternType="solid">
        <fgColor theme="4" tint="0.599993896298105"/>
        <bgColor indexed="64"/>
      </patternFill>
    </fill>
    <fill>
      <patternFill patternType="solid">
        <fgColor rgb="FFFFCC99"/>
        <bgColor indexed="64"/>
      </patternFill>
    </fill>
    <fill>
      <patternFill patternType="solid">
        <fgColor rgb="FFFFC7CE"/>
        <bgColor indexed="64"/>
      </patternFill>
    </fill>
    <fill>
      <patternFill patternType="solid">
        <fgColor rgb="FFFFEB9C"/>
        <bgColor indexed="64"/>
      </patternFill>
    </fill>
    <fill>
      <patternFill patternType="solid">
        <fgColor theme="5" tint="0.799981688894314"/>
        <bgColor indexed="64"/>
      </patternFill>
    </fill>
    <fill>
      <patternFill patternType="solid">
        <fgColor theme="8" tint="0.799981688894314"/>
        <bgColor indexed="64"/>
      </patternFill>
    </fill>
    <fill>
      <patternFill patternType="solid">
        <fgColor theme="4" tint="0.799981688894314"/>
        <bgColor indexed="64"/>
      </patternFill>
    </fill>
    <fill>
      <patternFill patternType="solid">
        <fgColor rgb="FFC6EFCE"/>
        <bgColor indexed="64"/>
      </patternFill>
    </fill>
    <fill>
      <patternFill patternType="solid">
        <fgColor rgb="FFF2F2F2"/>
        <bgColor indexed="64"/>
      </patternFill>
    </fill>
    <fill>
      <patternFill patternType="solid">
        <fgColor theme="6"/>
        <bgColor indexed="64"/>
      </patternFill>
    </fill>
    <fill>
      <patternFill patternType="solid">
        <fgColor rgb="FFFFFFCC"/>
        <bgColor indexed="64"/>
      </patternFill>
    </fill>
    <fill>
      <patternFill patternType="solid">
        <fgColor theme="9"/>
        <bgColor indexed="64"/>
      </patternFill>
    </fill>
    <fill>
      <patternFill patternType="solid">
        <fgColor theme="7" tint="0.799981688894314"/>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rgb="FFA5A5A5"/>
        <bgColor indexed="64"/>
      </patternFill>
    </fill>
    <fill>
      <patternFill patternType="solid">
        <fgColor theme="9" tint="0.399975585192419"/>
        <bgColor indexed="64"/>
      </patternFill>
    </fill>
    <fill>
      <patternFill patternType="solid">
        <fgColor theme="5"/>
        <bgColor indexed="64"/>
      </patternFill>
    </fill>
    <fill>
      <patternFill patternType="solid">
        <fgColor theme="7" tint="0.599993896298105"/>
        <bgColor indexed="64"/>
      </patternFill>
    </fill>
    <fill>
      <patternFill patternType="solid">
        <fgColor theme="5" tint="0.599993896298105"/>
        <bgColor indexed="64"/>
      </patternFill>
    </fill>
    <fill>
      <patternFill patternType="solid">
        <fgColor theme="9" tint="0.599993896298105"/>
        <bgColor indexed="64"/>
      </patternFill>
    </fill>
    <fill>
      <patternFill patternType="solid">
        <fgColor theme="8" tint="0.399975585192419"/>
        <bgColor indexed="64"/>
      </patternFill>
    </fill>
  </fills>
  <borders count="168">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top style="thin">
        <color auto="1"/>
      </top>
      <bottom/>
      <diagonal/>
    </border>
    <border>
      <left style="thin">
        <color auto="1"/>
      </left>
      <right style="thin">
        <color auto="1"/>
      </right>
      <top style="thin">
        <color auto="1"/>
      </top>
      <bottom/>
      <diagonal/>
    </border>
    <border>
      <left style="thin">
        <color auto="1"/>
      </left>
      <right style="thin">
        <color auto="1"/>
      </right>
      <top style="thin">
        <color auto="1"/>
      </top>
      <bottom style="medium">
        <color auto="1"/>
      </bottom>
      <diagonal/>
    </border>
    <border>
      <left style="medium">
        <color auto="1"/>
      </left>
      <right/>
      <top style="medium">
        <color auto="1"/>
      </top>
      <bottom/>
      <diagonal/>
    </border>
    <border>
      <left/>
      <right/>
      <top style="medium">
        <color auto="1"/>
      </top>
      <bottom/>
      <diagonal/>
    </border>
    <border>
      <left style="medium">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right style="thin">
        <color auto="1"/>
      </right>
      <top style="medium">
        <color auto="1"/>
      </top>
      <bottom style="thin">
        <color auto="1"/>
      </bottom>
      <diagonal/>
    </border>
    <border>
      <left style="thin">
        <color auto="1"/>
      </left>
      <right/>
      <top style="medium">
        <color auto="1"/>
      </top>
      <bottom style="thin">
        <color auto="1"/>
      </bottom>
      <diagonal/>
    </border>
    <border>
      <left style="medium">
        <color auto="1"/>
      </left>
      <right/>
      <top/>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bottom style="medium">
        <color auto="1"/>
      </bottom>
      <diagonal/>
    </border>
    <border>
      <left/>
      <right/>
      <top/>
      <bottom style="medium">
        <color auto="1"/>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style="thin">
        <color auto="1"/>
      </right>
      <top style="medium">
        <color auto="1"/>
      </top>
      <bottom/>
      <diagonal/>
    </border>
    <border>
      <left style="medium">
        <color auto="1"/>
      </left>
      <right/>
      <top style="medium">
        <color auto="1"/>
      </top>
      <bottom style="thin">
        <color auto="1"/>
      </bottom>
      <diagonal/>
    </border>
    <border>
      <left style="medium">
        <color auto="1"/>
      </left>
      <right style="thin">
        <color auto="1"/>
      </right>
      <top/>
      <bottom/>
      <diagonal/>
    </border>
    <border>
      <left style="medium">
        <color auto="1"/>
      </left>
      <right style="thin">
        <color auto="1"/>
      </right>
      <top/>
      <bottom style="thin">
        <color auto="1"/>
      </bottom>
      <diagonal/>
    </border>
    <border>
      <left/>
      <right style="medium">
        <color auto="1"/>
      </right>
      <top/>
      <bottom style="thin">
        <color auto="1"/>
      </bottom>
      <diagonal/>
    </border>
    <border>
      <left style="medium">
        <color auto="1"/>
      </left>
      <right/>
      <top style="thin">
        <color auto="1"/>
      </top>
      <bottom style="thin">
        <color auto="1"/>
      </bottom>
      <diagonal/>
    </border>
    <border>
      <left style="medium">
        <color auto="1"/>
      </left>
      <right style="thin">
        <color auto="1"/>
      </right>
      <top/>
      <bottom style="medium">
        <color auto="1"/>
      </bottom>
      <diagonal/>
    </border>
    <border>
      <left style="thin">
        <color auto="1"/>
      </left>
      <right/>
      <top style="thin">
        <color auto="1"/>
      </top>
      <bottom style="medium">
        <color auto="1"/>
      </bottom>
      <diagonal/>
    </border>
    <border>
      <left style="medium">
        <color auto="1"/>
      </left>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medium">
        <color auto="1"/>
      </right>
      <top style="medium">
        <color auto="1"/>
      </top>
      <bottom/>
      <diagonal/>
    </border>
    <border>
      <left/>
      <right style="thin">
        <color auto="1"/>
      </right>
      <top style="medium">
        <color auto="1"/>
      </top>
      <bottom/>
      <diagonal/>
    </border>
    <border>
      <left/>
      <right style="medium">
        <color auto="1"/>
      </right>
      <top/>
      <bottom/>
      <diagonal/>
    </border>
    <border>
      <left style="thin">
        <color auto="1"/>
      </left>
      <right style="medium">
        <color auto="1"/>
      </right>
      <top/>
      <bottom style="thin">
        <color auto="1"/>
      </bottom>
      <diagonal/>
    </border>
    <border>
      <left/>
      <right style="thin">
        <color auto="1"/>
      </right>
      <top/>
      <bottom style="thin">
        <color auto="1"/>
      </bottom>
      <diagonal/>
    </border>
    <border>
      <left style="thin">
        <color auto="1"/>
      </left>
      <right style="medium">
        <color auto="1"/>
      </right>
      <top/>
      <bottom/>
      <diagonal/>
    </border>
    <border>
      <left/>
      <right style="thin">
        <color auto="1"/>
      </right>
      <top/>
      <bottom/>
      <diagonal/>
    </border>
    <border>
      <left style="medium">
        <color auto="1"/>
      </left>
      <right/>
      <top/>
      <bottom style="thin">
        <color auto="1"/>
      </bottom>
      <diagonal/>
    </border>
    <border>
      <left/>
      <right/>
      <top/>
      <bottom style="thin">
        <color auto="1"/>
      </bottom>
      <diagonal/>
    </border>
    <border>
      <left style="medium">
        <color auto="1"/>
      </left>
      <right style="thin">
        <color auto="1"/>
      </right>
      <top style="thin">
        <color auto="1"/>
      </top>
      <bottom style="medium">
        <color auto="1"/>
      </bottom>
      <diagonal/>
    </border>
    <border>
      <left/>
      <right style="thin">
        <color auto="1"/>
      </right>
      <top style="thin">
        <color auto="1"/>
      </top>
      <bottom style="medium">
        <color auto="1"/>
      </bottom>
      <diagonal/>
    </border>
    <border>
      <left style="thin">
        <color auto="1"/>
      </left>
      <right/>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right style="medium">
        <color auto="1"/>
      </right>
      <top style="thin">
        <color auto="1"/>
      </top>
      <bottom style="medium">
        <color auto="1"/>
      </bottom>
      <diagonal/>
    </border>
    <border>
      <left/>
      <right/>
      <top style="thin">
        <color auto="1"/>
      </top>
      <bottom style="medium">
        <color auto="1"/>
      </bottom>
      <diagonal/>
    </border>
    <border>
      <left/>
      <right style="medium">
        <color auto="1"/>
      </right>
      <top/>
      <bottom style="medium">
        <color auto="1"/>
      </bottom>
      <diagonal/>
    </border>
    <border>
      <left style="thin">
        <color auto="1"/>
      </left>
      <right style="thin">
        <color auto="1"/>
      </right>
      <top style="medium">
        <color auto="1"/>
      </top>
      <bottom style="thin">
        <color auto="1"/>
      </bottom>
      <diagonal/>
    </border>
    <border>
      <left style="thin">
        <color auto="1"/>
      </left>
      <right/>
      <top/>
      <bottom/>
      <diagonal/>
    </border>
    <border>
      <left style="thin">
        <color auto="1"/>
      </left>
      <right style="thin">
        <color auto="1"/>
      </right>
      <top/>
      <bottom/>
      <diagonal/>
    </border>
    <border>
      <left/>
      <right style="medium">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medium">
        <color auto="1"/>
      </bottom>
      <diagonal/>
    </border>
    <border>
      <left style="thin">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top/>
      <bottom style="medium">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double">
        <color auto="1"/>
      </bottom>
      <diagonal/>
    </border>
    <border>
      <left style="thin">
        <color auto="1"/>
      </left>
      <right/>
      <top style="medium">
        <color auto="1"/>
      </top>
      <bottom/>
      <diagonal/>
    </border>
    <border>
      <left style="thin">
        <color auto="1"/>
      </left>
      <right style="thin">
        <color auto="1"/>
      </right>
      <top style="medium">
        <color auto="1"/>
      </top>
      <bottom style="medium">
        <color auto="1"/>
      </bottom>
      <diagonal/>
    </border>
    <border>
      <left/>
      <right style="medium">
        <color auto="1"/>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medium">
        <color auto="1"/>
      </right>
      <top style="medium">
        <color auto="1"/>
      </top>
      <bottom style="medium">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7F7F7F"/>
      </left>
      <right style="thin">
        <color rgb="FF7F7F7F"/>
      </right>
      <top style="thin">
        <color rgb="FF7F7F7F"/>
      </top>
      <bottom style="thin">
        <color rgb="FF7F7F7F"/>
      </bottom>
      <diagonal/>
    </border>
    <border>
      <left/>
      <right/>
      <top/>
      <bottom style="medium">
        <color theme="4"/>
      </bottom>
      <diagonal/>
    </border>
    <border>
      <left style="thin">
        <color rgb="FFB2B2B2"/>
      </left>
      <right style="thin">
        <color rgb="FFB2B2B2"/>
      </right>
      <top style="thin">
        <color rgb="FFB2B2B2"/>
      </top>
      <bottom style="thin">
        <color rgb="FFB2B2B2"/>
      </bottom>
      <diagonal/>
    </border>
    <border>
      <left/>
      <right/>
      <top/>
      <bottom style="medium">
        <color theme="4" tint="0.499984740745262"/>
      </bottom>
      <diagonal/>
    </border>
    <border>
      <left style="double">
        <color rgb="FF3F3F3F"/>
      </left>
      <right style="double">
        <color rgb="FF3F3F3F"/>
      </right>
      <top style="double">
        <color rgb="FF3F3F3F"/>
      </top>
      <bottom style="double">
        <color rgb="FF3F3F3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right/>
      <top style="thin">
        <color theme="4"/>
      </top>
      <bottom style="double">
        <color theme="4"/>
      </bottom>
      <diagonal/>
    </border>
  </borders>
  <cellStyleXfs count="65">
    <xf numFmtId="0" fontId="0" fillId="0" borderId="0">
      <alignment vertical="center"/>
    </xf>
    <xf numFmtId="42" fontId="0" fillId="0" borderId="0" applyFont="0" applyFill="0" applyBorder="0" applyAlignment="0" applyProtection="0">
      <alignment vertical="center"/>
    </xf>
    <xf numFmtId="0" fontId="141" fillId="26" borderId="0" applyNumberFormat="0" applyBorder="0" applyAlignment="0" applyProtection="0">
      <alignment vertical="center"/>
    </xf>
    <xf numFmtId="0" fontId="142" fillId="28" borderId="160"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41" fillId="16" borderId="0" applyNumberFormat="0" applyBorder="0" applyAlignment="0" applyProtection="0">
      <alignment vertical="center"/>
    </xf>
    <xf numFmtId="0" fontId="144" fillId="29" borderId="0" applyNumberFormat="0" applyBorder="0" applyAlignment="0" applyProtection="0">
      <alignment vertical="center"/>
    </xf>
    <xf numFmtId="43" fontId="0" fillId="0" borderId="0" applyFont="0" applyFill="0" applyBorder="0" applyAlignment="0" applyProtection="0">
      <alignment vertical="center"/>
    </xf>
    <xf numFmtId="0" fontId="140" fillId="13" borderId="0" applyNumberFormat="0" applyBorder="0" applyAlignment="0" applyProtection="0">
      <alignment vertical="center"/>
    </xf>
    <xf numFmtId="0" fontId="148" fillId="0" borderId="0" applyNumberFormat="0" applyFill="0" applyBorder="0" applyAlignment="0" applyProtection="0">
      <alignment vertical="center"/>
    </xf>
    <xf numFmtId="9" fontId="0" fillId="0" borderId="0" applyFont="0" applyFill="0" applyBorder="0" applyAlignment="0" applyProtection="0">
      <alignment vertical="center"/>
    </xf>
    <xf numFmtId="0" fontId="150" fillId="0" borderId="0" applyNumberFormat="0" applyFill="0" applyBorder="0" applyAlignment="0" applyProtection="0">
      <alignment vertical="center"/>
    </xf>
    <xf numFmtId="9" fontId="88" fillId="0" borderId="0" applyFont="0" applyFill="0" applyBorder="0" applyAlignment="0" applyProtection="0">
      <alignment vertical="center"/>
    </xf>
    <xf numFmtId="0" fontId="0" fillId="37" borderId="162" applyNumberFormat="0" applyFont="0" applyAlignment="0" applyProtection="0">
      <alignment vertical="center"/>
    </xf>
    <xf numFmtId="0" fontId="0" fillId="0" borderId="0"/>
    <xf numFmtId="0" fontId="140" fillId="40" borderId="0" applyNumberFormat="0" applyBorder="0" applyAlignment="0" applyProtection="0">
      <alignment vertical="center"/>
    </xf>
    <xf numFmtId="0" fontId="151" fillId="0" borderId="0" applyNumberFormat="0" applyFill="0" applyBorder="0" applyAlignment="0" applyProtection="0">
      <alignment vertical="center"/>
    </xf>
    <xf numFmtId="0" fontId="154" fillId="0" borderId="0" applyNumberFormat="0" applyFill="0" applyBorder="0" applyAlignment="0" applyProtection="0">
      <alignment vertical="center"/>
    </xf>
    <xf numFmtId="0" fontId="145"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09" fillId="0" borderId="0">
      <alignment vertical="center"/>
    </xf>
    <xf numFmtId="0" fontId="109" fillId="0" borderId="0">
      <alignment vertical="center"/>
    </xf>
    <xf numFmtId="0" fontId="143" fillId="0" borderId="161" applyNumberFormat="0" applyFill="0" applyAlignment="0" applyProtection="0">
      <alignment vertical="center"/>
    </xf>
    <xf numFmtId="0" fontId="155" fillId="0" borderId="161" applyNumberFormat="0" applyFill="0" applyAlignment="0" applyProtection="0">
      <alignment vertical="center"/>
    </xf>
    <xf numFmtId="0" fontId="140" fillId="41" borderId="0" applyNumberFormat="0" applyBorder="0" applyAlignment="0" applyProtection="0">
      <alignment vertical="center"/>
    </xf>
    <xf numFmtId="0" fontId="151" fillId="0" borderId="163" applyNumberFormat="0" applyFill="0" applyAlignment="0" applyProtection="0">
      <alignment vertical="center"/>
    </xf>
    <xf numFmtId="0" fontId="140" fillId="18" borderId="0" applyNumberFormat="0" applyBorder="0" applyAlignment="0" applyProtection="0">
      <alignment vertical="center"/>
    </xf>
    <xf numFmtId="0" fontId="153" fillId="35" borderId="165" applyNumberFormat="0" applyAlignment="0" applyProtection="0">
      <alignment vertical="center"/>
    </xf>
    <xf numFmtId="0" fontId="149" fillId="35" borderId="160" applyNumberFormat="0" applyAlignment="0" applyProtection="0">
      <alignment vertical="center"/>
    </xf>
    <xf numFmtId="0" fontId="152" fillId="42" borderId="164" applyNumberFormat="0" applyAlignment="0" applyProtection="0">
      <alignment vertical="center"/>
    </xf>
    <xf numFmtId="0" fontId="157" fillId="0" borderId="166" applyNumberFormat="0" applyFill="0" applyAlignment="0" applyProtection="0">
      <alignment vertical="center"/>
    </xf>
    <xf numFmtId="0" fontId="109" fillId="0" borderId="0">
      <alignment vertical="center"/>
    </xf>
    <xf numFmtId="0" fontId="141" fillId="24" borderId="0" applyNumberFormat="0" applyBorder="0" applyAlignment="0" applyProtection="0">
      <alignment vertical="center"/>
    </xf>
    <xf numFmtId="0" fontId="140" fillId="44" borderId="0" applyNumberFormat="0" applyBorder="0" applyAlignment="0" applyProtection="0">
      <alignment vertical="center"/>
    </xf>
    <xf numFmtId="0" fontId="158" fillId="0" borderId="167" applyNumberFormat="0" applyFill="0" applyAlignment="0" applyProtection="0">
      <alignment vertical="center"/>
    </xf>
    <xf numFmtId="0" fontId="147" fillId="34" borderId="0" applyNumberFormat="0" applyBorder="0" applyAlignment="0" applyProtection="0">
      <alignment vertical="center"/>
    </xf>
    <xf numFmtId="0" fontId="0" fillId="0" borderId="0">
      <alignment vertical="center"/>
    </xf>
    <xf numFmtId="0" fontId="0" fillId="0" borderId="0">
      <alignment vertical="center"/>
    </xf>
    <xf numFmtId="0" fontId="146" fillId="30" borderId="0" applyNumberFormat="0" applyBorder="0" applyAlignment="0" applyProtection="0">
      <alignment vertical="center"/>
    </xf>
    <xf numFmtId="0" fontId="109" fillId="0" borderId="0">
      <alignment vertical="center"/>
    </xf>
    <xf numFmtId="0" fontId="141" fillId="32" borderId="0" applyNumberFormat="0" applyBorder="0" applyAlignment="0" applyProtection="0">
      <alignment vertical="center"/>
    </xf>
    <xf numFmtId="0" fontId="140" fillId="9" borderId="0" applyNumberFormat="0" applyBorder="0" applyAlignment="0" applyProtection="0">
      <alignment vertical="center"/>
    </xf>
    <xf numFmtId="0" fontId="141" fillId="33" borderId="0" applyNumberFormat="0" applyBorder="0" applyAlignment="0" applyProtection="0">
      <alignment vertical="center"/>
    </xf>
    <xf numFmtId="0" fontId="141" fillId="27" borderId="0" applyNumberFormat="0" applyBorder="0" applyAlignment="0" applyProtection="0">
      <alignment vertical="center"/>
    </xf>
    <xf numFmtId="0" fontId="141" fillId="31" borderId="0" applyNumberFormat="0" applyBorder="0" applyAlignment="0" applyProtection="0">
      <alignment vertical="center"/>
    </xf>
    <xf numFmtId="0" fontId="141" fillId="46" borderId="0" applyNumberFormat="0" applyBorder="0" applyAlignment="0" applyProtection="0">
      <alignment vertical="center"/>
    </xf>
    <xf numFmtId="0" fontId="140" fillId="36" borderId="0" applyNumberFormat="0" applyBorder="0" applyAlignment="0" applyProtection="0">
      <alignment vertical="center"/>
    </xf>
    <xf numFmtId="0" fontId="0" fillId="0" borderId="0">
      <alignment vertical="center"/>
    </xf>
    <xf numFmtId="0" fontId="140" fillId="25" borderId="0" applyNumberFormat="0" applyBorder="0" applyAlignment="0" applyProtection="0">
      <alignment vertical="center"/>
    </xf>
    <xf numFmtId="0" fontId="141" fillId="39" borderId="0" applyNumberFormat="0" applyBorder="0" applyAlignment="0" applyProtection="0">
      <alignment vertical="center"/>
    </xf>
    <xf numFmtId="0" fontId="141" fillId="45" borderId="0" applyNumberFormat="0" applyBorder="0" applyAlignment="0" applyProtection="0">
      <alignment vertical="center"/>
    </xf>
    <xf numFmtId="0" fontId="140" fillId="23" borderId="0" applyNumberFormat="0" applyBorder="0" applyAlignment="0" applyProtection="0">
      <alignment vertical="center"/>
    </xf>
    <xf numFmtId="0" fontId="0" fillId="0" borderId="0">
      <alignment vertical="center"/>
    </xf>
    <xf numFmtId="0" fontId="141" fillId="12" borderId="0" applyNumberFormat="0" applyBorder="0" applyAlignment="0" applyProtection="0">
      <alignment vertical="center"/>
    </xf>
    <xf numFmtId="0" fontId="140" fillId="48" borderId="0" applyNumberFormat="0" applyBorder="0" applyAlignment="0" applyProtection="0">
      <alignment vertical="center"/>
    </xf>
    <xf numFmtId="0" fontId="140" fillId="38" borderId="0" applyNumberFormat="0" applyBorder="0" applyAlignment="0" applyProtection="0">
      <alignment vertical="center"/>
    </xf>
    <xf numFmtId="0" fontId="141" fillId="47" borderId="0" applyNumberFormat="0" applyBorder="0" applyAlignment="0" applyProtection="0">
      <alignment vertical="center"/>
    </xf>
    <xf numFmtId="0" fontId="140" fillId="43" borderId="0" applyNumberFormat="0" applyBorder="0" applyAlignment="0" applyProtection="0">
      <alignment vertical="center"/>
    </xf>
    <xf numFmtId="0" fontId="0" fillId="0" borderId="0">
      <alignment vertical="center"/>
    </xf>
    <xf numFmtId="0" fontId="0" fillId="0" borderId="0"/>
    <xf numFmtId="0" fontId="88" fillId="0" borderId="0"/>
    <xf numFmtId="0" fontId="0" fillId="0" borderId="0">
      <alignment vertical="center"/>
    </xf>
    <xf numFmtId="0" fontId="0" fillId="0" borderId="0">
      <alignment vertical="center"/>
    </xf>
    <xf numFmtId="0" fontId="0" fillId="0" borderId="0"/>
  </cellStyleXfs>
  <cellXfs count="3514">
    <xf numFmtId="0" fontId="0" fillId="0" borderId="0" xfId="0">
      <alignment vertical="center"/>
    </xf>
    <xf numFmtId="0" fontId="1" fillId="0" borderId="0" xfId="0" applyFont="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1" xfId="0" applyFont="1" applyBorder="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7" fillId="0" borderId="0" xfId="0" applyFont="1" applyFill="1" applyAlignment="1" applyProtection="1">
      <alignment horizontal="center" vertical="center"/>
      <protection locked="0"/>
    </xf>
    <xf numFmtId="0" fontId="8" fillId="0" borderId="0" xfId="0" applyFont="1" applyFill="1" applyAlignment="1" applyProtection="1">
      <alignment horizontal="center" vertical="center"/>
      <protection locked="0"/>
    </xf>
    <xf numFmtId="0" fontId="9" fillId="0" borderId="0" xfId="0" applyFont="1" applyFill="1" applyAlignment="1" applyProtection="1">
      <alignment horizontal="center" vertical="center"/>
      <protection locked="0"/>
    </xf>
    <xf numFmtId="0" fontId="10" fillId="0" borderId="0" xfId="0" applyFont="1" applyFill="1" applyAlignment="1" applyProtection="1">
      <alignment horizontal="center" vertical="center"/>
      <protection locked="0"/>
    </xf>
    <xf numFmtId="0" fontId="11" fillId="0" borderId="0" xfId="0" applyFont="1" applyFill="1" applyAlignment="1" applyProtection="1">
      <alignment horizontal="center" vertical="center"/>
      <protection locked="0"/>
    </xf>
    <xf numFmtId="0" fontId="12" fillId="0" borderId="0" xfId="0" applyFont="1" applyFill="1" applyAlignment="1" applyProtection="1">
      <alignment horizontal="center" vertical="center"/>
      <protection locked="0"/>
    </xf>
    <xf numFmtId="49" fontId="8" fillId="0" borderId="0" xfId="0" applyNumberFormat="1" applyFont="1" applyFill="1" applyAlignment="1" applyProtection="1">
      <alignment horizontal="center" vertical="center"/>
      <protection locked="0"/>
    </xf>
    <xf numFmtId="0" fontId="13" fillId="0" borderId="0" xfId="0" applyFont="1" applyFill="1" applyAlignment="1" applyProtection="1">
      <alignment horizontal="center" vertical="center"/>
      <protection locked="0"/>
    </xf>
    <xf numFmtId="176" fontId="13" fillId="0" borderId="0" xfId="0" applyNumberFormat="1" applyFont="1" applyFill="1" applyAlignment="1" applyProtection="1">
      <alignment horizontal="center" vertical="center"/>
      <protection locked="0"/>
    </xf>
    <xf numFmtId="180" fontId="13" fillId="0" borderId="0" xfId="0" applyNumberFormat="1" applyFont="1" applyFill="1" applyAlignment="1" applyProtection="1">
      <alignment horizontal="center" vertical="center"/>
      <protection locked="0"/>
    </xf>
    <xf numFmtId="0" fontId="14" fillId="2" borderId="5" xfId="0" applyFont="1" applyFill="1" applyBorder="1" applyAlignment="1" applyProtection="1">
      <alignment vertical="center"/>
    </xf>
    <xf numFmtId="0" fontId="15" fillId="2" borderId="6" xfId="0" applyFont="1" applyFill="1" applyBorder="1" applyAlignment="1" applyProtection="1">
      <alignment horizontal="right" vertical="center"/>
    </xf>
    <xf numFmtId="0" fontId="15" fillId="2" borderId="0" xfId="0" applyFont="1" applyFill="1" applyAlignment="1" applyProtection="1">
      <alignment horizontal="center" vertical="center"/>
    </xf>
    <xf numFmtId="0" fontId="15" fillId="2" borderId="6" xfId="0" applyFont="1" applyFill="1" applyBorder="1" applyAlignment="1" applyProtection="1">
      <alignment vertical="center"/>
    </xf>
    <xf numFmtId="0" fontId="16" fillId="2" borderId="6" xfId="0" applyFont="1" applyFill="1" applyBorder="1" applyAlignment="1" applyProtection="1">
      <alignment vertical="center"/>
    </xf>
    <xf numFmtId="0" fontId="17" fillId="2" borderId="1" xfId="59" applyFont="1" applyFill="1" applyBorder="1" applyAlignment="1" applyProtection="1">
      <alignment vertical="center"/>
    </xf>
    <xf numFmtId="181" fontId="17" fillId="2" borderId="1" xfId="0" applyNumberFormat="1" applyFont="1" applyFill="1" applyBorder="1" applyAlignment="1" applyProtection="1">
      <alignment horizontal="right" vertical="center"/>
    </xf>
    <xf numFmtId="0" fontId="15" fillId="2" borderId="0" xfId="0" applyFont="1" applyFill="1" applyBorder="1" applyAlignment="1" applyProtection="1">
      <alignment vertical="center"/>
      <protection locked="0"/>
    </xf>
    <xf numFmtId="0" fontId="16" fillId="2" borderId="0" xfId="0" applyFont="1" applyFill="1" applyBorder="1" applyAlignment="1" applyProtection="1">
      <alignment vertical="center"/>
      <protection locked="0"/>
    </xf>
    <xf numFmtId="0" fontId="17" fillId="2" borderId="7" xfId="59" applyFont="1" applyFill="1" applyBorder="1" applyAlignment="1" applyProtection="1">
      <alignment vertical="center"/>
    </xf>
    <xf numFmtId="182" fontId="17" fillId="2" borderId="7" xfId="0" applyNumberFormat="1" applyFont="1" applyFill="1" applyBorder="1" applyAlignment="1" applyProtection="1">
      <alignment horizontal="right" vertical="center"/>
    </xf>
    <xf numFmtId="0" fontId="15" fillId="0" borderId="8" xfId="0" applyFont="1" applyFill="1" applyBorder="1" applyAlignment="1" applyProtection="1">
      <alignment vertical="center"/>
      <protection locked="0"/>
    </xf>
    <xf numFmtId="0" fontId="18" fillId="2" borderId="9" xfId="0" applyFont="1" applyFill="1" applyBorder="1" applyAlignment="1" applyProtection="1">
      <alignment vertical="center" wrapText="1"/>
    </xf>
    <xf numFmtId="0" fontId="18" fillId="2" borderId="10" xfId="0" applyFont="1" applyFill="1" applyBorder="1" applyAlignment="1" applyProtection="1">
      <alignment vertical="center" wrapText="1"/>
    </xf>
    <xf numFmtId="0" fontId="13" fillId="2" borderId="11" xfId="0" applyFont="1" applyFill="1" applyBorder="1" applyAlignment="1" applyProtection="1">
      <alignment horizontal="center" vertical="center" wrapText="1"/>
    </xf>
    <xf numFmtId="0" fontId="13" fillId="2" borderId="12" xfId="0" applyFont="1" applyFill="1" applyBorder="1" applyAlignment="1" applyProtection="1">
      <alignment horizontal="center" vertical="center" wrapText="1"/>
    </xf>
    <xf numFmtId="0" fontId="13" fillId="2" borderId="13" xfId="0" applyFont="1" applyFill="1" applyBorder="1" applyAlignment="1" applyProtection="1">
      <alignment horizontal="center" vertical="center" wrapText="1"/>
    </xf>
    <xf numFmtId="0" fontId="13" fillId="2" borderId="14" xfId="0" applyFont="1" applyFill="1" applyBorder="1" applyAlignment="1" applyProtection="1">
      <alignment horizontal="center" vertical="center" wrapText="1"/>
    </xf>
    <xf numFmtId="0" fontId="18" fillId="2" borderId="15" xfId="0" applyFont="1" applyFill="1" applyBorder="1" applyAlignment="1" applyProtection="1">
      <alignment vertical="center" wrapText="1"/>
    </xf>
    <xf numFmtId="0" fontId="18" fillId="2" borderId="0" xfId="0" applyFont="1" applyFill="1" applyBorder="1" applyAlignment="1" applyProtection="1">
      <alignment vertical="center" wrapText="1"/>
    </xf>
    <xf numFmtId="0" fontId="19" fillId="0" borderId="16" xfId="0" applyFont="1" applyFill="1" applyBorder="1" applyAlignment="1" applyProtection="1">
      <alignment horizontal="center" vertical="center" wrapText="1"/>
      <protection locked="0"/>
    </xf>
    <xf numFmtId="0" fontId="19" fillId="0" borderId="17" xfId="0" applyFont="1" applyFill="1" applyBorder="1" applyAlignment="1" applyProtection="1">
      <alignment horizontal="center" vertical="center" wrapText="1"/>
      <protection locked="0"/>
    </xf>
    <xf numFmtId="0" fontId="19" fillId="0" borderId="4" xfId="0" applyFont="1" applyFill="1" applyBorder="1" applyAlignment="1" applyProtection="1">
      <alignment horizontal="center" vertical="center" wrapText="1"/>
      <protection locked="0"/>
    </xf>
    <xf numFmtId="0" fontId="19" fillId="0" borderId="2" xfId="0" applyFont="1" applyFill="1" applyBorder="1" applyAlignment="1" applyProtection="1">
      <alignment horizontal="center" vertical="center" wrapText="1"/>
      <protection locked="0"/>
    </xf>
    <xf numFmtId="0" fontId="18" fillId="2" borderId="18" xfId="0" applyFont="1" applyFill="1" applyBorder="1" applyAlignment="1" applyProtection="1">
      <alignment vertical="center" wrapText="1"/>
    </xf>
    <xf numFmtId="0" fontId="18" fillId="2" borderId="19" xfId="0" applyFont="1" applyFill="1" applyBorder="1" applyAlignment="1" applyProtection="1">
      <alignment vertical="center" wrapText="1"/>
    </xf>
    <xf numFmtId="0" fontId="13" fillId="0" borderId="20" xfId="0" applyFont="1" applyFill="1" applyBorder="1" applyAlignment="1" applyProtection="1">
      <alignment horizontal="center" vertical="center" wrapText="1"/>
      <protection locked="0"/>
    </xf>
    <xf numFmtId="0" fontId="13" fillId="0" borderId="21" xfId="0" applyFont="1" applyFill="1" applyBorder="1" applyAlignment="1" applyProtection="1">
      <alignment horizontal="center" vertical="center" wrapText="1"/>
      <protection locked="0"/>
    </xf>
    <xf numFmtId="0" fontId="13" fillId="0" borderId="22" xfId="0" applyFont="1" applyFill="1" applyBorder="1" applyAlignment="1" applyProtection="1">
      <alignment horizontal="center" vertical="center" wrapText="1"/>
      <protection locked="0"/>
    </xf>
    <xf numFmtId="0" fontId="13" fillId="0" borderId="5" xfId="0" applyFont="1" applyFill="1" applyBorder="1" applyAlignment="1" applyProtection="1">
      <alignment horizontal="center" vertical="center" wrapText="1"/>
      <protection locked="0"/>
    </xf>
    <xf numFmtId="0" fontId="20" fillId="2" borderId="23" xfId="0" applyFont="1" applyFill="1" applyBorder="1" applyAlignment="1" applyProtection="1">
      <alignment vertical="center" wrapText="1"/>
    </xf>
    <xf numFmtId="0" fontId="20" fillId="2" borderId="24" xfId="0" applyFont="1" applyFill="1" applyBorder="1" applyAlignment="1" applyProtection="1">
      <alignment vertical="center" wrapText="1"/>
    </xf>
    <xf numFmtId="183" fontId="8" fillId="2" borderId="25" xfId="0" applyNumberFormat="1" applyFont="1" applyFill="1" applyBorder="1" applyAlignment="1" applyProtection="1">
      <alignment horizontal="center" vertical="center" wrapText="1"/>
    </xf>
    <xf numFmtId="0" fontId="8" fillId="2" borderId="26" xfId="0" applyNumberFormat="1" applyFont="1" applyFill="1" applyBorder="1" applyAlignment="1" applyProtection="1">
      <alignment horizontal="center" vertical="center" wrapText="1"/>
    </xf>
    <xf numFmtId="183" fontId="8" fillId="0" borderId="27" xfId="0" applyNumberFormat="1" applyFont="1" applyFill="1" applyBorder="1" applyAlignment="1" applyProtection="1">
      <alignment horizontal="center" vertical="center" wrapText="1"/>
      <protection locked="0"/>
    </xf>
    <xf numFmtId="0" fontId="8" fillId="2" borderId="28" xfId="0" applyNumberFormat="1" applyFont="1" applyFill="1" applyBorder="1" applyAlignment="1" applyProtection="1">
      <alignment horizontal="center" vertical="center" wrapText="1"/>
    </xf>
    <xf numFmtId="183" fontId="8" fillId="0" borderId="25" xfId="0" applyNumberFormat="1" applyFont="1" applyFill="1" applyBorder="1" applyAlignment="1" applyProtection="1">
      <alignment horizontal="center" vertical="center" wrapText="1"/>
      <protection locked="0"/>
    </xf>
    <xf numFmtId="49" fontId="8" fillId="3" borderId="25" xfId="0" applyNumberFormat="1" applyFont="1" applyFill="1" applyBorder="1" applyAlignment="1" applyProtection="1">
      <alignment horizontal="center" vertical="center" wrapText="1"/>
      <protection locked="0"/>
    </xf>
    <xf numFmtId="0" fontId="20" fillId="2" borderId="29" xfId="0" applyFont="1" applyFill="1" applyBorder="1" applyAlignment="1" applyProtection="1">
      <alignment vertical="center" wrapText="1"/>
    </xf>
    <xf numFmtId="0" fontId="8" fillId="2" borderId="14" xfId="0" applyFont="1" applyFill="1" applyBorder="1" applyAlignment="1" applyProtection="1">
      <alignment horizontal="center" vertical="center" wrapText="1"/>
    </xf>
    <xf numFmtId="0" fontId="8" fillId="3" borderId="30" xfId="0" applyNumberFormat="1" applyFont="1" applyFill="1" applyBorder="1" applyAlignment="1" applyProtection="1">
      <alignment horizontal="center" vertical="center" wrapText="1"/>
      <protection locked="0"/>
    </xf>
    <xf numFmtId="0" fontId="8" fillId="2" borderId="12" xfId="0" applyNumberFormat="1" applyFont="1" applyFill="1" applyBorder="1" applyAlignment="1" applyProtection="1">
      <alignment horizontal="center" vertical="center" wrapText="1"/>
    </xf>
    <xf numFmtId="0" fontId="21" fillId="2" borderId="31" xfId="0" applyFont="1" applyFill="1" applyBorder="1" applyAlignment="1" applyProtection="1">
      <alignment vertical="center" wrapText="1"/>
    </xf>
    <xf numFmtId="0" fontId="8" fillId="2" borderId="2" xfId="0" applyFont="1" applyFill="1" applyBorder="1" applyAlignment="1" applyProtection="1">
      <alignment horizontal="center" vertical="center" wrapText="1"/>
    </xf>
    <xf numFmtId="0" fontId="8" fillId="0" borderId="32" xfId="0" applyNumberFormat="1" applyFont="1" applyFill="1" applyBorder="1" applyAlignment="1" applyProtection="1">
      <alignment horizontal="center" vertical="center" wrapText="1"/>
      <protection locked="0"/>
    </xf>
    <xf numFmtId="0" fontId="8" fillId="2" borderId="17" xfId="0" applyNumberFormat="1" applyFont="1" applyFill="1" applyBorder="1" applyAlignment="1" applyProtection="1">
      <alignment horizontal="center" vertical="center" wrapText="1"/>
    </xf>
    <xf numFmtId="0" fontId="18" fillId="2" borderId="31" xfId="0" applyFont="1" applyFill="1" applyBorder="1" applyAlignment="1" applyProtection="1">
      <alignment vertical="center" wrapText="1"/>
    </xf>
    <xf numFmtId="0" fontId="8" fillId="0" borderId="16" xfId="0" applyNumberFormat="1" applyFont="1" applyFill="1" applyBorder="1" applyAlignment="1" applyProtection="1">
      <alignment horizontal="center" vertical="center" wrapText="1"/>
      <protection locked="0"/>
    </xf>
    <xf numFmtId="0" fontId="8" fillId="0" borderId="4" xfId="0" applyNumberFormat="1" applyFont="1" applyFill="1" applyBorder="1" applyAlignment="1" applyProtection="1">
      <alignment horizontal="center" vertical="center" wrapText="1"/>
      <protection locked="0"/>
    </xf>
    <xf numFmtId="0" fontId="20" fillId="2" borderId="31" xfId="0" applyFont="1" applyFill="1" applyBorder="1" applyAlignment="1" applyProtection="1">
      <alignment vertical="center" wrapText="1"/>
    </xf>
    <xf numFmtId="0" fontId="8" fillId="0" borderId="5" xfId="0" applyFont="1" applyFill="1" applyBorder="1" applyAlignment="1" applyProtection="1">
      <alignment horizontal="center" vertical="center" wrapText="1"/>
      <protection locked="0"/>
    </xf>
    <xf numFmtId="0" fontId="8" fillId="2" borderId="33" xfId="0" applyNumberFormat="1" applyFont="1" applyFill="1" applyBorder="1" applyAlignment="1" applyProtection="1">
      <alignment horizontal="center" vertical="center" wrapText="1"/>
    </xf>
    <xf numFmtId="0" fontId="13" fillId="0" borderId="1" xfId="0" applyNumberFormat="1" applyFont="1" applyFill="1" applyBorder="1" applyAlignment="1" applyProtection="1">
      <alignment horizontal="center" vertical="center" wrapText="1"/>
      <protection locked="0"/>
    </xf>
    <xf numFmtId="0" fontId="13" fillId="0" borderId="16" xfId="0" applyNumberFormat="1" applyFont="1" applyFill="1" applyBorder="1" applyAlignment="1" applyProtection="1">
      <alignment horizontal="center" vertical="center" wrapText="1"/>
      <protection locked="0"/>
    </xf>
    <xf numFmtId="0" fontId="13" fillId="0" borderId="34" xfId="0" applyNumberFormat="1" applyFont="1" applyFill="1" applyBorder="1" applyAlignment="1" applyProtection="1">
      <alignment horizontal="center" vertical="center" wrapText="1"/>
      <protection locked="0"/>
    </xf>
    <xf numFmtId="0" fontId="13" fillId="2" borderId="17" xfId="0" applyNumberFormat="1" applyFont="1" applyFill="1" applyBorder="1" applyAlignment="1" applyProtection="1">
      <alignment horizontal="center" vertical="center" wrapText="1"/>
    </xf>
    <xf numFmtId="0" fontId="18" fillId="2" borderId="35" xfId="0" applyFont="1" applyFill="1" applyBorder="1" applyAlignment="1" applyProtection="1">
      <alignment vertical="center" wrapText="1"/>
    </xf>
    <xf numFmtId="0" fontId="8" fillId="0" borderId="36" xfId="0" applyFont="1" applyFill="1" applyBorder="1" applyAlignment="1" applyProtection="1">
      <alignment horizontal="center" vertical="center" wrapText="1"/>
      <protection locked="0"/>
    </xf>
    <xf numFmtId="0" fontId="13" fillId="0" borderId="37" xfId="0" applyNumberFormat="1" applyFont="1" applyFill="1" applyBorder="1" applyAlignment="1" applyProtection="1">
      <alignment horizontal="center" vertical="center" wrapText="1"/>
      <protection locked="0"/>
    </xf>
    <xf numFmtId="0" fontId="13" fillId="2" borderId="38" xfId="0" applyNumberFormat="1" applyFont="1" applyFill="1" applyBorder="1" applyAlignment="1" applyProtection="1">
      <alignment horizontal="center" vertical="center" wrapText="1"/>
    </xf>
    <xf numFmtId="0" fontId="18" fillId="2" borderId="29" xfId="0" applyFont="1" applyFill="1" applyBorder="1" applyAlignment="1" applyProtection="1">
      <alignment vertical="center" wrapText="1"/>
    </xf>
    <xf numFmtId="0" fontId="8" fillId="2" borderId="39" xfId="0" applyFont="1" applyFill="1" applyBorder="1" applyAlignment="1" applyProtection="1">
      <alignment horizontal="center" vertical="center" wrapText="1"/>
    </xf>
    <xf numFmtId="0" fontId="13" fillId="2" borderId="29" xfId="0" applyNumberFormat="1" applyFont="1" applyFill="1" applyBorder="1" applyAlignment="1" applyProtection="1">
      <alignment horizontal="center" vertical="center" wrapText="1"/>
    </xf>
    <xf numFmtId="0" fontId="13" fillId="2" borderId="39" xfId="0" applyNumberFormat="1" applyFont="1" applyFill="1" applyBorder="1" applyAlignment="1" applyProtection="1">
      <alignment horizontal="center" vertical="center" wrapText="1"/>
    </xf>
    <xf numFmtId="49" fontId="13" fillId="0" borderId="40" xfId="0" applyNumberFormat="1" applyFont="1" applyFill="1" applyBorder="1" applyAlignment="1" applyProtection="1">
      <alignment horizontal="center" vertical="center" wrapText="1"/>
      <protection locked="0"/>
    </xf>
    <xf numFmtId="0" fontId="13" fillId="2" borderId="41" xfId="0" applyFont="1" applyFill="1" applyBorder="1" applyAlignment="1" applyProtection="1">
      <alignment horizontal="center" vertical="center"/>
    </xf>
    <xf numFmtId="0" fontId="13" fillId="3" borderId="32" xfId="0" applyNumberFormat="1" applyFont="1" applyFill="1" applyBorder="1" applyAlignment="1" applyProtection="1">
      <alignment horizontal="center" vertical="center" wrapText="1"/>
      <protection locked="0"/>
    </xf>
    <xf numFmtId="0" fontId="13" fillId="2" borderId="42" xfId="0" applyNumberFormat="1" applyFont="1" applyFill="1" applyBorder="1" applyAlignment="1" applyProtection="1">
      <alignment horizontal="center" vertical="center" wrapText="1"/>
    </xf>
    <xf numFmtId="0" fontId="13" fillId="3" borderId="43" xfId="0" applyNumberFormat="1" applyFont="1" applyFill="1" applyBorder="1" applyAlignment="1" applyProtection="1">
      <alignment horizontal="center" vertical="center" wrapText="1"/>
      <protection locked="0"/>
    </xf>
    <xf numFmtId="0" fontId="13" fillId="2" borderId="44" xfId="0" applyNumberFormat="1" applyFont="1" applyFill="1" applyBorder="1" applyAlignment="1" applyProtection="1">
      <alignment horizontal="center" vertical="center" wrapText="1"/>
    </xf>
    <xf numFmtId="0" fontId="8" fillId="2" borderId="21" xfId="0" applyFont="1" applyFill="1" applyBorder="1" applyAlignment="1" applyProtection="1">
      <alignment horizontal="center" vertical="center" wrapText="1"/>
    </xf>
    <xf numFmtId="0" fontId="13" fillId="2" borderId="20" xfId="0" applyNumberFormat="1" applyFont="1" applyFill="1" applyBorder="1" applyAlignment="1" applyProtection="1">
      <alignment horizontal="center" vertical="center" wrapText="1"/>
    </xf>
    <xf numFmtId="49" fontId="13" fillId="0" borderId="45" xfId="0" applyNumberFormat="1" applyFont="1" applyFill="1" applyBorder="1" applyAlignment="1" applyProtection="1">
      <alignment horizontal="center" vertical="center" wrapText="1"/>
      <protection locked="0"/>
    </xf>
    <xf numFmtId="0" fontId="13" fillId="2" borderId="21" xfId="0" applyNumberFormat="1" applyFont="1" applyFill="1" applyBorder="1" applyAlignment="1" applyProtection="1">
      <alignment horizontal="center" vertical="center" wrapText="1"/>
    </xf>
    <xf numFmtId="0" fontId="8" fillId="2" borderId="42" xfId="0" applyFont="1" applyFill="1" applyBorder="1" applyAlignment="1" applyProtection="1">
      <alignment horizontal="center" vertical="center" wrapText="1"/>
    </xf>
    <xf numFmtId="49" fontId="13" fillId="3" borderId="43" xfId="0" applyNumberFormat="1" applyFont="1" applyFill="1" applyBorder="1" applyAlignment="1" applyProtection="1">
      <alignment horizontal="center" vertical="center" wrapText="1"/>
      <protection locked="0"/>
    </xf>
    <xf numFmtId="0" fontId="20" fillId="2" borderId="15" xfId="0" applyFont="1" applyFill="1" applyBorder="1" applyAlignment="1" applyProtection="1">
      <alignment vertical="center" wrapText="1"/>
    </xf>
    <xf numFmtId="0" fontId="8" fillId="2" borderId="44" xfId="0" applyFont="1" applyFill="1" applyBorder="1" applyAlignment="1" applyProtection="1">
      <alignment horizontal="center" vertical="center" wrapText="1"/>
    </xf>
    <xf numFmtId="0" fontId="8" fillId="3" borderId="46" xfId="0" applyNumberFormat="1" applyFont="1" applyFill="1" applyBorder="1" applyAlignment="1" applyProtection="1">
      <alignment horizontal="center" vertical="center" wrapText="1"/>
      <protection locked="0"/>
    </xf>
    <xf numFmtId="0" fontId="8" fillId="3" borderId="47" xfId="0" applyNumberFormat="1" applyFont="1" applyFill="1" applyBorder="1" applyAlignment="1" applyProtection="1">
      <alignment horizontal="center" vertical="center" wrapText="1"/>
      <protection locked="0"/>
    </xf>
    <xf numFmtId="0" fontId="13" fillId="3" borderId="34" xfId="0" applyNumberFormat="1" applyFont="1" applyFill="1" applyBorder="1" applyAlignment="1" applyProtection="1">
      <alignment horizontal="center" vertical="center" wrapText="1"/>
      <protection locked="0"/>
    </xf>
    <xf numFmtId="0" fontId="13" fillId="3" borderId="3" xfId="0" applyNumberFormat="1" applyFont="1" applyFill="1" applyBorder="1" applyAlignment="1" applyProtection="1">
      <alignment horizontal="center" vertical="center" wrapText="1"/>
      <protection locked="0"/>
    </xf>
    <xf numFmtId="0" fontId="13" fillId="2" borderId="31" xfId="0" applyNumberFormat="1" applyFont="1" applyFill="1" applyBorder="1" applyAlignment="1" applyProtection="1">
      <alignment horizontal="center" vertical="center" wrapText="1"/>
    </xf>
    <xf numFmtId="0" fontId="8" fillId="2" borderId="17" xfId="0" applyFont="1" applyFill="1" applyBorder="1" applyAlignment="1" applyProtection="1">
      <alignment horizontal="center" vertical="center" wrapText="1"/>
    </xf>
    <xf numFmtId="0" fontId="13" fillId="2" borderId="34" xfId="0" applyNumberFormat="1" applyFont="1" applyFill="1" applyBorder="1" applyAlignment="1" applyProtection="1">
      <alignment horizontal="center" vertical="center" wrapText="1"/>
    </xf>
    <xf numFmtId="0" fontId="8" fillId="0" borderId="17" xfId="0" applyFont="1" applyFill="1" applyBorder="1" applyAlignment="1" applyProtection="1">
      <alignment horizontal="center" vertical="center" wrapText="1"/>
      <protection locked="0"/>
    </xf>
    <xf numFmtId="0" fontId="13" fillId="0" borderId="4" xfId="0" applyNumberFormat="1" applyFont="1" applyFill="1" applyBorder="1" applyAlignment="1" applyProtection="1">
      <alignment horizontal="center" vertical="center" wrapText="1"/>
      <protection locked="0"/>
    </xf>
    <xf numFmtId="0" fontId="13" fillId="2" borderId="15" xfId="0" applyFont="1" applyFill="1" applyBorder="1" applyAlignment="1" applyProtection="1">
      <alignment horizontal="center" vertical="center"/>
    </xf>
    <xf numFmtId="0" fontId="13" fillId="0" borderId="17" xfId="0" applyFont="1" applyFill="1" applyBorder="1" applyAlignment="1" applyProtection="1">
      <alignment horizontal="center" vertical="center"/>
      <protection locked="0"/>
    </xf>
    <xf numFmtId="0" fontId="22" fillId="2" borderId="18" xfId="0" applyFont="1" applyFill="1" applyBorder="1" applyAlignment="1" applyProtection="1">
      <alignment vertical="center" textRotation="255" wrapText="1"/>
    </xf>
    <xf numFmtId="0" fontId="23" fillId="0" borderId="38" xfId="0" applyFont="1" applyFill="1" applyBorder="1" applyAlignment="1" applyProtection="1">
      <alignment horizontal="center" vertical="center"/>
      <protection locked="0"/>
    </xf>
    <xf numFmtId="0" fontId="13" fillId="0" borderId="48" xfId="0" applyNumberFormat="1" applyFont="1" applyFill="1" applyBorder="1" applyAlignment="1" applyProtection="1">
      <alignment horizontal="center" vertical="center" wrapText="1"/>
      <protection locked="0"/>
    </xf>
    <xf numFmtId="0" fontId="8" fillId="2" borderId="38" xfId="0" applyNumberFormat="1" applyFont="1" applyFill="1" applyBorder="1" applyAlignment="1" applyProtection="1">
      <alignment horizontal="center" vertical="center" wrapText="1"/>
    </xf>
    <xf numFmtId="0" fontId="13" fillId="0" borderId="49" xfId="0" applyNumberFormat="1" applyFont="1" applyFill="1" applyBorder="1" applyAlignment="1" applyProtection="1">
      <alignment horizontal="center" vertical="center" wrapText="1"/>
      <protection locked="0"/>
    </xf>
    <xf numFmtId="0" fontId="8" fillId="2" borderId="50" xfId="0" applyFont="1" applyFill="1" applyBorder="1" applyAlignment="1" applyProtection="1">
      <alignment horizontal="center" vertical="center" wrapText="1"/>
    </xf>
    <xf numFmtId="0" fontId="13" fillId="0" borderId="11" xfId="0" applyNumberFormat="1" applyFont="1" applyFill="1" applyBorder="1" applyAlignment="1" applyProtection="1">
      <alignment horizontal="center" vertical="center" wrapText="1"/>
      <protection locked="0"/>
    </xf>
    <xf numFmtId="0" fontId="13" fillId="2" borderId="12" xfId="0" applyNumberFormat="1" applyFont="1" applyFill="1" applyBorder="1" applyAlignment="1" applyProtection="1">
      <alignment horizontal="center" vertical="center" wrapText="1"/>
    </xf>
    <xf numFmtId="0" fontId="18" fillId="2" borderId="31" xfId="0" applyFont="1" applyFill="1" applyBorder="1" applyAlignment="1" applyProtection="1">
      <alignment vertical="center" textRotation="255" wrapText="1"/>
    </xf>
    <xf numFmtId="49" fontId="13" fillId="3" borderId="16" xfId="0" applyNumberFormat="1" applyFont="1" applyFill="1" applyBorder="1" applyAlignment="1" applyProtection="1">
      <alignment horizontal="center" vertical="center" wrapText="1"/>
      <protection locked="0"/>
    </xf>
    <xf numFmtId="0" fontId="20" fillId="2" borderId="31" xfId="0" applyFont="1" applyFill="1" applyBorder="1" applyAlignment="1" applyProtection="1">
      <alignment vertical="center" textRotation="255" wrapText="1"/>
    </xf>
    <xf numFmtId="9" fontId="8" fillId="3" borderId="34" xfId="0" applyNumberFormat="1" applyFont="1" applyFill="1" applyBorder="1" applyAlignment="1" applyProtection="1">
      <alignment horizontal="center" vertical="center" wrapText="1"/>
      <protection locked="0"/>
    </xf>
    <xf numFmtId="0" fontId="13" fillId="0" borderId="2" xfId="0" applyFont="1" applyFill="1" applyBorder="1" applyAlignment="1" applyProtection="1">
      <alignment horizontal="center" vertical="center"/>
      <protection locked="0"/>
    </xf>
    <xf numFmtId="0" fontId="22" fillId="2" borderId="31" xfId="0" applyFont="1" applyFill="1" applyBorder="1" applyAlignment="1" applyProtection="1">
      <alignment vertical="center" textRotation="255" wrapText="1"/>
    </xf>
    <xf numFmtId="0" fontId="10" fillId="0" borderId="37" xfId="0" applyNumberFormat="1" applyFont="1" applyFill="1" applyBorder="1" applyAlignment="1" applyProtection="1">
      <alignment horizontal="center" vertical="center" wrapText="1"/>
      <protection locked="0"/>
    </xf>
    <xf numFmtId="49" fontId="18" fillId="2" borderId="30" xfId="0" applyNumberFormat="1" applyFont="1" applyFill="1" applyBorder="1" applyAlignment="1" applyProtection="1">
      <alignment vertical="center"/>
    </xf>
    <xf numFmtId="49" fontId="18" fillId="3" borderId="12" xfId="0" applyNumberFormat="1" applyFont="1" applyFill="1" applyBorder="1" applyAlignment="1" applyProtection="1">
      <alignment vertical="center"/>
      <protection locked="0"/>
    </xf>
    <xf numFmtId="0" fontId="18" fillId="2" borderId="51" xfId="0" applyFont="1" applyFill="1" applyBorder="1" applyAlignment="1" applyProtection="1">
      <alignment horizontal="right" vertical="center" wrapText="1"/>
    </xf>
    <xf numFmtId="0" fontId="18" fillId="2" borderId="52" xfId="0" applyFont="1" applyFill="1" applyBorder="1" applyAlignment="1" applyProtection="1">
      <alignment vertical="center" wrapText="1"/>
    </xf>
    <xf numFmtId="0" fontId="24" fillId="4" borderId="51" xfId="0" applyFont="1" applyFill="1" applyBorder="1" applyAlignment="1" applyProtection="1">
      <alignment vertical="center" wrapText="1"/>
      <protection locked="0"/>
    </xf>
    <xf numFmtId="0" fontId="24" fillId="2" borderId="51" xfId="0" applyFont="1" applyFill="1" applyBorder="1" applyAlignment="1" applyProtection="1">
      <alignment vertical="center" wrapText="1"/>
    </xf>
    <xf numFmtId="0" fontId="24" fillId="4" borderId="30" xfId="0" applyFont="1" applyFill="1" applyBorder="1" applyAlignment="1" applyProtection="1">
      <alignment vertical="center" wrapText="1"/>
      <protection locked="0"/>
    </xf>
    <xf numFmtId="0" fontId="24" fillId="2" borderId="52" xfId="0" applyFont="1" applyFill="1" applyBorder="1" applyAlignment="1" applyProtection="1">
      <alignment vertical="center" wrapText="1"/>
    </xf>
    <xf numFmtId="49" fontId="18" fillId="2" borderId="37" xfId="0" applyNumberFormat="1" applyFont="1" applyFill="1" applyBorder="1" applyAlignment="1" applyProtection="1">
      <alignment vertical="center"/>
    </xf>
    <xf numFmtId="49" fontId="18" fillId="2" borderId="53" xfId="0" applyNumberFormat="1" applyFont="1" applyFill="1" applyBorder="1" applyAlignment="1" applyProtection="1">
      <alignment vertical="center"/>
    </xf>
    <xf numFmtId="182" fontId="18" fillId="2" borderId="54" xfId="0" applyNumberFormat="1" applyFont="1" applyFill="1" applyBorder="1" applyAlignment="1" applyProtection="1">
      <alignment vertical="center" wrapText="1"/>
    </xf>
    <xf numFmtId="0" fontId="25" fillId="5" borderId="53" xfId="0" applyNumberFormat="1" applyFont="1" applyFill="1" applyBorder="1" applyAlignment="1" applyProtection="1">
      <alignment horizontal="left" vertical="center" wrapText="1"/>
      <protection locked="0"/>
    </xf>
    <xf numFmtId="180" fontId="18" fillId="5" borderId="53" xfId="0" applyNumberFormat="1" applyFont="1" applyFill="1" applyBorder="1" applyAlignment="1" applyProtection="1">
      <alignment horizontal="left" vertical="center" wrapText="1"/>
      <protection locked="0"/>
    </xf>
    <xf numFmtId="182" fontId="18" fillId="2" borderId="37" xfId="0" applyNumberFormat="1" applyFont="1" applyFill="1" applyBorder="1" applyAlignment="1" applyProtection="1">
      <alignment vertical="center" wrapText="1"/>
    </xf>
    <xf numFmtId="49" fontId="18" fillId="0" borderId="18" xfId="0" applyNumberFormat="1" applyFont="1" applyFill="1" applyBorder="1" applyAlignment="1" applyProtection="1">
      <alignment vertical="center"/>
      <protection locked="0"/>
    </xf>
    <xf numFmtId="49" fontId="18" fillId="0" borderId="55" xfId="0" applyNumberFormat="1" applyFont="1" applyFill="1" applyBorder="1" applyAlignment="1" applyProtection="1">
      <alignment vertical="center"/>
      <protection locked="0"/>
    </xf>
    <xf numFmtId="182" fontId="18" fillId="2" borderId="19" xfId="0" applyNumberFormat="1" applyFont="1" applyFill="1" applyBorder="1" applyAlignment="1" applyProtection="1">
      <alignment vertical="center" wrapText="1"/>
    </xf>
    <xf numFmtId="0" fontId="13" fillId="6" borderId="0" xfId="0" applyFont="1" applyFill="1" applyAlignment="1" applyProtection="1">
      <alignment horizontal="center" vertical="center"/>
      <protection locked="0"/>
    </xf>
    <xf numFmtId="9" fontId="13" fillId="6" borderId="0" xfId="0" applyNumberFormat="1" applyFont="1" applyFill="1" applyAlignment="1" applyProtection="1">
      <alignment horizontal="center" vertical="center"/>
      <protection locked="0"/>
    </xf>
    <xf numFmtId="0" fontId="18" fillId="2" borderId="1" xfId="0" applyFont="1" applyFill="1" applyBorder="1" applyAlignment="1" applyProtection="1">
      <alignment horizontal="left" vertical="center"/>
    </xf>
    <xf numFmtId="0" fontId="18" fillId="2" borderId="1" xfId="0" applyFont="1" applyFill="1" applyBorder="1" applyAlignment="1" applyProtection="1">
      <alignment horizontal="center" vertical="center" wrapText="1"/>
    </xf>
    <xf numFmtId="180" fontId="13" fillId="2" borderId="2" xfId="0" applyNumberFormat="1" applyFont="1" applyFill="1" applyBorder="1" applyAlignment="1" applyProtection="1">
      <alignment horizontal="center" vertical="center"/>
    </xf>
    <xf numFmtId="180" fontId="13" fillId="2" borderId="4" xfId="0" applyNumberFormat="1" applyFont="1" applyFill="1" applyBorder="1" applyAlignment="1" applyProtection="1">
      <alignment vertical="center"/>
    </xf>
    <xf numFmtId="0" fontId="18" fillId="2" borderId="4" xfId="0" applyFont="1" applyFill="1" applyBorder="1" applyAlignment="1" applyProtection="1">
      <alignment horizontal="center" vertical="center" wrapText="1"/>
    </xf>
    <xf numFmtId="0" fontId="11" fillId="6" borderId="0" xfId="0" applyFont="1" applyFill="1" applyAlignment="1" applyProtection="1">
      <alignment horizontal="center" vertical="center"/>
      <protection locked="0"/>
    </xf>
    <xf numFmtId="14" fontId="13" fillId="6" borderId="0" xfId="0" applyNumberFormat="1" applyFont="1" applyFill="1" applyAlignment="1" applyProtection="1">
      <alignment horizontal="center" vertical="center"/>
      <protection locked="0"/>
    </xf>
    <xf numFmtId="184" fontId="13" fillId="2" borderId="0" xfId="0" applyNumberFormat="1" applyFont="1" applyFill="1" applyAlignment="1" applyProtection="1">
      <alignment horizontal="center" vertical="center"/>
    </xf>
    <xf numFmtId="0" fontId="11" fillId="2" borderId="0" xfId="0" applyFont="1" applyFill="1" applyAlignment="1" applyProtection="1">
      <alignment horizontal="center" vertical="center"/>
    </xf>
    <xf numFmtId="14" fontId="13" fillId="2" borderId="11" xfId="0" applyNumberFormat="1" applyFont="1" applyFill="1" applyBorder="1" applyAlignment="1" applyProtection="1">
      <alignment horizontal="left" vertical="center"/>
    </xf>
    <xf numFmtId="184" fontId="13" fillId="2" borderId="56" xfId="0" applyNumberFormat="1" applyFont="1" applyFill="1" applyBorder="1" applyAlignment="1" applyProtection="1">
      <alignment horizontal="center" vertical="center"/>
    </xf>
    <xf numFmtId="0" fontId="13" fillId="7" borderId="56" xfId="0" applyFont="1" applyFill="1" applyBorder="1" applyAlignment="1" applyProtection="1">
      <alignment horizontal="center" vertical="center"/>
      <protection locked="0"/>
    </xf>
    <xf numFmtId="0" fontId="13" fillId="2" borderId="10" xfId="0" applyFont="1" applyFill="1" applyBorder="1" applyAlignment="1" applyProtection="1">
      <alignment horizontal="center" vertical="center" wrapText="1"/>
      <protection locked="0"/>
    </xf>
    <xf numFmtId="0" fontId="13" fillId="2" borderId="56" xfId="0" applyFont="1" applyFill="1" applyBorder="1" applyAlignment="1" applyProtection="1">
      <alignment horizontal="center" vertical="center"/>
    </xf>
    <xf numFmtId="0" fontId="13" fillId="2" borderId="12" xfId="0" applyFont="1" applyFill="1" applyBorder="1" applyAlignment="1" applyProtection="1">
      <alignment horizontal="center" vertical="center"/>
    </xf>
    <xf numFmtId="0" fontId="13" fillId="2" borderId="56" xfId="0" applyFont="1" applyFill="1" applyBorder="1" applyAlignment="1" applyProtection="1">
      <alignment horizontal="center" vertical="center" wrapText="1"/>
    </xf>
    <xf numFmtId="0" fontId="26" fillId="2" borderId="16" xfId="0" applyFont="1" applyFill="1" applyBorder="1" applyAlignment="1" applyProtection="1"/>
    <xf numFmtId="182" fontId="26" fillId="2" borderId="1" xfId="59" applyNumberFormat="1" applyFont="1" applyFill="1" applyBorder="1" applyAlignment="1" applyProtection="1">
      <alignment horizontal="center"/>
    </xf>
    <xf numFmtId="0" fontId="26" fillId="2" borderId="1" xfId="0" applyFont="1" applyFill="1" applyBorder="1" applyAlignment="1" applyProtection="1">
      <alignment horizontal="center"/>
    </xf>
    <xf numFmtId="0" fontId="12" fillId="2" borderId="1" xfId="0" applyFont="1" applyFill="1" applyBorder="1" applyAlignment="1" applyProtection="1">
      <alignment horizontal="center" vertical="center"/>
      <protection locked="0"/>
    </xf>
    <xf numFmtId="181" fontId="26" fillId="2" borderId="17" xfId="59" applyNumberFormat="1" applyFont="1" applyFill="1" applyBorder="1" applyAlignment="1" applyProtection="1">
      <alignment horizontal="center"/>
    </xf>
    <xf numFmtId="0" fontId="13" fillId="2" borderId="16" xfId="0" applyFont="1" applyFill="1" applyBorder="1" applyAlignment="1" applyProtection="1">
      <alignment horizontal="center" vertical="center" wrapText="1"/>
    </xf>
    <xf numFmtId="0" fontId="13" fillId="2" borderId="1" xfId="0" applyFont="1" applyFill="1" applyBorder="1" applyAlignment="1" applyProtection="1">
      <alignment horizontal="center" vertical="center" wrapText="1"/>
    </xf>
    <xf numFmtId="0" fontId="26" fillId="2" borderId="16" xfId="59" applyFont="1" applyFill="1" applyBorder="1" applyAlignment="1" applyProtection="1"/>
    <xf numFmtId="0" fontId="26" fillId="2" borderId="1" xfId="59" applyFont="1" applyFill="1" applyBorder="1" applyAlignment="1" applyProtection="1">
      <alignment horizontal="center"/>
    </xf>
    <xf numFmtId="0" fontId="26" fillId="2" borderId="1" xfId="0" applyFont="1" applyFill="1" applyBorder="1" applyAlignment="1" applyProtection="1">
      <alignment horizontal="center" vertical="center" wrapText="1"/>
    </xf>
    <xf numFmtId="9" fontId="12" fillId="7" borderId="1" xfId="0" applyNumberFormat="1" applyFont="1" applyFill="1" applyBorder="1" applyAlignment="1" applyProtection="1">
      <alignment horizontal="center" vertical="center"/>
      <protection locked="0"/>
    </xf>
    <xf numFmtId="179" fontId="26" fillId="0" borderId="1" xfId="59" applyNumberFormat="1" applyFont="1" applyFill="1" applyBorder="1" applyAlignment="1" applyProtection="1">
      <alignment horizontal="center"/>
      <protection locked="0"/>
    </xf>
    <xf numFmtId="0" fontId="6" fillId="2" borderId="20" xfId="0" applyFont="1" applyFill="1" applyBorder="1" applyAlignment="1" applyProtection="1">
      <alignment vertical="center"/>
    </xf>
    <xf numFmtId="0" fontId="12" fillId="2" borderId="1" xfId="0" applyFont="1" applyFill="1" applyBorder="1" applyAlignment="1" applyProtection="1">
      <alignment horizontal="center" vertical="center"/>
    </xf>
    <xf numFmtId="0" fontId="6" fillId="2" borderId="31" xfId="0" applyFont="1" applyFill="1" applyBorder="1" applyAlignment="1" applyProtection="1">
      <alignment vertical="center"/>
    </xf>
    <xf numFmtId="0" fontId="6" fillId="2" borderId="32" xfId="0" applyFont="1" applyFill="1" applyBorder="1" applyAlignment="1" applyProtection="1">
      <alignment vertical="center"/>
    </xf>
    <xf numFmtId="179" fontId="26" fillId="2" borderId="1" xfId="59" applyNumberFormat="1" applyFont="1" applyFill="1" applyBorder="1" applyAlignment="1" applyProtection="1">
      <alignment horizontal="center"/>
    </xf>
    <xf numFmtId="0" fontId="6" fillId="2" borderId="16" xfId="0" applyFont="1" applyFill="1" applyBorder="1" applyAlignment="1" applyProtection="1">
      <alignment horizontal="center" vertical="center"/>
    </xf>
    <xf numFmtId="0" fontId="12" fillId="7" borderId="16" xfId="0" applyFont="1" applyFill="1" applyBorder="1" applyAlignment="1" applyProtection="1">
      <alignment horizontal="center" vertical="center"/>
      <protection locked="0"/>
    </xf>
    <xf numFmtId="0" fontId="6" fillId="2" borderId="48" xfId="0" applyFont="1" applyFill="1" applyBorder="1" applyAlignment="1" applyProtection="1">
      <alignment horizontal="center" vertical="center"/>
    </xf>
    <xf numFmtId="0" fontId="12" fillId="2" borderId="8" xfId="0" applyFont="1" applyFill="1" applyBorder="1" applyAlignment="1" applyProtection="1">
      <alignment horizontal="center" vertical="center"/>
    </xf>
    <xf numFmtId="0" fontId="25" fillId="2" borderId="48" xfId="59" applyFont="1" applyFill="1" applyBorder="1" applyAlignment="1" applyProtection="1"/>
    <xf numFmtId="0" fontId="26" fillId="2" borderId="8" xfId="0" applyFont="1" applyFill="1" applyBorder="1" applyAlignment="1" applyProtection="1">
      <alignment horizontal="center"/>
    </xf>
    <xf numFmtId="181" fontId="25" fillId="2" borderId="38" xfId="0" applyNumberFormat="1" applyFont="1" applyFill="1" applyBorder="1" applyAlignment="1" applyProtection="1">
      <alignment horizontal="center"/>
    </xf>
    <xf numFmtId="0" fontId="26" fillId="2" borderId="0" xfId="0" applyFont="1" applyFill="1" applyAlignment="1" applyProtection="1">
      <protection locked="0"/>
    </xf>
    <xf numFmtId="0" fontId="13" fillId="2" borderId="0" xfId="0" applyFont="1" applyFill="1" applyAlignment="1" applyProtection="1">
      <alignment horizontal="center" vertical="center"/>
      <protection locked="0"/>
    </xf>
    <xf numFmtId="14" fontId="13" fillId="2" borderId="0" xfId="0" applyNumberFormat="1" applyFont="1" applyFill="1" applyAlignment="1" applyProtection="1">
      <alignment horizontal="center" vertical="center"/>
      <protection locked="0"/>
    </xf>
    <xf numFmtId="184" fontId="13" fillId="2" borderId="0" xfId="0" applyNumberFormat="1" applyFont="1" applyFill="1" applyAlignment="1" applyProtection="1">
      <alignment horizontal="center" vertical="center"/>
      <protection locked="0"/>
    </xf>
    <xf numFmtId="14" fontId="13" fillId="2" borderId="0" xfId="0" applyNumberFormat="1" applyFont="1" applyFill="1" applyAlignment="1" applyProtection="1">
      <alignment horizontal="center" vertical="center"/>
    </xf>
    <xf numFmtId="0" fontId="27" fillId="2" borderId="0" xfId="0" applyFont="1" applyFill="1" applyBorder="1" applyAlignment="1" applyProtection="1"/>
    <xf numFmtId="0" fontId="13" fillId="2" borderId="0" xfId="0" applyFont="1" applyFill="1" applyAlignment="1" applyProtection="1">
      <alignment horizontal="center" vertical="center"/>
    </xf>
    <xf numFmtId="0" fontId="13" fillId="2" borderId="0" xfId="0" applyFont="1" applyFill="1" applyBorder="1" applyAlignment="1" applyProtection="1"/>
    <xf numFmtId="0" fontId="13" fillId="2" borderId="0" xfId="0" applyFont="1" applyFill="1" applyBorder="1" applyAlignment="1" applyProtection="1">
      <alignment horizontal="center"/>
    </xf>
    <xf numFmtId="176" fontId="15" fillId="2" borderId="6" xfId="0" applyNumberFormat="1" applyFont="1" applyFill="1" applyBorder="1" applyAlignment="1" applyProtection="1">
      <alignment horizontal="center" vertical="center"/>
    </xf>
    <xf numFmtId="180" fontId="15" fillId="2" borderId="6" xfId="0" applyNumberFormat="1" applyFont="1" applyFill="1" applyBorder="1" applyAlignment="1" applyProtection="1">
      <alignment vertical="center"/>
    </xf>
    <xf numFmtId="0" fontId="15" fillId="2" borderId="6" xfId="0" applyFont="1" applyFill="1" applyBorder="1" applyAlignment="1" applyProtection="1">
      <alignment horizontal="center" vertical="center"/>
    </xf>
    <xf numFmtId="0" fontId="15" fillId="2" borderId="0" xfId="0" applyFont="1" applyFill="1" applyBorder="1" applyAlignment="1" applyProtection="1">
      <alignment horizontal="center" vertical="center"/>
    </xf>
    <xf numFmtId="176" fontId="15" fillId="2" borderId="0" xfId="0" applyNumberFormat="1" applyFont="1" applyFill="1" applyBorder="1" applyAlignment="1" applyProtection="1">
      <alignment horizontal="center" vertical="center"/>
      <protection locked="0"/>
    </xf>
    <xf numFmtId="180" fontId="15" fillId="6" borderId="0" xfId="0" applyNumberFormat="1" applyFont="1" applyFill="1" applyBorder="1" applyAlignment="1" applyProtection="1">
      <alignment vertical="center"/>
      <protection locked="0"/>
    </xf>
    <xf numFmtId="0" fontId="15" fillId="6" borderId="0" xfId="0" applyFont="1" applyFill="1" applyBorder="1" applyAlignment="1" applyProtection="1">
      <alignment horizontal="center" vertical="center"/>
      <protection locked="0"/>
    </xf>
    <xf numFmtId="176" fontId="8" fillId="2" borderId="4" xfId="0" applyNumberFormat="1" applyFont="1" applyFill="1" applyBorder="1" applyAlignment="1" applyProtection="1">
      <alignment horizontal="center" vertical="center" wrapText="1"/>
    </xf>
    <xf numFmtId="180" fontId="8" fillId="6" borderId="0" xfId="0" applyNumberFormat="1" applyFont="1" applyFill="1" applyBorder="1" applyAlignment="1" applyProtection="1">
      <alignment vertical="center" wrapText="1"/>
      <protection locked="0"/>
    </xf>
    <xf numFmtId="0" fontId="13" fillId="6" borderId="0" xfId="0" applyFont="1" applyFill="1" applyBorder="1" applyAlignment="1" applyProtection="1">
      <alignment horizontal="center" vertical="center"/>
      <protection locked="0"/>
    </xf>
    <xf numFmtId="0" fontId="13" fillId="2" borderId="5" xfId="0" applyFont="1" applyFill="1" applyBorder="1" applyAlignment="1" applyProtection="1">
      <alignment horizontal="center" vertical="center" wrapText="1"/>
    </xf>
    <xf numFmtId="0" fontId="13" fillId="2" borderId="57" xfId="0" applyFont="1" applyFill="1" applyBorder="1" applyAlignment="1" applyProtection="1">
      <alignment horizontal="center" vertical="center" wrapText="1"/>
    </xf>
    <xf numFmtId="0" fontId="13" fillId="2" borderId="50" xfId="0" applyFont="1" applyFill="1" applyBorder="1" applyAlignment="1" applyProtection="1">
      <alignment horizontal="center" vertical="center" wrapText="1"/>
    </xf>
    <xf numFmtId="0" fontId="8" fillId="2" borderId="4" xfId="0" applyNumberFormat="1" applyFont="1" applyFill="1" applyBorder="1" applyAlignment="1" applyProtection="1">
      <alignment horizontal="center" vertical="center" wrapText="1"/>
    </xf>
    <xf numFmtId="180" fontId="8" fillId="6" borderId="0" xfId="0" applyNumberFormat="1" applyFont="1" applyFill="1" applyBorder="1" applyAlignment="1" applyProtection="1">
      <alignment horizontal="center" vertical="center" wrapText="1"/>
      <protection locked="0"/>
    </xf>
    <xf numFmtId="0" fontId="8" fillId="6" borderId="0" xfId="0" applyFont="1" applyFill="1" applyBorder="1" applyAlignment="1" applyProtection="1">
      <alignment horizontal="center" vertical="center"/>
      <protection locked="0"/>
    </xf>
    <xf numFmtId="0" fontId="8" fillId="2" borderId="2" xfId="0" applyFont="1" applyFill="1" applyBorder="1" applyAlignment="1" applyProtection="1">
      <alignment horizontal="center" vertical="center"/>
    </xf>
    <xf numFmtId="0" fontId="8" fillId="6" borderId="45" xfId="0" applyFont="1" applyFill="1" applyBorder="1" applyAlignment="1" applyProtection="1">
      <alignment horizontal="center" vertical="center"/>
      <protection locked="0"/>
    </xf>
    <xf numFmtId="0" fontId="28" fillId="2" borderId="4" xfId="0" applyNumberFormat="1" applyFont="1" applyFill="1" applyBorder="1" applyAlignment="1" applyProtection="1">
      <alignment horizontal="center" vertical="center" wrapText="1"/>
    </xf>
    <xf numFmtId="180" fontId="9" fillId="6" borderId="0" xfId="0" applyNumberFormat="1" applyFont="1" applyFill="1" applyBorder="1" applyAlignment="1" applyProtection="1">
      <alignment horizontal="center" vertical="center" wrapText="1"/>
      <protection locked="0"/>
    </xf>
    <xf numFmtId="0" fontId="9" fillId="6" borderId="0" xfId="0" applyFont="1" applyFill="1" applyBorder="1" applyAlignment="1" applyProtection="1">
      <alignment horizontal="center" vertical="center"/>
      <protection locked="0"/>
    </xf>
    <xf numFmtId="0" fontId="9" fillId="6" borderId="45" xfId="0" applyFont="1" applyFill="1" applyBorder="1" applyAlignment="1" applyProtection="1">
      <alignment horizontal="center" vertical="center"/>
      <protection locked="0"/>
    </xf>
    <xf numFmtId="0" fontId="28" fillId="0" borderId="4" xfId="0" applyNumberFormat="1" applyFont="1" applyFill="1" applyBorder="1" applyAlignment="1" applyProtection="1">
      <alignment horizontal="center" vertical="center" wrapText="1"/>
      <protection locked="0"/>
    </xf>
    <xf numFmtId="180" fontId="10" fillId="6" borderId="0" xfId="0" applyNumberFormat="1" applyFont="1" applyFill="1" applyBorder="1" applyAlignment="1" applyProtection="1">
      <alignment horizontal="center" vertical="center" wrapText="1"/>
      <protection locked="0"/>
    </xf>
    <xf numFmtId="0" fontId="13" fillId="6" borderId="45" xfId="0" applyFont="1" applyFill="1" applyBorder="1" applyAlignment="1" applyProtection="1">
      <alignment horizontal="center" vertical="center"/>
      <protection locked="0"/>
    </xf>
    <xf numFmtId="180" fontId="11" fillId="6" borderId="0" xfId="0" applyNumberFormat="1" applyFont="1" applyFill="1" applyBorder="1" applyAlignment="1" applyProtection="1">
      <alignment horizontal="center" vertical="center" wrapText="1"/>
      <protection locked="0"/>
    </xf>
    <xf numFmtId="49" fontId="13" fillId="0" borderId="29" xfId="0" applyNumberFormat="1" applyFont="1" applyFill="1" applyBorder="1" applyAlignment="1" applyProtection="1">
      <alignment horizontal="center" vertical="center" wrapText="1"/>
      <protection locked="0"/>
    </xf>
    <xf numFmtId="0" fontId="13" fillId="2" borderId="7" xfId="0" applyFont="1" applyFill="1" applyBorder="1" applyAlignment="1" applyProtection="1">
      <alignment horizontal="center" vertical="center" wrapText="1"/>
    </xf>
    <xf numFmtId="0" fontId="13" fillId="2" borderId="58" xfId="0" applyFont="1" applyFill="1" applyBorder="1" applyAlignment="1" applyProtection="1">
      <alignment horizontal="center" vertical="center" wrapText="1"/>
    </xf>
    <xf numFmtId="49" fontId="13" fillId="0" borderId="31" xfId="0" applyNumberFormat="1" applyFont="1" applyFill="1" applyBorder="1" applyAlignment="1" applyProtection="1">
      <alignment horizontal="center" vertical="center" wrapText="1"/>
      <protection locked="0"/>
    </xf>
    <xf numFmtId="0" fontId="28" fillId="2" borderId="4" xfId="0" applyNumberFormat="1" applyFont="1" applyFill="1" applyBorder="1" applyAlignment="1" applyProtection="1">
      <alignment horizontal="center" vertical="center" wrapText="1"/>
      <protection locked="0"/>
    </xf>
    <xf numFmtId="0" fontId="29" fillId="2" borderId="4" xfId="0" applyNumberFormat="1" applyFont="1" applyFill="1" applyBorder="1" applyAlignment="1" applyProtection="1">
      <alignment horizontal="center" vertical="center" wrapText="1"/>
    </xf>
    <xf numFmtId="0" fontId="29" fillId="0" borderId="4" xfId="0" applyNumberFormat="1" applyFont="1" applyFill="1" applyBorder="1" applyAlignment="1" applyProtection="1">
      <alignment horizontal="center" vertical="center" wrapText="1"/>
      <protection locked="0"/>
    </xf>
    <xf numFmtId="0" fontId="13" fillId="2" borderId="7" xfId="0" applyFont="1" applyFill="1" applyBorder="1" applyAlignment="1" applyProtection="1">
      <alignment horizontal="center" vertical="center" textRotation="255" wrapText="1"/>
    </xf>
    <xf numFmtId="0" fontId="10" fillId="6" borderId="0" xfId="0" applyFont="1" applyFill="1" applyBorder="1" applyAlignment="1" applyProtection="1">
      <alignment horizontal="center" vertical="center"/>
      <protection locked="0"/>
    </xf>
    <xf numFmtId="0" fontId="10" fillId="6" borderId="45" xfId="0" applyFont="1" applyFill="1" applyBorder="1" applyAlignment="1" applyProtection="1">
      <alignment horizontal="center" vertical="center"/>
      <protection locked="0"/>
    </xf>
    <xf numFmtId="0" fontId="13" fillId="2" borderId="58" xfId="0" applyFont="1" applyFill="1" applyBorder="1" applyAlignment="1" applyProtection="1">
      <alignment horizontal="center" vertical="center" textRotation="255" wrapText="1"/>
    </xf>
    <xf numFmtId="0" fontId="13" fillId="0" borderId="56" xfId="0" applyNumberFormat="1" applyFont="1" applyFill="1" applyBorder="1" applyAlignment="1" applyProtection="1">
      <alignment horizontal="center" vertical="center" wrapText="1"/>
      <protection locked="0"/>
    </xf>
    <xf numFmtId="0" fontId="30" fillId="2" borderId="4" xfId="0" applyNumberFormat="1" applyFont="1" applyFill="1" applyBorder="1" applyAlignment="1" applyProtection="1">
      <alignment horizontal="center" vertical="center" wrapText="1"/>
    </xf>
    <xf numFmtId="176" fontId="13" fillId="2" borderId="4" xfId="0" applyNumberFormat="1" applyFont="1" applyFill="1" applyBorder="1" applyAlignment="1" applyProtection="1">
      <alignment horizontal="center" vertical="center"/>
    </xf>
    <xf numFmtId="180" fontId="13" fillId="6" borderId="0" xfId="0" applyNumberFormat="1" applyFont="1" applyFill="1" applyBorder="1" applyAlignment="1" applyProtection="1">
      <alignment vertical="center" wrapText="1"/>
      <protection locked="0"/>
    </xf>
    <xf numFmtId="184" fontId="13" fillId="2" borderId="59" xfId="0" applyNumberFormat="1" applyFont="1" applyFill="1" applyBorder="1" applyAlignment="1" applyProtection="1">
      <alignment horizontal="left" vertical="center" wrapText="1"/>
    </xf>
    <xf numFmtId="176" fontId="13" fillId="2" borderId="1" xfId="0" applyNumberFormat="1" applyFont="1" applyFill="1" applyBorder="1" applyAlignment="1" applyProtection="1">
      <alignment horizontal="center" vertical="center" wrapText="1"/>
    </xf>
    <xf numFmtId="0" fontId="13" fillId="2" borderId="2" xfId="0" applyFont="1" applyFill="1" applyBorder="1" applyAlignment="1" applyProtection="1">
      <alignment horizontal="center" vertical="center" wrapText="1"/>
    </xf>
    <xf numFmtId="176" fontId="13" fillId="6" borderId="0" xfId="0" applyNumberFormat="1" applyFont="1" applyFill="1" applyAlignment="1" applyProtection="1">
      <alignment horizontal="center" vertical="center"/>
      <protection locked="0"/>
    </xf>
    <xf numFmtId="180" fontId="13" fillId="6" borderId="0" xfId="0" applyNumberFormat="1" applyFont="1" applyFill="1" applyAlignment="1" applyProtection="1">
      <alignment horizontal="center" vertical="center"/>
      <protection locked="0"/>
    </xf>
    <xf numFmtId="176" fontId="11" fillId="6" borderId="0" xfId="0" applyNumberFormat="1" applyFont="1" applyFill="1" applyAlignment="1" applyProtection="1">
      <alignment horizontal="center" vertical="center"/>
      <protection locked="0"/>
    </xf>
    <xf numFmtId="180" fontId="11" fillId="6" borderId="0" xfId="0" applyNumberFormat="1" applyFont="1" applyFill="1" applyAlignment="1" applyProtection="1">
      <alignment horizontal="center" vertical="center"/>
      <protection locked="0"/>
    </xf>
    <xf numFmtId="0" fontId="13" fillId="2" borderId="1" xfId="0" applyFont="1" applyFill="1" applyBorder="1" applyAlignment="1" applyProtection="1">
      <alignment horizontal="center" vertical="center"/>
    </xf>
    <xf numFmtId="0" fontId="31" fillId="2" borderId="0" xfId="0" applyFont="1" applyFill="1" applyAlignment="1" applyProtection="1">
      <alignment horizontal="left" vertical="center"/>
      <protection locked="0"/>
    </xf>
    <xf numFmtId="0" fontId="6" fillId="2" borderId="1" xfId="0" applyFont="1" applyFill="1" applyBorder="1" applyAlignment="1" applyProtection="1">
      <alignment horizontal="center" vertical="center"/>
    </xf>
    <xf numFmtId="0" fontId="12" fillId="6" borderId="0" xfId="0"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176" fontId="13" fillId="2" borderId="0" xfId="0" applyNumberFormat="1" applyFont="1" applyFill="1" applyAlignment="1" applyProtection="1">
      <alignment horizontal="center" vertical="center"/>
      <protection locked="0"/>
    </xf>
    <xf numFmtId="180" fontId="13" fillId="2" borderId="0" xfId="0" applyNumberFormat="1" applyFont="1" applyFill="1" applyAlignment="1" applyProtection="1">
      <alignment horizontal="center" vertical="center"/>
      <protection locked="0"/>
    </xf>
    <xf numFmtId="176" fontId="13" fillId="2" borderId="0" xfId="0" applyNumberFormat="1" applyFont="1" applyFill="1" applyBorder="1" applyAlignment="1" applyProtection="1">
      <alignment horizontal="center"/>
    </xf>
    <xf numFmtId="180" fontId="13" fillId="2" borderId="0" xfId="0" applyNumberFormat="1" applyFont="1" applyFill="1" applyBorder="1" applyAlignment="1" applyProtection="1"/>
    <xf numFmtId="0" fontId="13" fillId="2" borderId="0" xfId="0" applyFont="1" applyFill="1" applyBorder="1" applyAlignment="1" applyProtection="1">
      <protection locked="0"/>
    </xf>
    <xf numFmtId="0" fontId="13" fillId="6" borderId="0" xfId="0" applyFont="1" applyFill="1" applyBorder="1" applyAlignment="1" applyProtection="1">
      <protection locked="0"/>
    </xf>
    <xf numFmtId="0" fontId="13" fillId="2" borderId="22" xfId="0" applyFont="1" applyFill="1" applyBorder="1" applyAlignment="1" applyProtection="1">
      <alignment horizontal="center" vertical="center" wrapText="1"/>
    </xf>
    <xf numFmtId="0" fontId="13" fillId="2" borderId="5" xfId="0" applyFont="1" applyFill="1" applyBorder="1" applyAlignment="1" applyProtection="1">
      <alignment horizontal="center" vertical="center"/>
    </xf>
    <xf numFmtId="0" fontId="13" fillId="2" borderId="22" xfId="0" applyFont="1" applyFill="1" applyBorder="1" applyAlignment="1" applyProtection="1">
      <alignment horizontal="center" vertical="center"/>
    </xf>
    <xf numFmtId="0" fontId="13" fillId="2" borderId="58" xfId="0" applyFont="1" applyFill="1" applyBorder="1" applyAlignment="1" applyProtection="1">
      <alignment horizontal="center" vertical="center"/>
    </xf>
    <xf numFmtId="0" fontId="13" fillId="2" borderId="45" xfId="0" applyFont="1" applyFill="1" applyBorder="1" applyAlignment="1" applyProtection="1">
      <alignment horizontal="center" vertical="center" wrapText="1"/>
    </xf>
    <xf numFmtId="0" fontId="13" fillId="2" borderId="57" xfId="0" applyFont="1" applyFill="1" applyBorder="1" applyAlignment="1" applyProtection="1">
      <alignment horizontal="center" vertical="center"/>
    </xf>
    <xf numFmtId="0" fontId="13" fillId="2" borderId="45" xfId="0" applyFont="1" applyFill="1" applyBorder="1" applyAlignment="1" applyProtection="1">
      <alignment horizontal="center" vertical="center"/>
    </xf>
    <xf numFmtId="0" fontId="13" fillId="2" borderId="43" xfId="0" applyFont="1" applyFill="1" applyBorder="1" applyAlignment="1" applyProtection="1">
      <alignment horizontal="center" vertical="center" wrapText="1"/>
    </xf>
    <xf numFmtId="0" fontId="13" fillId="2" borderId="50" xfId="0" applyFont="1" applyFill="1" applyBorder="1" applyAlignment="1" applyProtection="1">
      <alignment horizontal="center" vertical="center"/>
    </xf>
    <xf numFmtId="0" fontId="13" fillId="2" borderId="43" xfId="0" applyFont="1" applyFill="1" applyBorder="1" applyAlignment="1" applyProtection="1">
      <alignment horizontal="center" vertical="center"/>
    </xf>
    <xf numFmtId="0" fontId="8" fillId="2" borderId="3" xfId="0" applyFont="1" applyFill="1" applyBorder="1" applyAlignment="1" applyProtection="1">
      <alignment horizontal="center" vertical="center"/>
    </xf>
    <xf numFmtId="185" fontId="8" fillId="2" borderId="2" xfId="0" applyNumberFormat="1" applyFont="1" applyFill="1" applyBorder="1" applyAlignment="1" applyProtection="1">
      <alignment horizontal="center" vertical="center"/>
    </xf>
    <xf numFmtId="49" fontId="8" fillId="2" borderId="4" xfId="0" applyNumberFormat="1" applyFont="1" applyFill="1" applyBorder="1" applyAlignment="1" applyProtection="1">
      <alignment horizontal="center" vertical="center"/>
    </xf>
    <xf numFmtId="0" fontId="8" fillId="2" borderId="58" xfId="0" applyFont="1" applyFill="1" applyBorder="1" applyAlignment="1" applyProtection="1">
      <alignment horizontal="center" vertical="center"/>
    </xf>
    <xf numFmtId="0" fontId="8" fillId="2" borderId="4" xfId="0" applyFont="1" applyFill="1" applyBorder="1" applyAlignment="1" applyProtection="1">
      <alignment horizontal="center" vertical="center"/>
    </xf>
    <xf numFmtId="0" fontId="8" fillId="2" borderId="1" xfId="0" applyFont="1" applyFill="1" applyBorder="1" applyAlignment="1" applyProtection="1">
      <alignment horizontal="center" vertical="center" wrapText="1"/>
    </xf>
    <xf numFmtId="185" fontId="13" fillId="2" borderId="2" xfId="0" applyNumberFormat="1" applyFont="1" applyFill="1" applyBorder="1" applyAlignment="1" applyProtection="1">
      <alignment horizontal="center" vertical="center"/>
    </xf>
    <xf numFmtId="49" fontId="13" fillId="2" borderId="4" xfId="0" applyNumberFormat="1" applyFont="1" applyFill="1" applyBorder="1" applyAlignment="1" applyProtection="1">
      <alignment horizontal="center" vertical="center"/>
    </xf>
    <xf numFmtId="185" fontId="10" fillId="2" borderId="2" xfId="0" applyNumberFormat="1" applyFont="1" applyFill="1" applyBorder="1" applyAlignment="1" applyProtection="1">
      <alignment horizontal="center" vertical="center"/>
    </xf>
    <xf numFmtId="49" fontId="10" fillId="2" borderId="4" xfId="0" applyNumberFormat="1" applyFont="1" applyFill="1" applyBorder="1" applyAlignment="1" applyProtection="1">
      <alignment horizontal="center" vertical="center"/>
    </xf>
    <xf numFmtId="0" fontId="10" fillId="2" borderId="58" xfId="0" applyFont="1" applyFill="1" applyBorder="1" applyAlignment="1" applyProtection="1">
      <alignment horizontal="center" vertical="center"/>
    </xf>
    <xf numFmtId="182" fontId="13" fillId="2" borderId="1" xfId="0" applyNumberFormat="1" applyFont="1" applyFill="1" applyBorder="1" applyAlignment="1" applyProtection="1">
      <alignment horizontal="center" vertical="center"/>
    </xf>
    <xf numFmtId="0" fontId="13" fillId="2" borderId="4" xfId="0" applyFont="1" applyFill="1" applyBorder="1" applyAlignment="1" applyProtection="1">
      <alignment horizontal="center" vertical="center" wrapText="1"/>
    </xf>
    <xf numFmtId="182" fontId="18" fillId="5" borderId="1" xfId="0" applyNumberFormat="1" applyFont="1" applyFill="1" applyBorder="1" applyAlignment="1" applyProtection="1">
      <alignment horizontal="center" vertical="center"/>
    </xf>
    <xf numFmtId="9" fontId="8" fillId="6" borderId="0" xfId="0" applyNumberFormat="1" applyFont="1" applyFill="1" applyBorder="1" applyAlignment="1" applyProtection="1">
      <alignment horizontal="center" vertical="center" wrapText="1"/>
      <protection locked="0"/>
    </xf>
    <xf numFmtId="0" fontId="7" fillId="2" borderId="0" xfId="0" applyFont="1" applyFill="1" applyBorder="1" applyAlignment="1" applyProtection="1">
      <alignment horizontal="center" vertical="center"/>
    </xf>
    <xf numFmtId="0" fontId="15" fillId="2" borderId="47" xfId="0" applyFont="1" applyFill="1" applyBorder="1" applyAlignment="1" applyProtection="1">
      <alignment horizontal="center" vertical="center"/>
    </xf>
    <xf numFmtId="0" fontId="7" fillId="2" borderId="0" xfId="0" applyFont="1" applyFill="1" applyAlignment="1" applyProtection="1">
      <alignment horizontal="center" vertical="center"/>
    </xf>
    <xf numFmtId="0" fontId="13" fillId="2" borderId="7" xfId="0" applyFont="1" applyFill="1" applyBorder="1" applyAlignment="1" applyProtection="1">
      <alignment horizontal="center" vertical="center"/>
    </xf>
    <xf numFmtId="0" fontId="13" fillId="2" borderId="60" xfId="0" applyFont="1" applyFill="1" applyBorder="1" applyAlignment="1" applyProtection="1">
      <alignment horizontal="center" vertical="center"/>
    </xf>
    <xf numFmtId="0" fontId="8" fillId="2" borderId="1" xfId="0" applyNumberFormat="1" applyFont="1" applyFill="1" applyBorder="1" applyAlignment="1" applyProtection="1">
      <alignment horizontal="center" vertical="center"/>
    </xf>
    <xf numFmtId="0" fontId="8" fillId="2" borderId="1" xfId="0" applyFont="1" applyFill="1" applyBorder="1" applyAlignment="1" applyProtection="1">
      <alignment horizontal="center" vertical="center"/>
    </xf>
    <xf numFmtId="0" fontId="13" fillId="2" borderId="1" xfId="0" applyNumberFormat="1" applyFont="1" applyFill="1" applyBorder="1" applyAlignment="1" applyProtection="1">
      <alignment horizontal="center" vertical="center"/>
    </xf>
    <xf numFmtId="0" fontId="10" fillId="2" borderId="1" xfId="0" applyFont="1" applyFill="1" applyBorder="1" applyAlignment="1" applyProtection="1">
      <alignment horizontal="center" vertical="center"/>
    </xf>
    <xf numFmtId="0" fontId="13" fillId="2" borderId="60" xfId="0" applyFont="1" applyFill="1" applyBorder="1" applyAlignment="1" applyProtection="1">
      <alignment vertical="center" textRotation="255" wrapText="1"/>
    </xf>
    <xf numFmtId="0" fontId="20" fillId="2" borderId="9" xfId="0" applyNumberFormat="1" applyFont="1" applyFill="1" applyBorder="1" applyAlignment="1" applyProtection="1">
      <alignment vertical="center"/>
    </xf>
    <xf numFmtId="0" fontId="20" fillId="2" borderId="40" xfId="0" applyNumberFormat="1" applyFont="1" applyFill="1" applyBorder="1" applyAlignment="1" applyProtection="1">
      <alignment vertical="center"/>
    </xf>
    <xf numFmtId="0" fontId="8" fillId="2" borderId="13" xfId="0" applyNumberFormat="1" applyFont="1" applyFill="1" applyBorder="1" applyAlignment="1" applyProtection="1">
      <alignment horizontal="center" vertical="center" wrapText="1"/>
    </xf>
    <xf numFmtId="0" fontId="20" fillId="2" borderId="34" xfId="0" applyNumberFormat="1" applyFont="1" applyFill="1" applyBorder="1" applyAlignment="1" applyProtection="1">
      <alignment horizontal="center" vertical="center" wrapText="1"/>
    </xf>
    <xf numFmtId="10" fontId="20" fillId="2" borderId="1" xfId="0" applyNumberFormat="1" applyFont="1" applyFill="1" applyBorder="1" applyAlignment="1" applyProtection="1">
      <alignment horizontal="center" vertical="center" wrapText="1"/>
    </xf>
    <xf numFmtId="0" fontId="8" fillId="2" borderId="1" xfId="0" applyNumberFormat="1" applyFont="1" applyFill="1" applyBorder="1" applyAlignment="1" applyProtection="1">
      <alignment horizontal="center" vertical="center" wrapText="1"/>
    </xf>
    <xf numFmtId="0" fontId="8" fillId="0" borderId="1" xfId="0" applyNumberFormat="1" applyFont="1" applyFill="1" applyBorder="1" applyAlignment="1" applyProtection="1">
      <alignment horizontal="center" vertical="center" wrapText="1"/>
      <protection locked="0"/>
    </xf>
    <xf numFmtId="0" fontId="20" fillId="2" borderId="18" xfId="0" applyNumberFormat="1" applyFont="1" applyFill="1" applyBorder="1" applyAlignment="1" applyProtection="1">
      <alignment vertical="center"/>
    </xf>
    <xf numFmtId="0" fontId="20" fillId="2" borderId="61" xfId="0" applyNumberFormat="1" applyFont="1" applyFill="1" applyBorder="1" applyAlignment="1" applyProtection="1">
      <alignment vertical="center" wrapText="1"/>
    </xf>
    <xf numFmtId="0" fontId="8" fillId="0" borderId="61" xfId="0" applyNumberFormat="1" applyFont="1" applyFill="1" applyBorder="1" applyAlignment="1" applyProtection="1">
      <alignment horizontal="center" vertical="center" wrapText="1"/>
      <protection locked="0"/>
    </xf>
    <xf numFmtId="0" fontId="8" fillId="0" borderId="62" xfId="0" applyNumberFormat="1" applyFont="1" applyFill="1" applyBorder="1" applyAlignment="1" applyProtection="1">
      <alignment horizontal="center" vertical="center" wrapText="1"/>
      <protection locked="0"/>
    </xf>
    <xf numFmtId="0" fontId="20" fillId="2" borderId="57" xfId="0" applyNumberFormat="1" applyFont="1" applyFill="1" applyBorder="1" applyAlignment="1" applyProtection="1">
      <alignment vertical="center" wrapText="1"/>
    </xf>
    <xf numFmtId="0" fontId="20" fillId="2" borderId="45" xfId="0" applyNumberFormat="1" applyFont="1" applyFill="1" applyBorder="1" applyAlignment="1" applyProtection="1">
      <alignment vertical="center" wrapText="1"/>
    </xf>
    <xf numFmtId="0" fontId="8" fillId="2" borderId="43" xfId="0" applyNumberFormat="1" applyFont="1" applyFill="1" applyBorder="1" applyAlignment="1" applyProtection="1">
      <alignment horizontal="center" vertical="center" wrapText="1"/>
    </xf>
    <xf numFmtId="0" fontId="8" fillId="0" borderId="60" xfId="0" applyNumberFormat="1" applyFont="1" applyFill="1" applyBorder="1" applyAlignment="1" applyProtection="1">
      <alignment horizontal="center" vertical="center" wrapText="1"/>
      <protection locked="0"/>
    </xf>
    <xf numFmtId="0" fontId="8" fillId="2" borderId="22" xfId="0" applyNumberFormat="1" applyFont="1" applyFill="1" applyBorder="1" applyAlignment="1" applyProtection="1">
      <alignment horizontal="center" vertical="center" wrapText="1"/>
    </xf>
    <xf numFmtId="0" fontId="8" fillId="0" borderId="7" xfId="0" applyNumberFormat="1" applyFont="1" applyFill="1" applyBorder="1" applyAlignment="1" applyProtection="1">
      <alignment horizontal="center" vertical="center" wrapText="1"/>
      <protection locked="0"/>
    </xf>
    <xf numFmtId="0" fontId="18" fillId="2" borderId="29" xfId="0" applyNumberFormat="1" applyFont="1" applyFill="1" applyBorder="1" applyAlignment="1" applyProtection="1">
      <alignment vertical="center" wrapText="1"/>
    </xf>
    <xf numFmtId="0" fontId="8" fillId="2" borderId="63" xfId="0" applyNumberFormat="1" applyFont="1" applyFill="1" applyBorder="1" applyAlignment="1" applyProtection="1">
      <alignment horizontal="center" vertical="center" wrapText="1"/>
    </xf>
    <xf numFmtId="0" fontId="18" fillId="2" borderId="31" xfId="0" applyNumberFormat="1" applyFont="1" applyFill="1" applyBorder="1" applyAlignment="1" applyProtection="1">
      <alignment vertical="center" wrapText="1"/>
    </xf>
    <xf numFmtId="0" fontId="10" fillId="2" borderId="64" xfId="0" applyNumberFormat="1" applyFont="1" applyFill="1" applyBorder="1" applyAlignment="1" applyProtection="1">
      <alignment horizontal="center" vertical="center" wrapText="1"/>
    </xf>
    <xf numFmtId="0" fontId="13" fillId="0" borderId="65" xfId="0" applyNumberFormat="1" applyFont="1" applyFill="1" applyBorder="1" applyAlignment="1" applyProtection="1">
      <alignment horizontal="center" vertical="center" wrapText="1"/>
      <protection locked="0"/>
    </xf>
    <xf numFmtId="0" fontId="8" fillId="2" borderId="66" xfId="0" applyNumberFormat="1" applyFont="1" applyFill="1" applyBorder="1" applyAlignment="1" applyProtection="1">
      <alignment horizontal="center" vertical="center" wrapText="1"/>
    </xf>
    <xf numFmtId="0" fontId="13" fillId="2" borderId="67" xfId="0" applyNumberFormat="1" applyFont="1" applyFill="1" applyBorder="1" applyAlignment="1" applyProtection="1">
      <alignment horizontal="center" vertical="center" wrapText="1"/>
    </xf>
    <xf numFmtId="0" fontId="8" fillId="2" borderId="64" xfId="0" applyNumberFormat="1" applyFont="1" applyFill="1" applyBorder="1" applyAlignment="1" applyProtection="1">
      <alignment horizontal="center" vertical="center" wrapText="1"/>
    </xf>
    <xf numFmtId="0" fontId="13" fillId="2" borderId="65" xfId="0" applyNumberFormat="1" applyFont="1" applyFill="1" applyBorder="1" applyAlignment="1" applyProtection="1">
      <alignment horizontal="center" vertical="center" wrapText="1"/>
    </xf>
    <xf numFmtId="0" fontId="8" fillId="2" borderId="58" xfId="0" applyNumberFormat="1" applyFont="1" applyFill="1" applyBorder="1" applyAlignment="1" applyProtection="1">
      <alignment horizontal="center" vertical="center" wrapText="1"/>
    </xf>
    <xf numFmtId="0" fontId="13" fillId="2" borderId="60" xfId="0" applyNumberFormat="1" applyFont="1" applyFill="1" applyBorder="1" applyAlignment="1" applyProtection="1">
      <alignment horizontal="center" vertical="center" wrapText="1"/>
    </xf>
    <xf numFmtId="0" fontId="10" fillId="2" borderId="58" xfId="0" applyNumberFormat="1" applyFont="1" applyFill="1" applyBorder="1" applyAlignment="1" applyProtection="1">
      <alignment horizontal="center" vertical="center" wrapText="1"/>
    </xf>
    <xf numFmtId="0" fontId="22" fillId="2" borderId="31" xfId="0" applyNumberFormat="1" applyFont="1" applyFill="1" applyBorder="1" applyAlignment="1" applyProtection="1">
      <alignment vertical="center" wrapText="1"/>
    </xf>
    <xf numFmtId="0" fontId="8" fillId="0" borderId="67" xfId="0" applyNumberFormat="1" applyFont="1" applyFill="1" applyBorder="1" applyAlignment="1" applyProtection="1">
      <alignment horizontal="center" vertical="center" wrapText="1"/>
      <protection locked="0"/>
    </xf>
    <xf numFmtId="0" fontId="10" fillId="0" borderId="67" xfId="0" applyNumberFormat="1" applyFont="1" applyFill="1" applyBorder="1" applyAlignment="1" applyProtection="1">
      <alignment horizontal="center" vertical="center" wrapText="1"/>
      <protection locked="0"/>
    </xf>
    <xf numFmtId="0" fontId="8" fillId="0" borderId="65" xfId="0" applyNumberFormat="1" applyFont="1" applyFill="1" applyBorder="1" applyAlignment="1" applyProtection="1">
      <alignment horizontal="center" vertical="center" wrapText="1"/>
      <protection locked="0"/>
    </xf>
    <xf numFmtId="0" fontId="10" fillId="0" borderId="65" xfId="0" applyNumberFormat="1" applyFont="1" applyFill="1" applyBorder="1" applyAlignment="1" applyProtection="1">
      <alignment horizontal="center" vertical="center" wrapText="1"/>
      <protection locked="0"/>
    </xf>
    <xf numFmtId="0" fontId="10" fillId="0" borderId="60" xfId="0" applyNumberFormat="1" applyFont="1" applyFill="1" applyBorder="1" applyAlignment="1" applyProtection="1">
      <alignment horizontal="center" vertical="center" wrapText="1"/>
      <protection locked="0"/>
    </xf>
    <xf numFmtId="0" fontId="22" fillId="2" borderId="35" xfId="0" applyNumberFormat="1" applyFont="1" applyFill="1" applyBorder="1" applyAlignment="1" applyProtection="1">
      <alignment vertical="center" wrapText="1"/>
    </xf>
    <xf numFmtId="0" fontId="8" fillId="2" borderId="62" xfId="0" applyNumberFormat="1" applyFont="1" applyFill="1" applyBorder="1" applyAlignment="1" applyProtection="1">
      <alignment horizontal="center" vertical="center" wrapText="1"/>
    </xf>
    <xf numFmtId="0" fontId="8" fillId="0" borderId="8" xfId="0" applyNumberFormat="1" applyFont="1" applyFill="1" applyBorder="1" applyAlignment="1" applyProtection="1">
      <alignment horizontal="center" vertical="center" wrapText="1"/>
      <protection locked="0"/>
    </xf>
    <xf numFmtId="0" fontId="10" fillId="0" borderId="8" xfId="0" applyNumberFormat="1" applyFont="1" applyFill="1" applyBorder="1" applyAlignment="1" applyProtection="1">
      <alignment horizontal="center" vertical="center" wrapText="1"/>
      <protection locked="0"/>
    </xf>
    <xf numFmtId="0" fontId="8" fillId="2" borderId="56" xfId="0" applyNumberFormat="1" applyFont="1" applyFill="1" applyBorder="1" applyAlignment="1" applyProtection="1">
      <alignment horizontal="center" vertical="center" wrapText="1"/>
    </xf>
    <xf numFmtId="0" fontId="13" fillId="2" borderId="56" xfId="0" applyNumberFormat="1" applyFont="1" applyFill="1" applyBorder="1" applyAlignment="1" applyProtection="1">
      <alignment horizontal="center" vertical="center" wrapText="1"/>
    </xf>
    <xf numFmtId="0" fontId="8" fillId="2" borderId="67" xfId="0" applyNumberFormat="1" applyFont="1" applyFill="1" applyBorder="1" applyAlignment="1" applyProtection="1">
      <alignment horizontal="center" vertical="center" wrapText="1"/>
    </xf>
    <xf numFmtId="0" fontId="20" fillId="2" borderId="31" xfId="0" applyNumberFormat="1" applyFont="1" applyFill="1" applyBorder="1" applyAlignment="1" applyProtection="1">
      <alignment vertical="center" wrapText="1"/>
    </xf>
    <xf numFmtId="0" fontId="8" fillId="2" borderId="65" xfId="0" applyNumberFormat="1" applyFont="1" applyFill="1" applyBorder="1" applyAlignment="1" applyProtection="1">
      <alignment horizontal="center" vertical="center" wrapText="1"/>
    </xf>
    <xf numFmtId="0" fontId="10" fillId="2" borderId="67" xfId="0" applyNumberFormat="1" applyFont="1" applyFill="1" applyBorder="1" applyAlignment="1" applyProtection="1">
      <alignment horizontal="center" vertical="center" wrapText="1"/>
    </xf>
    <xf numFmtId="0" fontId="10" fillId="2" borderId="65" xfId="0" applyNumberFormat="1" applyFont="1" applyFill="1" applyBorder="1" applyAlignment="1" applyProtection="1">
      <alignment horizontal="center" vertical="center" wrapText="1"/>
    </xf>
    <xf numFmtId="0" fontId="13" fillId="2" borderId="58" xfId="0" applyNumberFormat="1" applyFont="1" applyFill="1" applyBorder="1" applyAlignment="1" applyProtection="1">
      <alignment horizontal="center" vertical="center" wrapText="1"/>
    </xf>
    <xf numFmtId="0" fontId="13" fillId="0" borderId="67" xfId="0" applyNumberFormat="1" applyFont="1" applyFill="1" applyBorder="1" applyAlignment="1" applyProtection="1">
      <alignment horizontal="center" vertical="center" wrapText="1"/>
      <protection locked="0"/>
    </xf>
    <xf numFmtId="0" fontId="32" fillId="0" borderId="67" xfId="0" applyNumberFormat="1" applyFont="1" applyFill="1" applyBorder="1" applyAlignment="1" applyProtection="1">
      <alignment horizontal="center" vertical="center" wrapText="1"/>
      <protection locked="0"/>
    </xf>
    <xf numFmtId="0" fontId="13" fillId="0" borderId="60" xfId="0" applyNumberFormat="1" applyFont="1" applyFill="1" applyBorder="1" applyAlignment="1" applyProtection="1">
      <alignment horizontal="center" vertical="center" wrapText="1"/>
      <protection locked="0"/>
    </xf>
    <xf numFmtId="0" fontId="13" fillId="0" borderId="8" xfId="0" applyNumberFormat="1" applyFont="1" applyFill="1" applyBorder="1" applyAlignment="1" applyProtection="1">
      <alignment horizontal="center" vertical="center" wrapText="1"/>
      <protection locked="0"/>
    </xf>
    <xf numFmtId="0" fontId="22" fillId="2" borderId="31" xfId="0" applyNumberFormat="1" applyFont="1" applyFill="1" applyBorder="1" applyAlignment="1" applyProtection="1">
      <alignment vertical="center" textRotation="255" wrapText="1"/>
    </xf>
    <xf numFmtId="0" fontId="8" fillId="2" borderId="57" xfId="0" applyNumberFormat="1" applyFont="1" applyFill="1" applyBorder="1" applyAlignment="1" applyProtection="1">
      <alignment horizontal="center" vertical="center"/>
    </xf>
    <xf numFmtId="0" fontId="13" fillId="0" borderId="7" xfId="0" applyNumberFormat="1" applyFont="1" applyFill="1" applyBorder="1" applyAlignment="1" applyProtection="1">
      <alignment horizontal="center" vertical="center" wrapText="1"/>
      <protection locked="0"/>
    </xf>
    <xf numFmtId="0" fontId="18" fillId="2" borderId="31" xfId="0" applyNumberFormat="1" applyFont="1" applyFill="1" applyBorder="1" applyAlignment="1" applyProtection="1">
      <alignment vertical="center" textRotation="255" wrapText="1"/>
    </xf>
    <xf numFmtId="0" fontId="33" fillId="0" borderId="67" xfId="0" applyNumberFormat="1" applyFont="1" applyFill="1" applyBorder="1" applyAlignment="1" applyProtection="1">
      <alignment horizontal="center" vertical="center" wrapText="1"/>
      <protection locked="0"/>
    </xf>
    <xf numFmtId="0" fontId="10" fillId="2" borderId="62" xfId="0" applyNumberFormat="1" applyFont="1" applyFill="1" applyBorder="1" applyAlignment="1" applyProtection="1">
      <alignment horizontal="center" vertical="center" wrapText="1"/>
    </xf>
    <xf numFmtId="49" fontId="8" fillId="6" borderId="0" xfId="0" applyNumberFormat="1" applyFont="1" applyFill="1" applyBorder="1" applyAlignment="1" applyProtection="1">
      <alignment horizontal="center" vertical="center"/>
      <protection locked="0"/>
    </xf>
    <xf numFmtId="0" fontId="8" fillId="0" borderId="68" xfId="0" applyNumberFormat="1" applyFont="1" applyFill="1" applyBorder="1" applyAlignment="1" applyProtection="1">
      <alignment horizontal="center" vertical="center" wrapText="1"/>
      <protection locked="0"/>
    </xf>
    <xf numFmtId="0" fontId="8" fillId="0" borderId="69" xfId="0" applyNumberFormat="1" applyFont="1" applyFill="1" applyBorder="1" applyAlignment="1" applyProtection="1">
      <alignment horizontal="center" vertical="center" wrapText="1"/>
      <protection locked="0"/>
    </xf>
    <xf numFmtId="0" fontId="8" fillId="0" borderId="60" xfId="0" applyNumberFormat="1" applyFont="1" applyFill="1" applyBorder="1" applyAlignment="1" applyProtection="1">
      <alignment horizontal="left" vertical="center" wrapText="1"/>
      <protection locked="0"/>
    </xf>
    <xf numFmtId="0" fontId="8" fillId="0" borderId="42" xfId="0" applyNumberFormat="1" applyFont="1" applyFill="1" applyBorder="1" applyAlignment="1" applyProtection="1">
      <alignment horizontal="center" vertical="center" wrapText="1"/>
      <protection locked="0"/>
    </xf>
    <xf numFmtId="0" fontId="8" fillId="6" borderId="0" xfId="0" applyNumberFormat="1" applyFont="1" applyFill="1" applyBorder="1" applyAlignment="1" applyProtection="1">
      <alignment horizontal="center" vertical="center" wrapText="1"/>
      <protection locked="0"/>
    </xf>
    <xf numFmtId="0" fontId="23" fillId="6" borderId="0" xfId="0" applyFont="1" applyFill="1" applyBorder="1" applyAlignment="1" applyProtection="1">
      <alignment vertical="center"/>
      <protection locked="0"/>
    </xf>
    <xf numFmtId="0" fontId="8" fillId="0" borderId="21" xfId="0" applyNumberFormat="1" applyFont="1" applyFill="1" applyBorder="1" applyAlignment="1" applyProtection="1">
      <alignment horizontal="center" vertical="center" wrapText="1"/>
      <protection locked="0"/>
    </xf>
    <xf numFmtId="0" fontId="11" fillId="0" borderId="56" xfId="0" applyNumberFormat="1" applyFont="1" applyFill="1" applyBorder="1" applyAlignment="1" applyProtection="1">
      <alignment horizontal="center" vertical="center" wrapText="1"/>
      <protection locked="0"/>
    </xf>
    <xf numFmtId="0" fontId="11" fillId="0" borderId="56" xfId="0" applyNumberFormat="1" applyFont="1" applyFill="1" applyBorder="1" applyAlignment="1" applyProtection="1">
      <alignment horizontal="left" vertical="center" wrapText="1"/>
      <protection locked="0"/>
    </xf>
    <xf numFmtId="0" fontId="11" fillId="0" borderId="12" xfId="0" applyNumberFormat="1" applyFont="1" applyFill="1" applyBorder="1" applyAlignment="1" applyProtection="1">
      <alignment horizontal="center" vertical="center" wrapText="1"/>
      <protection locked="0"/>
    </xf>
    <xf numFmtId="0" fontId="11" fillId="6" borderId="0" xfId="0" applyNumberFormat="1" applyFont="1" applyFill="1" applyBorder="1" applyAlignment="1" applyProtection="1">
      <alignment horizontal="center" vertical="center" wrapText="1"/>
      <protection locked="0"/>
    </xf>
    <xf numFmtId="0" fontId="8" fillId="6" borderId="0" xfId="0" applyFont="1" applyFill="1" applyBorder="1" applyAlignment="1" applyProtection="1">
      <alignment horizontal="center" vertical="center" wrapText="1"/>
      <protection locked="0"/>
    </xf>
    <xf numFmtId="0" fontId="13" fillId="0" borderId="70" xfId="0" applyNumberFormat="1" applyFont="1" applyFill="1" applyBorder="1" applyAlignment="1" applyProtection="1">
      <alignment horizontal="center" vertical="center" wrapText="1"/>
      <protection locked="0"/>
    </xf>
    <xf numFmtId="0" fontId="13" fillId="6" borderId="0" xfId="0" applyNumberFormat="1" applyFont="1" applyFill="1" applyBorder="1" applyAlignment="1" applyProtection="1">
      <alignment horizontal="center" vertical="center" wrapText="1"/>
      <protection locked="0"/>
    </xf>
    <xf numFmtId="0" fontId="11" fillId="2" borderId="67" xfId="0" applyNumberFormat="1" applyFont="1" applyFill="1" applyBorder="1" applyAlignment="1" applyProtection="1">
      <alignment horizontal="center" vertical="center" wrapText="1"/>
    </xf>
    <xf numFmtId="0" fontId="11" fillId="2" borderId="67" xfId="0" applyNumberFormat="1" applyFont="1" applyFill="1" applyBorder="1" applyAlignment="1" applyProtection="1">
      <alignment horizontal="left" vertical="center" wrapText="1"/>
    </xf>
    <xf numFmtId="0" fontId="11" fillId="2" borderId="71" xfId="0" applyNumberFormat="1" applyFont="1" applyFill="1" applyBorder="1" applyAlignment="1" applyProtection="1">
      <alignment horizontal="center" vertical="center" wrapText="1"/>
    </xf>
    <xf numFmtId="0" fontId="13" fillId="2" borderId="70" xfId="0" applyNumberFormat="1" applyFont="1" applyFill="1" applyBorder="1" applyAlignment="1" applyProtection="1">
      <alignment horizontal="center" vertical="center" wrapText="1"/>
    </xf>
    <xf numFmtId="0" fontId="11" fillId="0" borderId="1" xfId="0" applyNumberFormat="1" applyFont="1" applyFill="1" applyBorder="1" applyAlignment="1" applyProtection="1">
      <alignment horizontal="center" vertical="center" wrapText="1"/>
      <protection locked="0"/>
    </xf>
    <xf numFmtId="0" fontId="11" fillId="0" borderId="1" xfId="0" applyNumberFormat="1" applyFont="1" applyFill="1" applyBorder="1" applyAlignment="1" applyProtection="1">
      <alignment horizontal="left" vertical="center" wrapText="1"/>
      <protection locked="0"/>
    </xf>
    <xf numFmtId="0" fontId="11" fillId="0" borderId="17" xfId="0" applyNumberFormat="1" applyFont="1" applyFill="1" applyBorder="1" applyAlignment="1" applyProtection="1">
      <alignment horizontal="center" vertical="center" wrapText="1"/>
      <protection locked="0"/>
    </xf>
    <xf numFmtId="0" fontId="10" fillId="0" borderId="67" xfId="0" applyNumberFormat="1" applyFont="1" applyFill="1" applyBorder="1" applyAlignment="1" applyProtection="1">
      <alignment horizontal="left" vertical="center" wrapText="1"/>
      <protection locked="0"/>
    </xf>
    <xf numFmtId="0" fontId="10" fillId="0" borderId="71" xfId="0" applyNumberFormat="1" applyFont="1" applyFill="1" applyBorder="1" applyAlignment="1" applyProtection="1">
      <alignment horizontal="center" vertical="center" wrapText="1"/>
      <protection locked="0"/>
    </xf>
    <xf numFmtId="0" fontId="10" fillId="6" borderId="0" xfId="0" applyNumberFormat="1" applyFont="1" applyFill="1" applyBorder="1" applyAlignment="1" applyProtection="1">
      <alignment horizontal="center" vertical="center" wrapText="1"/>
      <protection locked="0"/>
    </xf>
    <xf numFmtId="0" fontId="10" fillId="6" borderId="0" xfId="0" applyFont="1" applyFill="1" applyBorder="1" applyAlignment="1" applyProtection="1">
      <alignment horizontal="center" vertical="center" wrapText="1"/>
      <protection locked="0"/>
    </xf>
    <xf numFmtId="0" fontId="10" fillId="0" borderId="70" xfId="0" applyNumberFormat="1" applyFont="1" applyFill="1" applyBorder="1" applyAlignment="1" applyProtection="1">
      <alignment horizontal="center" vertical="center" wrapText="1"/>
      <protection locked="0"/>
    </xf>
    <xf numFmtId="0" fontId="10" fillId="0" borderId="60" xfId="0" applyNumberFormat="1" applyFont="1" applyFill="1" applyBorder="1" applyAlignment="1" applyProtection="1">
      <alignment horizontal="left" vertical="center" wrapText="1"/>
      <protection locked="0"/>
    </xf>
    <xf numFmtId="0" fontId="10" fillId="0" borderId="42" xfId="0" applyNumberFormat="1" applyFont="1" applyFill="1" applyBorder="1" applyAlignment="1" applyProtection="1">
      <alignment horizontal="center" vertical="center" wrapText="1"/>
      <protection locked="0"/>
    </xf>
    <xf numFmtId="0" fontId="10" fillId="6" borderId="0" xfId="0" applyFont="1" applyFill="1" applyBorder="1" applyAlignment="1" applyProtection="1">
      <alignment vertical="center" wrapText="1"/>
      <protection locked="0"/>
    </xf>
    <xf numFmtId="0" fontId="10" fillId="0" borderId="38" xfId="0" applyNumberFormat="1" applyFont="1" applyFill="1" applyBorder="1" applyAlignment="1" applyProtection="1">
      <alignment horizontal="center" vertical="center" wrapText="1"/>
      <protection locked="0"/>
    </xf>
    <xf numFmtId="0" fontId="11" fillId="2" borderId="56" xfId="0" applyNumberFormat="1" applyFont="1" applyFill="1" applyBorder="1" applyAlignment="1" applyProtection="1">
      <alignment horizontal="center" vertical="center" wrapText="1"/>
    </xf>
    <xf numFmtId="0" fontId="11" fillId="2" borderId="56" xfId="0" applyNumberFormat="1" applyFont="1" applyFill="1" applyBorder="1" applyAlignment="1" applyProtection="1">
      <alignment horizontal="left" vertical="center" wrapText="1"/>
    </xf>
    <xf numFmtId="0" fontId="11" fillId="2" borderId="12" xfId="0" applyNumberFormat="1" applyFont="1" applyFill="1" applyBorder="1" applyAlignment="1" applyProtection="1">
      <alignment horizontal="center" vertical="center" wrapText="1"/>
    </xf>
    <xf numFmtId="0" fontId="8" fillId="6" borderId="0" xfId="0" applyFont="1" applyFill="1" applyBorder="1" applyAlignment="1" applyProtection="1">
      <alignment vertical="center" wrapText="1"/>
      <protection locked="0"/>
    </xf>
    <xf numFmtId="0" fontId="8" fillId="2" borderId="67" xfId="0" applyNumberFormat="1" applyFont="1" applyFill="1" applyBorder="1" applyAlignment="1" applyProtection="1">
      <alignment horizontal="left" vertical="center" wrapText="1"/>
    </xf>
    <xf numFmtId="0" fontId="8" fillId="2" borderId="71" xfId="0" applyNumberFormat="1" applyFont="1" applyFill="1" applyBorder="1" applyAlignment="1" applyProtection="1">
      <alignment horizontal="center" vertical="center" wrapText="1"/>
    </xf>
    <xf numFmtId="0" fontId="10" fillId="2" borderId="67" xfId="0" applyNumberFormat="1" applyFont="1" applyFill="1" applyBorder="1" applyAlignment="1" applyProtection="1">
      <alignment horizontal="left" vertical="center" wrapText="1"/>
    </xf>
    <xf numFmtId="0" fontId="10" fillId="2" borderId="71" xfId="0" applyNumberFormat="1" applyFont="1" applyFill="1" applyBorder="1" applyAlignment="1" applyProtection="1">
      <alignment horizontal="center" vertical="center" wrapText="1"/>
    </xf>
    <xf numFmtId="0" fontId="10" fillId="2" borderId="70" xfId="0" applyNumberFormat="1" applyFont="1" applyFill="1" applyBorder="1" applyAlignment="1" applyProtection="1">
      <alignment horizontal="center" vertical="center" wrapText="1"/>
    </xf>
    <xf numFmtId="0" fontId="10" fillId="2" borderId="44" xfId="0" applyNumberFormat="1" applyFont="1" applyFill="1" applyBorder="1" applyAlignment="1" applyProtection="1">
      <alignment horizontal="center" vertical="center" wrapText="1"/>
    </xf>
    <xf numFmtId="0" fontId="11" fillId="0" borderId="67" xfId="0" applyNumberFormat="1" applyFont="1" applyFill="1" applyBorder="1" applyAlignment="1" applyProtection="1">
      <alignment horizontal="center" vertical="center" wrapText="1"/>
      <protection locked="0"/>
    </xf>
    <xf numFmtId="0" fontId="11" fillId="0" borderId="67" xfId="0" applyNumberFormat="1" applyFont="1" applyFill="1" applyBorder="1" applyAlignment="1" applyProtection="1">
      <alignment horizontal="left" vertical="center" wrapText="1"/>
      <protection locked="0"/>
    </xf>
    <xf numFmtId="0" fontId="11" fillId="0" borderId="71" xfId="0" applyNumberFormat="1" applyFont="1" applyFill="1" applyBorder="1" applyAlignment="1" applyProtection="1">
      <alignment horizontal="center" vertical="center" wrapText="1"/>
      <protection locked="0"/>
    </xf>
    <xf numFmtId="0" fontId="11" fillId="0" borderId="60" xfId="0" applyNumberFormat="1" applyFont="1" applyFill="1" applyBorder="1" applyAlignment="1" applyProtection="1">
      <alignment horizontal="center" vertical="center" wrapText="1"/>
      <protection locked="0"/>
    </xf>
    <xf numFmtId="0" fontId="11" fillId="0" borderId="60" xfId="0" applyNumberFormat="1" applyFont="1" applyFill="1" applyBorder="1" applyAlignment="1" applyProtection="1">
      <alignment horizontal="left" vertical="center" wrapText="1"/>
      <protection locked="0"/>
    </xf>
    <xf numFmtId="0" fontId="11" fillId="0" borderId="42" xfId="0" applyNumberFormat="1" applyFont="1" applyFill="1" applyBorder="1" applyAlignment="1" applyProtection="1">
      <alignment horizontal="center" vertical="center" wrapText="1"/>
      <protection locked="0"/>
    </xf>
    <xf numFmtId="0" fontId="13" fillId="0" borderId="38" xfId="0" applyNumberFormat="1" applyFont="1" applyFill="1" applyBorder="1" applyAlignment="1" applyProtection="1">
      <alignment horizontal="center" vertical="center" wrapText="1"/>
      <protection locked="0"/>
    </xf>
    <xf numFmtId="0" fontId="10" fillId="0" borderId="1" xfId="0" applyNumberFormat="1" applyFont="1" applyFill="1" applyBorder="1" applyAlignment="1" applyProtection="1">
      <alignment horizontal="center" vertical="center" wrapText="1"/>
      <protection locked="0"/>
    </xf>
    <xf numFmtId="0" fontId="10" fillId="0" borderId="1" xfId="0" applyNumberFormat="1" applyFont="1" applyFill="1" applyBorder="1" applyAlignment="1" applyProtection="1">
      <alignment horizontal="left" vertical="center" wrapText="1"/>
      <protection locked="0"/>
    </xf>
    <xf numFmtId="0" fontId="10" fillId="0" borderId="17" xfId="0" applyNumberFormat="1" applyFont="1" applyFill="1" applyBorder="1" applyAlignment="1" applyProtection="1">
      <alignment horizontal="center" vertical="center" wrapText="1"/>
      <protection locked="0"/>
    </xf>
    <xf numFmtId="0" fontId="13" fillId="0" borderId="21" xfId="0" applyNumberFormat="1" applyFont="1" applyFill="1" applyBorder="1" applyAlignment="1" applyProtection="1">
      <alignment horizontal="center" vertical="center" wrapText="1"/>
      <protection locked="0"/>
    </xf>
    <xf numFmtId="0" fontId="23" fillId="2" borderId="56" xfId="0" applyNumberFormat="1"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49" fontId="8" fillId="6" borderId="0" xfId="0" applyNumberFormat="1" applyFont="1" applyFill="1" applyAlignment="1" applyProtection="1">
      <alignment horizontal="center" vertical="center"/>
      <protection locked="0"/>
    </xf>
    <xf numFmtId="0" fontId="8" fillId="6" borderId="0" xfId="0" applyFont="1" applyFill="1" applyAlignment="1" applyProtection="1">
      <alignment horizontal="center" vertical="center"/>
      <protection locked="0"/>
    </xf>
    <xf numFmtId="9" fontId="10" fillId="6" borderId="0" xfId="0" applyNumberFormat="1" applyFont="1" applyFill="1" applyBorder="1" applyAlignment="1" applyProtection="1">
      <alignment horizontal="center" vertical="center" wrapText="1"/>
      <protection locked="0"/>
    </xf>
    <xf numFmtId="0" fontId="10" fillId="6" borderId="0" xfId="0" applyFont="1" applyFill="1" applyAlignment="1" applyProtection="1">
      <alignment horizontal="center" vertical="center"/>
      <protection locked="0"/>
    </xf>
    <xf numFmtId="9" fontId="10" fillId="6" borderId="0" xfId="0" applyNumberFormat="1" applyFont="1" applyFill="1" applyBorder="1" applyAlignment="1" applyProtection="1">
      <alignment horizontal="center" vertical="center"/>
      <protection locked="0"/>
    </xf>
    <xf numFmtId="0" fontId="34" fillId="0" borderId="0" xfId="0" applyNumberFormat="1" applyFont="1" applyFill="1" applyAlignment="1">
      <alignment horizontal="left"/>
    </xf>
    <xf numFmtId="0" fontId="34" fillId="7" borderId="0" xfId="0" applyNumberFormat="1" applyFont="1" applyFill="1" applyAlignment="1">
      <alignment horizontal="left"/>
    </xf>
    <xf numFmtId="0" fontId="34" fillId="8" borderId="0" xfId="0" applyNumberFormat="1" applyFont="1" applyFill="1" applyAlignment="1">
      <alignment horizontal="left"/>
    </xf>
    <xf numFmtId="0" fontId="34" fillId="0" borderId="0" xfId="0" applyNumberFormat="1" applyFont="1" applyFill="1" applyAlignment="1"/>
    <xf numFmtId="0" fontId="34" fillId="9" borderId="0" xfId="0" applyNumberFormat="1" applyFont="1" applyFill="1" applyAlignment="1"/>
    <xf numFmtId="0" fontId="34" fillId="7" borderId="0" xfId="0" applyNumberFormat="1" applyFont="1" applyFill="1" applyAlignment="1"/>
    <xf numFmtId="0" fontId="0" fillId="0" borderId="0" xfId="0" applyAlignment="1">
      <alignment horizontal="left" vertical="center"/>
    </xf>
    <xf numFmtId="0" fontId="34" fillId="9" borderId="0" xfId="0" applyNumberFormat="1" applyFont="1" applyFill="1" applyAlignment="1">
      <alignment horizontal="left"/>
    </xf>
    <xf numFmtId="14" fontId="34" fillId="0" borderId="0" xfId="0" applyNumberFormat="1" applyFont="1" applyFill="1" applyAlignment="1">
      <alignment horizontal="left"/>
    </xf>
    <xf numFmtId="14" fontId="34" fillId="7" borderId="0" xfId="0" applyNumberFormat="1" applyFont="1" applyFill="1" applyAlignment="1">
      <alignment horizontal="left"/>
    </xf>
    <xf numFmtId="14" fontId="34" fillId="8" borderId="0" xfId="0" applyNumberFormat="1" applyFont="1" applyFill="1" applyAlignment="1">
      <alignment horizontal="left"/>
    </xf>
    <xf numFmtId="14" fontId="34" fillId="9" borderId="0" xfId="0" applyNumberFormat="1" applyFont="1" applyFill="1" applyAlignment="1">
      <alignment horizontal="left"/>
    </xf>
    <xf numFmtId="0" fontId="35" fillId="10" borderId="0" xfId="0" applyNumberFormat="1" applyFont="1" applyFill="1" applyAlignment="1">
      <alignment horizontal="left"/>
    </xf>
    <xf numFmtId="0" fontId="0" fillId="7" borderId="0" xfId="0" applyFill="1" applyAlignment="1">
      <alignment horizontal="left" vertical="center"/>
    </xf>
    <xf numFmtId="0" fontId="0" fillId="8" borderId="0" xfId="0" applyFill="1" applyAlignment="1">
      <alignment horizontal="left" vertical="center"/>
    </xf>
    <xf numFmtId="0" fontId="0" fillId="9" borderId="0" xfId="0" applyFill="1" applyAlignment="1">
      <alignment horizontal="left" vertical="center"/>
    </xf>
    <xf numFmtId="0" fontId="0" fillId="0" borderId="1" xfId="0" applyBorder="1" applyAlignment="1">
      <alignment horizontal="left" vertical="center"/>
    </xf>
    <xf numFmtId="0" fontId="0" fillId="9" borderId="0" xfId="0" applyFill="1">
      <alignment vertical="center"/>
    </xf>
    <xf numFmtId="0" fontId="36" fillId="0" borderId="0" xfId="0" applyFont="1" applyAlignment="1"/>
    <xf numFmtId="0" fontId="0" fillId="0" borderId="0" xfId="0" applyFont="1" applyAlignment="1"/>
    <xf numFmtId="0" fontId="37" fillId="2" borderId="0" xfId="60" applyFont="1" applyFill="1"/>
    <xf numFmtId="0" fontId="37" fillId="0" borderId="0" xfId="60" applyFont="1"/>
    <xf numFmtId="0" fontId="0" fillId="0" borderId="0" xfId="0" applyAlignment="1"/>
    <xf numFmtId="0" fontId="38" fillId="2" borderId="72" xfId="60" applyFont="1" applyFill="1" applyBorder="1"/>
    <xf numFmtId="0" fontId="39" fillId="2" borderId="65" xfId="60" applyFont="1" applyFill="1" applyBorder="1" applyAlignment="1">
      <alignment horizontal="center"/>
    </xf>
    <xf numFmtId="14" fontId="38" fillId="2" borderId="65" xfId="60" applyNumberFormat="1" applyFont="1" applyFill="1" applyBorder="1" applyAlignment="1" applyProtection="1">
      <alignment horizontal="center"/>
    </xf>
    <xf numFmtId="0" fontId="38" fillId="2" borderId="65" xfId="60" applyFont="1" applyFill="1" applyBorder="1" applyAlignment="1" applyProtection="1">
      <alignment horizontal="center"/>
    </xf>
    <xf numFmtId="10" fontId="38" fillId="2" borderId="65" xfId="60" applyNumberFormat="1" applyFont="1" applyFill="1" applyBorder="1" applyAlignment="1">
      <alignment horizontal="center"/>
    </xf>
    <xf numFmtId="0" fontId="40" fillId="2" borderId="0" xfId="0" applyFont="1" applyFill="1" applyAlignment="1"/>
    <xf numFmtId="0" fontId="41" fillId="2" borderId="0" xfId="60" applyFont="1" applyFill="1"/>
    <xf numFmtId="0" fontId="37" fillId="2" borderId="11" xfId="60" applyFont="1" applyFill="1" applyBorder="1"/>
    <xf numFmtId="0" fontId="42" fillId="2" borderId="56" xfId="60" applyFont="1" applyFill="1" applyBorder="1" applyAlignment="1">
      <alignment horizontal="center" vertical="center" wrapText="1"/>
    </xf>
    <xf numFmtId="0" fontId="37" fillId="2" borderId="12" xfId="60" applyFont="1" applyFill="1" applyBorder="1" applyAlignment="1">
      <alignment horizontal="center"/>
    </xf>
    <xf numFmtId="0" fontId="42" fillId="2" borderId="11" xfId="60" applyFont="1" applyFill="1" applyBorder="1" applyAlignment="1">
      <alignment horizontal="center" vertical="center" wrapText="1"/>
    </xf>
    <xf numFmtId="0" fontId="37" fillId="2" borderId="56" xfId="60" applyNumberFormat="1" applyFont="1" applyFill="1" applyBorder="1" applyAlignment="1">
      <alignment horizontal="center"/>
    </xf>
    <xf numFmtId="0" fontId="37" fillId="2" borderId="16" xfId="60" applyFont="1" applyFill="1" applyBorder="1"/>
    <xf numFmtId="0" fontId="42" fillId="2" borderId="1" xfId="60" applyFont="1" applyFill="1" applyBorder="1" applyAlignment="1">
      <alignment horizontal="center" vertical="center" wrapText="1"/>
    </xf>
    <xf numFmtId="0" fontId="37" fillId="2" borderId="17" xfId="60" applyFont="1" applyFill="1" applyBorder="1" applyAlignment="1">
      <alignment horizontal="center"/>
    </xf>
    <xf numFmtId="0" fontId="42" fillId="2" borderId="16" xfId="60" applyFont="1" applyFill="1" applyBorder="1" applyAlignment="1">
      <alignment horizontal="center" vertical="center" wrapText="1"/>
    </xf>
    <xf numFmtId="0" fontId="37" fillId="2" borderId="1" xfId="60" applyNumberFormat="1" applyFont="1" applyFill="1" applyBorder="1" applyAlignment="1">
      <alignment horizontal="center"/>
    </xf>
    <xf numFmtId="0" fontId="37" fillId="2" borderId="48" xfId="60" applyFont="1" applyFill="1" applyBorder="1"/>
    <xf numFmtId="0" fontId="42" fillId="2" borderId="8" xfId="60" applyFont="1" applyFill="1" applyBorder="1" applyAlignment="1">
      <alignment horizontal="center" vertical="center" wrapText="1"/>
    </xf>
    <xf numFmtId="0" fontId="37" fillId="2" borderId="38" xfId="60" applyFont="1" applyFill="1" applyBorder="1" applyAlignment="1">
      <alignment horizontal="center"/>
    </xf>
    <xf numFmtId="0" fontId="42" fillId="2" borderId="48" xfId="60" applyFont="1" applyFill="1" applyBorder="1" applyAlignment="1">
      <alignment horizontal="center" vertical="center" wrapText="1"/>
    </xf>
    <xf numFmtId="0" fontId="37" fillId="2" borderId="8" xfId="60" applyNumberFormat="1" applyFont="1" applyFill="1" applyBorder="1" applyAlignment="1">
      <alignment horizontal="center"/>
    </xf>
    <xf numFmtId="0" fontId="37" fillId="2" borderId="0" xfId="60" applyNumberFormat="1" applyFont="1" applyFill="1" applyAlignment="1">
      <alignment horizontal="center"/>
    </xf>
    <xf numFmtId="0" fontId="37" fillId="2" borderId="0" xfId="60" applyFont="1" applyFill="1" applyAlignment="1">
      <alignment horizontal="right"/>
    </xf>
    <xf numFmtId="14" fontId="37" fillId="2" borderId="0" xfId="60" applyNumberFormat="1" applyFont="1" applyFill="1" applyAlignment="1">
      <alignment horizontal="center"/>
    </xf>
    <xf numFmtId="0" fontId="43" fillId="2" borderId="0" xfId="60" applyNumberFormat="1" applyFont="1" applyFill="1" applyAlignment="1">
      <alignment horizontal="center"/>
    </xf>
    <xf numFmtId="0" fontId="44" fillId="2" borderId="0" xfId="60" applyFont="1" applyFill="1" applyAlignment="1">
      <alignment horizontal="left"/>
    </xf>
    <xf numFmtId="14" fontId="43" fillId="2" borderId="0" xfId="60" applyNumberFormat="1" applyFont="1" applyFill="1" applyAlignment="1">
      <alignment horizontal="center"/>
    </xf>
    <xf numFmtId="0" fontId="43" fillId="2" borderId="0" xfId="60" applyFont="1" applyFill="1"/>
    <xf numFmtId="0" fontId="45" fillId="2" borderId="0" xfId="60" applyFont="1" applyFill="1"/>
    <xf numFmtId="0" fontId="46" fillId="2" borderId="0" xfId="60" applyFont="1" applyFill="1"/>
    <xf numFmtId="0" fontId="42" fillId="2" borderId="0" xfId="60" applyFont="1" applyFill="1" applyAlignment="1"/>
    <xf numFmtId="0" fontId="39" fillId="2" borderId="7" xfId="60" applyFont="1" applyFill="1" applyBorder="1" applyAlignment="1">
      <alignment horizontal="center" vertical="center"/>
    </xf>
    <xf numFmtId="0" fontId="39" fillId="2" borderId="7" xfId="60" applyFont="1" applyFill="1" applyBorder="1" applyAlignment="1">
      <alignment vertical="center"/>
    </xf>
    <xf numFmtId="0" fontId="39" fillId="2" borderId="2" xfId="60" applyFont="1" applyFill="1" applyBorder="1" applyAlignment="1">
      <alignment vertical="center"/>
    </xf>
    <xf numFmtId="0" fontId="39" fillId="2" borderId="4" xfId="60" applyFont="1" applyFill="1" applyBorder="1" applyAlignment="1">
      <alignment vertical="center"/>
    </xf>
    <xf numFmtId="0" fontId="39" fillId="2" borderId="3" xfId="60" applyFont="1" applyFill="1" applyBorder="1" applyAlignment="1">
      <alignment vertical="center"/>
    </xf>
    <xf numFmtId="0" fontId="42" fillId="2" borderId="0" xfId="60" applyFont="1" applyFill="1"/>
    <xf numFmtId="0" fontId="39" fillId="2" borderId="60" xfId="60" applyFont="1" applyFill="1" applyBorder="1" applyAlignment="1">
      <alignment horizontal="center" vertical="center" wrapText="1"/>
    </xf>
    <xf numFmtId="0" fontId="39" fillId="2" borderId="60" xfId="60" applyFont="1" applyFill="1" applyBorder="1" applyAlignment="1">
      <alignment vertical="center" wrapText="1"/>
    </xf>
    <xf numFmtId="0" fontId="37" fillId="2" borderId="1" xfId="60" applyFont="1" applyFill="1" applyBorder="1"/>
    <xf numFmtId="0" fontId="47" fillId="2" borderId="0" xfId="60" applyFont="1" applyFill="1" applyAlignment="1">
      <alignment vertical="center"/>
    </xf>
    <xf numFmtId="0" fontId="47" fillId="2" borderId="1" xfId="60" applyFont="1" applyFill="1" applyBorder="1" applyAlignment="1">
      <alignment horizontal="left" vertical="center" wrapText="1"/>
    </xf>
    <xf numFmtId="177" fontId="47" fillId="2" borderId="1" xfId="60" applyNumberFormat="1" applyFont="1" applyFill="1" applyBorder="1" applyAlignment="1">
      <alignment horizontal="center" vertical="center" wrapText="1"/>
    </xf>
    <xf numFmtId="0" fontId="47" fillId="2" borderId="1" xfId="60" applyFont="1" applyFill="1" applyBorder="1" applyAlignment="1">
      <alignment horizontal="center" vertical="center" wrapText="1"/>
    </xf>
    <xf numFmtId="14" fontId="37" fillId="2" borderId="1" xfId="60" applyNumberFormat="1" applyFont="1" applyFill="1" applyBorder="1" applyAlignment="1">
      <alignment horizontal="center" wrapText="1"/>
    </xf>
    <xf numFmtId="0" fontId="37" fillId="2" borderId="1" xfId="60" applyFont="1" applyFill="1" applyBorder="1" applyAlignment="1">
      <alignment horizontal="center" wrapText="1"/>
    </xf>
    <xf numFmtId="14" fontId="48" fillId="2" borderId="1" xfId="60" applyNumberFormat="1" applyFont="1" applyFill="1" applyBorder="1" applyAlignment="1">
      <alignment horizontal="center" wrapText="1"/>
    </xf>
    <xf numFmtId="0" fontId="48" fillId="2" borderId="1" xfId="60" applyFont="1" applyFill="1" applyBorder="1" applyAlignment="1">
      <alignment horizontal="center" wrapText="1"/>
    </xf>
    <xf numFmtId="0" fontId="49" fillId="2" borderId="0" xfId="60" applyFont="1" applyFill="1" applyAlignment="1">
      <alignment vertical="center"/>
    </xf>
    <xf numFmtId="0" fontId="49" fillId="2" borderId="1" xfId="60" applyFont="1" applyFill="1" applyBorder="1" applyAlignment="1">
      <alignment horizontal="left" vertical="center" wrapText="1"/>
    </xf>
    <xf numFmtId="14" fontId="42" fillId="2" borderId="1" xfId="60" applyNumberFormat="1" applyFont="1" applyFill="1" applyBorder="1" applyAlignment="1">
      <alignment horizontal="center" wrapText="1"/>
    </xf>
    <xf numFmtId="0" fontId="42" fillId="2" borderId="1" xfId="60" applyFont="1" applyFill="1" applyBorder="1" applyAlignment="1">
      <alignment horizontal="center" wrapText="1"/>
    </xf>
    <xf numFmtId="181" fontId="39" fillId="2" borderId="72" xfId="60" applyNumberFormat="1" applyFont="1" applyFill="1" applyBorder="1" applyAlignment="1">
      <alignment horizontal="center"/>
    </xf>
    <xf numFmtId="0" fontId="39" fillId="2" borderId="1" xfId="60" applyFont="1" applyFill="1" applyBorder="1" applyAlignment="1">
      <alignment horizontal="center" vertical="center" wrapText="1"/>
    </xf>
    <xf numFmtId="14" fontId="47" fillId="2" borderId="1" xfId="60" applyNumberFormat="1" applyFont="1" applyFill="1" applyBorder="1" applyAlignment="1">
      <alignment horizontal="center" vertical="center" wrapText="1"/>
    </xf>
    <xf numFmtId="179" fontId="50" fillId="2" borderId="1" xfId="60" applyNumberFormat="1" applyFont="1" applyFill="1" applyBorder="1" applyAlignment="1">
      <alignment horizontal="center"/>
    </xf>
    <xf numFmtId="0" fontId="38" fillId="0" borderId="72" xfId="60" applyFont="1" applyBorder="1"/>
    <xf numFmtId="0" fontId="43" fillId="0" borderId="0" xfId="60" applyFont="1"/>
    <xf numFmtId="0" fontId="45" fillId="0" borderId="0" xfId="60" applyFont="1"/>
    <xf numFmtId="0" fontId="42" fillId="0" borderId="0" xfId="60" applyFont="1" applyAlignment="1"/>
    <xf numFmtId="0" fontId="42" fillId="0" borderId="0" xfId="60" applyFont="1"/>
    <xf numFmtId="0" fontId="47" fillId="7" borderId="0" xfId="60" applyFont="1" applyFill="1" applyAlignment="1">
      <alignment vertical="center"/>
    </xf>
    <xf numFmtId="0" fontId="36" fillId="0" borderId="72" xfId="0" applyFont="1" applyBorder="1" applyAlignment="1"/>
    <xf numFmtId="0" fontId="43" fillId="0" borderId="0" xfId="0" applyFont="1" applyAlignment="1"/>
    <xf numFmtId="0" fontId="51" fillId="0" borderId="0" xfId="0" applyFont="1" applyAlignment="1"/>
    <xf numFmtId="0" fontId="37" fillId="2" borderId="0" xfId="60" applyFont="1" applyFill="1" applyBorder="1" applyAlignment="1">
      <alignment horizontal="center" wrapText="1"/>
    </xf>
    <xf numFmtId="14" fontId="37" fillId="2" borderId="0" xfId="60" applyNumberFormat="1" applyFont="1" applyFill="1" applyBorder="1" applyAlignment="1">
      <alignment horizontal="center" wrapText="1"/>
    </xf>
    <xf numFmtId="0" fontId="0" fillId="2" borderId="0" xfId="0" applyFill="1" applyAlignment="1" applyProtection="1">
      <alignment horizontal="center" vertical="center"/>
    </xf>
    <xf numFmtId="0" fontId="0" fillId="2" borderId="0" xfId="0" applyFill="1" applyProtection="1">
      <alignment vertical="center"/>
    </xf>
    <xf numFmtId="0" fontId="52" fillId="2" borderId="0" xfId="0" applyFont="1" applyFill="1" applyAlignment="1" applyProtection="1">
      <alignment horizontal="center" vertical="center"/>
    </xf>
    <xf numFmtId="0" fontId="53" fillId="2" borderId="73" xfId="0" applyFont="1" applyFill="1" applyBorder="1" applyAlignment="1" applyProtection="1">
      <alignment horizontal="center" vertical="center"/>
    </xf>
    <xf numFmtId="0" fontId="53" fillId="2" borderId="29" xfId="0" applyFont="1" applyFill="1" applyBorder="1" applyAlignment="1" applyProtection="1">
      <alignment vertical="center" wrapText="1"/>
    </xf>
    <xf numFmtId="0" fontId="53" fillId="2" borderId="7" xfId="0" applyFont="1" applyFill="1" applyBorder="1" applyAlignment="1" applyProtection="1">
      <alignment horizontal="center" vertical="center"/>
    </xf>
    <xf numFmtId="0" fontId="54" fillId="2" borderId="29" xfId="0" applyFont="1" applyFill="1" applyBorder="1" applyAlignment="1" applyProtection="1">
      <alignment vertical="center" wrapText="1"/>
    </xf>
    <xf numFmtId="0" fontId="54" fillId="2" borderId="56" xfId="0" applyFont="1" applyFill="1" applyBorder="1" applyAlignment="1" applyProtection="1">
      <alignment horizontal="center" vertical="center" wrapText="1"/>
    </xf>
    <xf numFmtId="10" fontId="6" fillId="0" borderId="56" xfId="0" applyNumberFormat="1" applyFont="1" applyBorder="1" applyAlignment="1">
      <alignment horizontal="center" vertical="center" wrapText="1"/>
    </xf>
    <xf numFmtId="10" fontId="6" fillId="0" borderId="12" xfId="0" applyNumberFormat="1" applyFont="1" applyBorder="1" applyAlignment="1">
      <alignment horizontal="center" vertical="center" wrapText="1"/>
    </xf>
    <xf numFmtId="0" fontId="54" fillId="2"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17" xfId="0" applyNumberFormat="1" applyFont="1" applyBorder="1" applyAlignment="1">
      <alignment horizontal="center" vertical="center" wrapText="1"/>
    </xf>
    <xf numFmtId="0" fontId="54" fillId="2" borderId="60" xfId="0" applyFont="1" applyFill="1" applyBorder="1" applyAlignment="1" applyProtection="1">
      <alignment horizontal="center" vertical="center" wrapText="1"/>
    </xf>
    <xf numFmtId="0" fontId="54" fillId="2" borderId="25" xfId="0" applyFont="1" applyFill="1" applyBorder="1" applyAlignment="1" applyProtection="1">
      <alignment vertical="center" wrapText="1"/>
    </xf>
    <xf numFmtId="0" fontId="54" fillId="2" borderId="62" xfId="0" applyFont="1" applyFill="1" applyBorder="1" applyAlignment="1" applyProtection="1">
      <alignment horizontal="center" vertical="center" wrapText="1"/>
    </xf>
    <xf numFmtId="10" fontId="6" fillId="0" borderId="8" xfId="0" applyNumberFormat="1" applyFont="1" applyBorder="1" applyAlignment="1">
      <alignment horizontal="center" vertical="center" wrapText="1"/>
    </xf>
    <xf numFmtId="10" fontId="0" fillId="0" borderId="19" xfId="0" applyNumberFormat="1" applyBorder="1">
      <alignment vertical="center"/>
    </xf>
    <xf numFmtId="10" fontId="0" fillId="0" borderId="55" xfId="0" applyNumberFormat="1" applyBorder="1">
      <alignment vertical="center"/>
    </xf>
    <xf numFmtId="10" fontId="0" fillId="0" borderId="41" xfId="0" applyNumberFormat="1" applyBorder="1">
      <alignment vertical="center"/>
    </xf>
    <xf numFmtId="10" fontId="0" fillId="0" borderId="0" xfId="0" applyNumberFormat="1" applyBorder="1">
      <alignment vertical="center"/>
    </xf>
    <xf numFmtId="0" fontId="54" fillId="2" borderId="8" xfId="0" applyFont="1" applyFill="1" applyBorder="1" applyAlignment="1" applyProtection="1">
      <alignment horizontal="center" vertical="center" wrapText="1"/>
    </xf>
    <xf numFmtId="10" fontId="6" fillId="0" borderId="38" xfId="0" applyNumberFormat="1" applyFont="1" applyBorder="1" applyAlignment="1">
      <alignment horizontal="center" vertical="center" wrapText="1"/>
    </xf>
    <xf numFmtId="0" fontId="54" fillId="2" borderId="7" xfId="0" applyFont="1" applyFill="1" applyBorder="1" applyAlignment="1" applyProtection="1">
      <alignment horizontal="center" vertical="center" wrapText="1"/>
    </xf>
    <xf numFmtId="10" fontId="6" fillId="0" borderId="7" xfId="0" applyNumberFormat="1" applyFont="1" applyBorder="1" applyAlignment="1">
      <alignment horizontal="center" vertical="center" wrapText="1"/>
    </xf>
    <xf numFmtId="0" fontId="54" fillId="2" borderId="74" xfId="0" applyFont="1" applyFill="1" applyBorder="1" applyAlignment="1" applyProtection="1">
      <alignment horizontal="center" vertical="center" wrapText="1"/>
    </xf>
    <xf numFmtId="10" fontId="0" fillId="0" borderId="24" xfId="0" applyNumberFormat="1" applyBorder="1">
      <alignment vertical="center"/>
    </xf>
    <xf numFmtId="10" fontId="6" fillId="0" borderId="26" xfId="0" applyNumberFormat="1" applyFont="1" applyBorder="1" applyAlignment="1">
      <alignment horizontal="center" vertical="center" wrapText="1"/>
    </xf>
    <xf numFmtId="0" fontId="54" fillId="2" borderId="31" xfId="0" applyFont="1" applyFill="1" applyBorder="1" applyAlignment="1" applyProtection="1">
      <alignment vertical="center" wrapText="1"/>
    </xf>
    <xf numFmtId="10" fontId="6" fillId="0" borderId="42" xfId="0" applyNumberFormat="1" applyFont="1" applyBorder="1" applyAlignment="1">
      <alignment horizontal="center" vertical="center" wrapText="1"/>
    </xf>
    <xf numFmtId="10" fontId="0" fillId="0" borderId="75" xfId="0" applyNumberFormat="1" applyBorder="1">
      <alignment vertical="center"/>
    </xf>
    <xf numFmtId="0" fontId="40" fillId="2" borderId="0" xfId="0" applyFont="1" applyFill="1" applyProtection="1">
      <alignment vertical="center"/>
    </xf>
    <xf numFmtId="0" fontId="0" fillId="2" borderId="15" xfId="0" applyFill="1" applyBorder="1" applyProtection="1">
      <alignment vertical="center"/>
    </xf>
    <xf numFmtId="0" fontId="0" fillId="2" borderId="29" xfId="0" applyFill="1" applyBorder="1" applyAlignment="1" applyProtection="1">
      <alignment horizontal="center" vertical="center"/>
    </xf>
    <xf numFmtId="0" fontId="55" fillId="2" borderId="0" xfId="0" applyFont="1" applyFill="1" applyBorder="1" applyAlignment="1" applyProtection="1">
      <alignment horizontal="left" vertical="center"/>
    </xf>
    <xf numFmtId="0" fontId="54" fillId="2" borderId="16" xfId="0" applyFont="1" applyFill="1" applyBorder="1" applyAlignment="1" applyProtection="1">
      <alignment horizontal="center" vertical="center" wrapText="1"/>
    </xf>
    <xf numFmtId="0" fontId="53" fillId="2" borderId="11" xfId="0" applyFont="1" applyFill="1" applyBorder="1" applyAlignment="1" applyProtection="1">
      <alignment horizontal="center" vertical="center" wrapText="1"/>
    </xf>
    <xf numFmtId="0" fontId="40" fillId="2" borderId="10" xfId="0" applyFont="1" applyFill="1" applyBorder="1" applyProtection="1">
      <alignment vertical="center"/>
    </xf>
    <xf numFmtId="0" fontId="53" fillId="2" borderId="14" xfId="0" applyFont="1" applyFill="1" applyBorder="1" applyAlignment="1" applyProtection="1">
      <alignment horizontal="center" vertical="center"/>
    </xf>
    <xf numFmtId="0" fontId="40" fillId="2" borderId="15" xfId="0" applyFont="1" applyFill="1" applyBorder="1" applyProtection="1">
      <alignment vertical="center"/>
    </xf>
    <xf numFmtId="0" fontId="53" fillId="2" borderId="48" xfId="0" applyFont="1" applyFill="1" applyBorder="1" applyAlignment="1" applyProtection="1">
      <alignment horizontal="center" vertical="center" wrapText="1"/>
    </xf>
    <xf numFmtId="0" fontId="53" fillId="2" borderId="8" xfId="0" applyFont="1" applyFill="1" applyBorder="1" applyAlignment="1" applyProtection="1">
      <alignment horizontal="center" vertical="center"/>
    </xf>
    <xf numFmtId="0" fontId="53" fillId="2" borderId="36"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wrapText="1"/>
    </xf>
    <xf numFmtId="0" fontId="55" fillId="2" borderId="36" xfId="0" applyFont="1" applyFill="1" applyBorder="1" applyProtection="1">
      <alignment vertical="center"/>
    </xf>
    <xf numFmtId="0" fontId="54" fillId="2" borderId="2" xfId="0" applyFont="1" applyFill="1" applyBorder="1" applyAlignment="1" applyProtection="1">
      <alignment horizontal="center" vertical="center" wrapText="1"/>
    </xf>
    <xf numFmtId="0" fontId="55" fillId="2" borderId="2" xfId="0" applyFont="1" applyFill="1" applyBorder="1" applyProtection="1">
      <alignment vertical="center"/>
    </xf>
    <xf numFmtId="0" fontId="54" fillId="2" borderId="36" xfId="0" applyFont="1" applyFill="1" applyBorder="1" applyAlignment="1" applyProtection="1">
      <alignment horizontal="center" vertical="center" wrapText="1"/>
    </xf>
    <xf numFmtId="0" fontId="0" fillId="2" borderId="2" xfId="0" applyFill="1" applyBorder="1" applyProtection="1">
      <alignment vertical="center"/>
    </xf>
    <xf numFmtId="0" fontId="0" fillId="2" borderId="63" xfId="0" applyFill="1" applyBorder="1" applyAlignment="1" applyProtection="1">
      <alignment horizontal="center" vertical="center"/>
    </xf>
    <xf numFmtId="0" fontId="0" fillId="2" borderId="39" xfId="0" applyFill="1" applyBorder="1" applyAlignment="1" applyProtection="1">
      <alignment horizontal="center" vertical="center"/>
    </xf>
    <xf numFmtId="0" fontId="0" fillId="2" borderId="1" xfId="0" applyFill="1" applyBorder="1" applyProtection="1">
      <alignment vertical="center"/>
    </xf>
    <xf numFmtId="0" fontId="0" fillId="2" borderId="14" xfId="0" applyFill="1" applyBorder="1" applyProtection="1">
      <alignment vertical="center"/>
    </xf>
    <xf numFmtId="0" fontId="29" fillId="4" borderId="0" xfId="0" applyFont="1" applyFill="1" applyAlignment="1" applyProtection="1">
      <alignment vertical="center"/>
      <protection locked="0"/>
    </xf>
    <xf numFmtId="0" fontId="17" fillId="4" borderId="0" xfId="0" applyFont="1" applyFill="1" applyAlignment="1" applyProtection="1">
      <alignment vertical="center"/>
      <protection locked="0"/>
    </xf>
    <xf numFmtId="0" fontId="25" fillId="4"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6" fillId="0" borderId="0" xfId="0" applyFont="1" applyFill="1" applyAlignment="1" applyProtection="1">
      <alignment vertical="center"/>
      <protection locked="0"/>
    </xf>
    <xf numFmtId="0" fontId="26" fillId="4" borderId="0" xfId="0" applyFont="1" applyFill="1" applyAlignment="1" applyProtection="1">
      <alignment horizontal="left" vertical="center"/>
      <protection locked="0"/>
    </xf>
    <xf numFmtId="0" fontId="26" fillId="4" borderId="0" xfId="0" applyFont="1" applyFill="1" applyAlignment="1" applyProtection="1">
      <alignment vertical="center"/>
      <protection locked="0"/>
    </xf>
    <xf numFmtId="0" fontId="26" fillId="4" borderId="0" xfId="0" applyFont="1" applyFill="1" applyAlignment="1" applyProtection="1">
      <alignment horizontal="center" vertical="center"/>
      <protection locked="0"/>
    </xf>
    <xf numFmtId="0" fontId="14" fillId="2" borderId="30" xfId="59" applyFont="1" applyFill="1" applyBorder="1" applyAlignment="1" applyProtection="1">
      <alignment vertical="center"/>
    </xf>
    <xf numFmtId="0" fontId="17" fillId="2" borderId="51" xfId="59" applyFont="1" applyFill="1" applyBorder="1" applyAlignment="1" applyProtection="1">
      <alignment vertical="center"/>
    </xf>
    <xf numFmtId="0" fontId="17" fillId="2" borderId="10" xfId="59" applyFont="1" applyFill="1" applyBorder="1" applyAlignment="1" applyProtection="1">
      <alignment vertical="center"/>
    </xf>
    <xf numFmtId="0" fontId="17" fillId="2" borderId="0" xfId="59" applyFont="1" applyFill="1" applyBorder="1" applyAlignment="1" applyProtection="1">
      <alignment vertical="center"/>
    </xf>
    <xf numFmtId="181" fontId="17" fillId="2" borderId="1" xfId="59" applyNumberFormat="1" applyFont="1" applyFill="1" applyBorder="1" applyAlignment="1" applyProtection="1">
      <alignment horizontal="right" vertical="center"/>
    </xf>
    <xf numFmtId="0" fontId="56" fillId="2" borderId="0" xfId="59" applyFont="1" applyFill="1" applyBorder="1" applyAlignment="1" applyProtection="1">
      <alignment vertical="center"/>
    </xf>
    <xf numFmtId="0" fontId="17" fillId="2" borderId="7" xfId="59" applyFont="1" applyFill="1" applyBorder="1" applyAlignment="1" applyProtection="1">
      <alignment horizontal="right" vertical="center"/>
    </xf>
    <xf numFmtId="49" fontId="17" fillId="2" borderId="30" xfId="59" applyNumberFormat="1" applyFont="1" applyFill="1" applyBorder="1" applyAlignment="1" applyProtection="1"/>
    <xf numFmtId="49" fontId="17" fillId="2" borderId="51" xfId="59" applyNumberFormat="1" applyFont="1" applyFill="1" applyBorder="1" applyAlignment="1" applyProtection="1"/>
    <xf numFmtId="49" fontId="17" fillId="2" borderId="52" xfId="59" applyNumberFormat="1" applyFont="1" applyFill="1" applyBorder="1" applyAlignment="1" applyProtection="1"/>
    <xf numFmtId="49" fontId="25" fillId="2" borderId="16" xfId="59" applyNumberFormat="1" applyFont="1" applyFill="1" applyBorder="1" applyAlignment="1" applyProtection="1">
      <alignment horizontal="left"/>
    </xf>
    <xf numFmtId="0" fontId="25" fillId="2" borderId="2" xfId="59" applyFont="1" applyFill="1" applyBorder="1" applyAlignment="1" applyProtection="1"/>
    <xf numFmtId="181" fontId="25" fillId="2" borderId="1" xfId="59" applyNumberFormat="1" applyFont="1" applyFill="1" applyBorder="1" applyAlignment="1" applyProtection="1">
      <alignment horizontal="center"/>
    </xf>
    <xf numFmtId="0" fontId="25" fillId="2" borderId="1" xfId="59" applyFont="1" applyFill="1" applyBorder="1" applyAlignment="1" applyProtection="1">
      <alignment horizontal="center"/>
    </xf>
    <xf numFmtId="0" fontId="25" fillId="2" borderId="17" xfId="59" applyFont="1" applyFill="1" applyBorder="1" applyAlignment="1" applyProtection="1">
      <alignment horizontal="left"/>
    </xf>
    <xf numFmtId="49" fontId="26" fillId="2" borderId="16" xfId="59" applyNumberFormat="1" applyFont="1" applyFill="1" applyBorder="1" applyAlignment="1" applyProtection="1">
      <alignment horizontal="center"/>
    </xf>
    <xf numFmtId="0" fontId="26" fillId="2" borderId="2" xfId="59" applyFont="1" applyFill="1" applyBorder="1" applyAlignment="1" applyProtection="1"/>
    <xf numFmtId="181" fontId="26" fillId="0" borderId="1" xfId="59" applyNumberFormat="1" applyFont="1" applyFill="1" applyBorder="1" applyAlignment="1" applyProtection="1">
      <alignment horizontal="center"/>
      <protection locked="0"/>
    </xf>
    <xf numFmtId="0" fontId="26" fillId="2" borderId="17" xfId="59" applyFont="1" applyFill="1" applyBorder="1" applyAlignment="1" applyProtection="1">
      <alignment horizontal="left"/>
    </xf>
    <xf numFmtId="181" fontId="26" fillId="2" borderId="1" xfId="59" applyNumberFormat="1" applyFont="1" applyFill="1" applyBorder="1" applyAlignment="1" applyProtection="1">
      <alignment horizontal="center"/>
    </xf>
    <xf numFmtId="10" fontId="26" fillId="2" borderId="1" xfId="59" applyNumberFormat="1" applyFont="1" applyFill="1" applyBorder="1" applyAlignment="1" applyProtection="1">
      <alignment horizontal="center"/>
    </xf>
    <xf numFmtId="181" fontId="26" fillId="2" borderId="1" xfId="59" applyNumberFormat="1" applyFont="1" applyFill="1" applyBorder="1" applyAlignment="1" applyProtection="1"/>
    <xf numFmtId="0" fontId="57" fillId="7" borderId="17" xfId="59" applyFont="1" applyFill="1" applyBorder="1" applyAlignment="1" applyProtection="1">
      <alignment horizontal="left" vertical="center"/>
      <protection locked="0"/>
    </xf>
    <xf numFmtId="0" fontId="58" fillId="2" borderId="16" xfId="59" applyFont="1" applyFill="1" applyBorder="1" applyAlignment="1" applyProtection="1">
      <alignment horizontal="right"/>
    </xf>
    <xf numFmtId="0" fontId="58" fillId="2" borderId="2" xfId="59" applyFont="1" applyFill="1" applyBorder="1" applyAlignment="1" applyProtection="1"/>
    <xf numFmtId="181" fontId="58" fillId="2" borderId="1" xfId="59" applyNumberFormat="1" applyFont="1" applyFill="1" applyBorder="1" applyAlignment="1" applyProtection="1">
      <alignment horizontal="center"/>
    </xf>
    <xf numFmtId="0" fontId="58" fillId="2" borderId="1" xfId="59" applyNumberFormat="1" applyFont="1" applyFill="1" applyBorder="1" applyAlignment="1" applyProtection="1"/>
    <xf numFmtId="0" fontId="26" fillId="2" borderId="17" xfId="59" applyFont="1" applyFill="1" applyBorder="1" applyAlignment="1" applyProtection="1">
      <alignment vertical="center" wrapText="1"/>
    </xf>
    <xf numFmtId="0" fontId="26" fillId="2" borderId="16" xfId="59" applyFont="1" applyFill="1" applyBorder="1" applyAlignment="1" applyProtection="1">
      <alignment horizontal="left"/>
    </xf>
    <xf numFmtId="0" fontId="26" fillId="2" borderId="1" xfId="59" applyNumberFormat="1" applyFont="1" applyFill="1" applyBorder="1" applyAlignment="1" applyProtection="1">
      <alignment horizontal="center"/>
    </xf>
    <xf numFmtId="0" fontId="26" fillId="2" borderId="0" xfId="59" applyFont="1" applyFill="1" applyBorder="1" applyAlignment="1" applyProtection="1">
      <alignment horizontal="center"/>
    </xf>
    <xf numFmtId="0" fontId="26" fillId="2" borderId="1" xfId="0" applyFont="1" applyFill="1" applyBorder="1" applyProtection="1">
      <alignment vertical="center"/>
    </xf>
    <xf numFmtId="0" fontId="26" fillId="2" borderId="1" xfId="0" applyNumberFormat="1" applyFont="1" applyFill="1" applyBorder="1" applyProtection="1">
      <alignment vertical="center"/>
    </xf>
    <xf numFmtId="49" fontId="41" fillId="2" borderId="16" xfId="59" applyNumberFormat="1" applyFont="1" applyFill="1" applyBorder="1" applyAlignment="1" applyProtection="1">
      <alignment horizontal="left"/>
    </xf>
    <xf numFmtId="0" fontId="25" fillId="2" borderId="1" xfId="59" applyNumberFormat="1" applyFont="1" applyFill="1" applyBorder="1" applyAlignment="1" applyProtection="1">
      <alignment horizontal="center"/>
    </xf>
    <xf numFmtId="9" fontId="25" fillId="2" borderId="2" xfId="59" applyNumberFormat="1" applyFont="1" applyFill="1" applyBorder="1" applyAlignment="1" applyProtection="1">
      <alignment horizontal="center"/>
    </xf>
    <xf numFmtId="0" fontId="25" fillId="2" borderId="1" xfId="0" applyFont="1" applyFill="1" applyBorder="1" applyAlignment="1" applyProtection="1">
      <alignment horizontal="center" vertical="center"/>
    </xf>
    <xf numFmtId="10" fontId="25" fillId="2" borderId="2" xfId="59" applyNumberFormat="1" applyFont="1" applyFill="1" applyBorder="1" applyAlignment="1" applyProtection="1">
      <alignment horizontal="center"/>
    </xf>
    <xf numFmtId="0" fontId="57" fillId="2" borderId="17" xfId="0" applyFont="1" applyFill="1" applyBorder="1" applyAlignment="1" applyProtection="1">
      <alignment vertical="center"/>
    </xf>
    <xf numFmtId="0" fontId="25" fillId="2" borderId="1" xfId="0" applyFont="1" applyFill="1" applyBorder="1" applyAlignment="1" applyProtection="1">
      <alignment horizontal="right" vertical="center"/>
    </xf>
    <xf numFmtId="0" fontId="25" fillId="2" borderId="1" xfId="0" applyFont="1" applyFill="1" applyBorder="1" applyAlignment="1" applyProtection="1">
      <alignment horizontal="left" vertical="center"/>
    </xf>
    <xf numFmtId="0" fontId="25" fillId="2" borderId="17" xfId="0" applyFont="1" applyFill="1" applyBorder="1" applyAlignment="1" applyProtection="1">
      <alignment vertical="center"/>
    </xf>
    <xf numFmtId="186" fontId="25" fillId="2" borderId="1" xfId="0" applyNumberFormat="1" applyFont="1" applyFill="1" applyBorder="1" applyAlignment="1" applyProtection="1">
      <alignment horizontal="center" vertical="center"/>
    </xf>
    <xf numFmtId="10" fontId="25" fillId="2" borderId="2" xfId="59" applyNumberFormat="1" applyFont="1" applyFill="1" applyBorder="1" applyAlignment="1" applyProtection="1">
      <alignment horizontal="center" vertical="center"/>
    </xf>
    <xf numFmtId="0" fontId="26" fillId="2" borderId="16" xfId="0" applyFont="1" applyFill="1" applyBorder="1" applyAlignment="1" applyProtection="1">
      <alignment horizontal="center" vertical="center"/>
    </xf>
    <xf numFmtId="186" fontId="26" fillId="2" borderId="1" xfId="0" applyNumberFormat="1" applyFont="1" applyFill="1" applyBorder="1" applyAlignment="1" applyProtection="1">
      <alignment horizontal="center" vertical="center"/>
    </xf>
    <xf numFmtId="0" fontId="26" fillId="2" borderId="1" xfId="0" applyFont="1" applyFill="1" applyBorder="1" applyAlignment="1" applyProtection="1">
      <alignment horizontal="center" vertical="center"/>
    </xf>
    <xf numFmtId="179" fontId="26" fillId="2" borderId="2" xfId="59" applyNumberFormat="1" applyFont="1" applyFill="1" applyBorder="1" applyAlignment="1" applyProtection="1">
      <alignment horizontal="center" vertical="center"/>
    </xf>
    <xf numFmtId="0" fontId="26" fillId="2" borderId="17" xfId="0" applyFont="1" applyFill="1" applyBorder="1" applyAlignment="1" applyProtection="1">
      <alignment vertical="center"/>
    </xf>
    <xf numFmtId="0" fontId="25" fillId="2" borderId="1" xfId="0" applyFont="1" applyFill="1" applyBorder="1" applyAlignment="1" applyProtection="1">
      <alignment vertical="center"/>
    </xf>
    <xf numFmtId="0" fontId="26" fillId="2" borderId="21" xfId="0" applyFont="1" applyFill="1" applyBorder="1" applyAlignment="1" applyProtection="1">
      <alignment vertical="center" wrapText="1"/>
    </xf>
    <xf numFmtId="0" fontId="26" fillId="2" borderId="42" xfId="0" applyFont="1" applyFill="1" applyBorder="1" applyAlignment="1" applyProtection="1">
      <alignment vertical="center"/>
    </xf>
    <xf numFmtId="0" fontId="25" fillId="2" borderId="2" xfId="59" applyFont="1" applyFill="1" applyBorder="1" applyAlignment="1" applyProtection="1">
      <alignment vertical="center"/>
    </xf>
    <xf numFmtId="181" fontId="25" fillId="2" borderId="1" xfId="59" applyNumberFormat="1" applyFont="1" applyFill="1" applyBorder="1" applyAlignment="1" applyProtection="1">
      <alignment horizontal="center" vertical="center"/>
    </xf>
    <xf numFmtId="9" fontId="25" fillId="2" borderId="2" xfId="59" applyNumberFormat="1" applyFont="1" applyFill="1" applyBorder="1" applyAlignment="1" applyProtection="1">
      <alignment horizontal="center" vertical="center"/>
    </xf>
    <xf numFmtId="0" fontId="25" fillId="2" borderId="17" xfId="0" applyFont="1" applyFill="1" applyBorder="1" applyAlignment="1" applyProtection="1">
      <alignment vertical="center" wrapText="1"/>
    </xf>
    <xf numFmtId="0" fontId="26" fillId="2" borderId="2" xfId="59" applyFont="1" applyFill="1" applyBorder="1" applyAlignment="1" applyProtection="1">
      <alignment horizontal="left"/>
    </xf>
    <xf numFmtId="181" fontId="26" fillId="2" borderId="1" xfId="59" applyNumberFormat="1" applyFont="1" applyFill="1" applyBorder="1" applyAlignment="1" applyProtection="1">
      <alignment horizontal="center" vertical="center"/>
    </xf>
    <xf numFmtId="0" fontId="25" fillId="2" borderId="16" xfId="59" applyFont="1" applyFill="1" applyBorder="1" applyAlignment="1" applyProtection="1">
      <alignment horizontal="left"/>
    </xf>
    <xf numFmtId="179" fontId="25" fillId="2" borderId="1" xfId="59" applyNumberFormat="1" applyFont="1" applyFill="1" applyBorder="1" applyAlignment="1" applyProtection="1">
      <alignment horizontal="center"/>
    </xf>
    <xf numFmtId="9" fontId="25" fillId="2" borderId="1" xfId="59" applyNumberFormat="1" applyFont="1" applyFill="1" applyBorder="1" applyAlignment="1" applyProtection="1">
      <alignment horizontal="center"/>
    </xf>
    <xf numFmtId="49" fontId="17" fillId="2" borderId="34" xfId="59" applyNumberFormat="1" applyFont="1" applyFill="1" applyBorder="1" applyAlignment="1" applyProtection="1"/>
    <xf numFmtId="49" fontId="17" fillId="2" borderId="3" xfId="59" applyNumberFormat="1" applyFont="1" applyFill="1" applyBorder="1" applyAlignment="1" applyProtection="1"/>
    <xf numFmtId="49" fontId="17" fillId="2" borderId="59" xfId="59" applyNumberFormat="1" applyFont="1" applyFill="1" applyBorder="1" applyAlignment="1" applyProtection="1"/>
    <xf numFmtId="181" fontId="25" fillId="2" borderId="1" xfId="0" applyNumberFormat="1" applyFont="1" applyFill="1" applyBorder="1" applyAlignment="1" applyProtection="1">
      <alignment horizontal="center" vertical="center"/>
    </xf>
    <xf numFmtId="180" fontId="25" fillId="2" borderId="2" xfId="59" applyNumberFormat="1" applyFont="1" applyFill="1" applyBorder="1" applyAlignment="1" applyProtection="1">
      <alignment horizontal="center"/>
    </xf>
    <xf numFmtId="10" fontId="26" fillId="2" borderId="2" xfId="59" applyNumberFormat="1" applyFont="1" applyFill="1" applyBorder="1" applyAlignment="1" applyProtection="1">
      <alignment horizontal="center"/>
    </xf>
    <xf numFmtId="0" fontId="26" fillId="2" borderId="17" xfId="0" applyFont="1" applyFill="1" applyBorder="1" applyAlignment="1" applyProtection="1">
      <alignment vertical="center" wrapText="1"/>
    </xf>
    <xf numFmtId="0" fontId="26" fillId="2" borderId="17" xfId="59" applyFont="1" applyFill="1" applyBorder="1" applyAlignment="1" applyProtection="1">
      <alignment horizontal="left" vertical="center"/>
    </xf>
    <xf numFmtId="10" fontId="25" fillId="2" borderId="1" xfId="0" applyNumberFormat="1" applyFont="1" applyFill="1" applyBorder="1" applyAlignment="1" applyProtection="1">
      <alignment horizontal="right" vertical="center"/>
    </xf>
    <xf numFmtId="0" fontId="26" fillId="2" borderId="21" xfId="0" applyFont="1" applyFill="1" applyBorder="1" applyAlignment="1" applyProtection="1">
      <alignment horizontal="left" vertical="center"/>
    </xf>
    <xf numFmtId="0" fontId="26" fillId="2" borderId="44" xfId="0" applyFont="1" applyFill="1" applyBorder="1" applyAlignment="1" applyProtection="1">
      <alignment horizontal="left" vertical="center"/>
    </xf>
    <xf numFmtId="0" fontId="26" fillId="2" borderId="42" xfId="0" applyFont="1" applyFill="1" applyBorder="1" applyAlignment="1" applyProtection="1">
      <alignment horizontal="left" vertical="center"/>
    </xf>
    <xf numFmtId="187" fontId="25" fillId="2" borderId="1" xfId="0" applyNumberFormat="1" applyFont="1" applyFill="1" applyBorder="1" applyAlignment="1" applyProtection="1">
      <alignment horizontal="right" vertical="center"/>
    </xf>
    <xf numFmtId="10" fontId="25" fillId="2" borderId="1" xfId="59" applyNumberFormat="1" applyFont="1" applyFill="1" applyBorder="1" applyAlignment="1" applyProtection="1">
      <alignment horizontal="center" vertical="center"/>
    </xf>
    <xf numFmtId="49" fontId="17" fillId="2" borderId="37" xfId="59" applyNumberFormat="1" applyFont="1" applyFill="1" applyBorder="1" applyAlignment="1" applyProtection="1"/>
    <xf numFmtId="49" fontId="17" fillId="2" borderId="54" xfId="59" applyNumberFormat="1" applyFont="1" applyFill="1" applyBorder="1" applyAlignment="1" applyProtection="1"/>
    <xf numFmtId="181" fontId="25" fillId="2" borderId="8" xfId="0" applyNumberFormat="1" applyFont="1" applyFill="1" applyBorder="1" applyAlignment="1" applyProtection="1">
      <alignment horizontal="center" vertical="center"/>
    </xf>
    <xf numFmtId="49" fontId="17" fillId="2" borderId="53" xfId="59" applyNumberFormat="1" applyFont="1" applyFill="1" applyBorder="1" applyAlignment="1" applyProtection="1"/>
    <xf numFmtId="0" fontId="59" fillId="2" borderId="1" xfId="0" applyFont="1" applyFill="1" applyBorder="1" applyAlignment="1" applyProtection="1">
      <alignment horizontal="left"/>
    </xf>
    <xf numFmtId="0" fontId="29" fillId="2" borderId="1" xfId="0" applyFont="1" applyFill="1" applyBorder="1" applyAlignment="1" applyProtection="1">
      <alignment horizontal="center" vertical="center"/>
    </xf>
    <xf numFmtId="0" fontId="60" fillId="2" borderId="1" xfId="0" applyFont="1" applyFill="1" applyBorder="1" applyAlignment="1" applyProtection="1"/>
    <xf numFmtId="180" fontId="26" fillId="2" borderId="1" xfId="0" applyNumberFormat="1" applyFont="1" applyFill="1" applyBorder="1" applyAlignment="1" applyProtection="1">
      <alignment horizontal="center"/>
    </xf>
    <xf numFmtId="180" fontId="60" fillId="2" borderId="1" xfId="0" applyNumberFormat="1" applyFont="1" applyFill="1" applyBorder="1" applyAlignment="1" applyProtection="1">
      <alignment horizontal="center"/>
    </xf>
    <xf numFmtId="0" fontId="26" fillId="0" borderId="0" xfId="0" applyFont="1" applyFill="1" applyAlignment="1" applyProtection="1">
      <alignment horizontal="center" vertical="center"/>
      <protection locked="0"/>
    </xf>
    <xf numFmtId="0" fontId="61" fillId="0" borderId="0" xfId="0" applyFont="1" applyFill="1" applyAlignment="1" applyProtection="1">
      <alignment horizontal="center" vertical="center"/>
      <protection locked="0"/>
    </xf>
    <xf numFmtId="0" fontId="60" fillId="0" borderId="0" xfId="0" applyFont="1" applyFill="1" applyAlignment="1" applyProtection="1">
      <alignment horizontal="center" vertical="center"/>
      <protection locked="0"/>
    </xf>
    <xf numFmtId="0" fontId="60" fillId="0" borderId="0" xfId="0" applyFont="1" applyAlignment="1" applyProtection="1">
      <alignment horizontal="center" vertical="center" wrapText="1"/>
      <protection locked="0"/>
    </xf>
    <xf numFmtId="0" fontId="59" fillId="0" borderId="0" xfId="0" applyFont="1" applyProtection="1">
      <alignment vertical="center"/>
      <protection locked="0"/>
    </xf>
    <xf numFmtId="0" fontId="60" fillId="0" borderId="0" xfId="0" applyFont="1" applyProtection="1">
      <alignment vertical="center"/>
      <protection locked="0"/>
    </xf>
    <xf numFmtId="0" fontId="60" fillId="0" borderId="0" xfId="0" applyFont="1" applyAlignment="1" applyProtection="1">
      <alignment horizontal="center" vertical="center"/>
      <protection locked="0"/>
    </xf>
    <xf numFmtId="0" fontId="60" fillId="0" borderId="0" xfId="0" applyNumberFormat="1" applyFont="1" applyAlignment="1" applyProtection="1">
      <alignment horizontal="center" vertical="center"/>
      <protection locked="0"/>
    </xf>
    <xf numFmtId="0" fontId="60" fillId="11" borderId="0" xfId="0" applyFont="1" applyFill="1" applyProtection="1">
      <alignment vertical="center"/>
      <protection locked="0"/>
    </xf>
    <xf numFmtId="0" fontId="60" fillId="2" borderId="1" xfId="0" applyFont="1" applyFill="1" applyBorder="1" applyProtection="1">
      <alignment vertical="center"/>
    </xf>
    <xf numFmtId="0" fontId="60" fillId="2" borderId="8" xfId="0" applyFont="1" applyFill="1" applyBorder="1" applyAlignment="1" applyProtection="1">
      <alignment horizontal="center" vertical="center"/>
    </xf>
    <xf numFmtId="0" fontId="60" fillId="2" borderId="68" xfId="0" applyFont="1" applyFill="1" applyBorder="1" applyAlignment="1" applyProtection="1">
      <alignment horizontal="center" vertical="center"/>
      <protection locked="0"/>
    </xf>
    <xf numFmtId="0" fontId="60" fillId="2" borderId="19" xfId="0" applyFont="1" applyFill="1" applyBorder="1" applyAlignment="1" applyProtection="1">
      <alignment horizontal="center" vertical="center"/>
      <protection locked="0"/>
    </xf>
    <xf numFmtId="0" fontId="25" fillId="2" borderId="5" xfId="0" applyNumberFormat="1" applyFont="1" applyFill="1" applyBorder="1" applyAlignment="1" applyProtection="1">
      <alignment vertical="center" wrapText="1"/>
      <protection locked="0"/>
    </xf>
    <xf numFmtId="0" fontId="60" fillId="2" borderId="9" xfId="0" applyNumberFormat="1" applyFont="1" applyFill="1" applyBorder="1" applyAlignment="1" applyProtection="1">
      <alignment horizontal="center" vertical="center" wrapText="1"/>
    </xf>
    <xf numFmtId="0" fontId="60" fillId="2" borderId="11" xfId="0" applyNumberFormat="1" applyFont="1" applyFill="1" applyBorder="1" applyAlignment="1" applyProtection="1">
      <alignment horizontal="center" vertical="center" wrapText="1"/>
    </xf>
    <xf numFmtId="0" fontId="60" fillId="2" borderId="56" xfId="0" applyNumberFormat="1" applyFont="1" applyFill="1" applyBorder="1" applyAlignment="1" applyProtection="1">
      <alignment horizontal="center" vertical="center" wrapText="1"/>
    </xf>
    <xf numFmtId="0" fontId="59" fillId="2" borderId="57" xfId="0" applyNumberFormat="1" applyFont="1" applyFill="1" applyBorder="1" applyAlignment="1" applyProtection="1">
      <alignment vertical="center" textRotation="255" wrapText="1"/>
      <protection locked="0"/>
    </xf>
    <xf numFmtId="0" fontId="60" fillId="2" borderId="15" xfId="0" applyNumberFormat="1" applyFont="1" applyFill="1" applyBorder="1" applyAlignment="1" applyProtection="1">
      <alignment horizontal="center" vertical="center"/>
    </xf>
    <xf numFmtId="0" fontId="60" fillId="0" borderId="16" xfId="0" applyNumberFormat="1" applyFont="1" applyFill="1" applyBorder="1" applyAlignment="1" applyProtection="1">
      <alignment horizontal="center" vertical="center" wrapText="1"/>
      <protection locked="0"/>
    </xf>
    <xf numFmtId="0" fontId="60" fillId="0" borderId="1"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center" vertical="center" wrapText="1"/>
      <protection locked="0"/>
    </xf>
    <xf numFmtId="0" fontId="59" fillId="2" borderId="57" xfId="0" applyNumberFormat="1" applyFont="1" applyFill="1" applyBorder="1" applyAlignment="1" applyProtection="1">
      <alignment vertical="center" wrapText="1"/>
      <protection locked="0"/>
    </xf>
    <xf numFmtId="0" fontId="60" fillId="2" borderId="15" xfId="0" applyNumberFormat="1" applyFont="1" applyFill="1" applyBorder="1" applyAlignment="1" applyProtection="1">
      <alignment horizontal="center" vertical="center" wrapText="1"/>
    </xf>
    <xf numFmtId="0" fontId="60" fillId="0" borderId="20" xfId="0" applyNumberFormat="1" applyFont="1" applyFill="1" applyBorder="1" applyAlignment="1" applyProtection="1">
      <alignment horizontal="center" vertical="center" wrapText="1"/>
      <protection locked="0"/>
    </xf>
    <xf numFmtId="0" fontId="26" fillId="0" borderId="7" xfId="0" applyNumberFormat="1" applyFont="1" applyFill="1" applyBorder="1" applyAlignment="1" applyProtection="1">
      <alignment horizontal="center" vertical="center" wrapText="1"/>
      <protection locked="0"/>
    </xf>
    <xf numFmtId="0" fontId="6" fillId="0" borderId="7" xfId="0" applyNumberFormat="1" applyFont="1" applyFill="1" applyBorder="1" applyAlignment="1" applyProtection="1">
      <alignment horizontal="center" vertical="center" wrapText="1"/>
      <protection locked="0"/>
    </xf>
    <xf numFmtId="0" fontId="62" fillId="2" borderId="57" xfId="0" applyNumberFormat="1" applyFont="1" applyFill="1" applyBorder="1" applyAlignment="1" applyProtection="1">
      <alignment vertical="center" wrapText="1"/>
      <protection locked="0"/>
    </xf>
    <xf numFmtId="0" fontId="63" fillId="0" borderId="76" xfId="0" applyNumberFormat="1" applyFont="1" applyFill="1" applyBorder="1" applyAlignment="1" applyProtection="1">
      <alignment horizontal="center" vertical="center" wrapText="1"/>
      <protection locked="0"/>
    </xf>
    <xf numFmtId="0" fontId="60" fillId="0" borderId="77" xfId="0" applyNumberFormat="1" applyFont="1" applyFill="1" applyBorder="1" applyAlignment="1" applyProtection="1">
      <alignment horizontal="center" vertical="center" wrapText="1"/>
      <protection locked="0"/>
    </xf>
    <xf numFmtId="0" fontId="60" fillId="0" borderId="78" xfId="0" applyNumberFormat="1" applyFont="1" applyFill="1" applyBorder="1" applyAlignment="1" applyProtection="1">
      <alignment horizontal="center" vertical="center" wrapText="1"/>
      <protection locked="0"/>
    </xf>
    <xf numFmtId="0" fontId="6" fillId="0" borderId="78" xfId="0" applyNumberFormat="1" applyFont="1" applyFill="1" applyBorder="1" applyAlignment="1" applyProtection="1">
      <alignment horizontal="center" vertical="center" wrapText="1"/>
      <protection locked="0"/>
    </xf>
    <xf numFmtId="0" fontId="60" fillId="2" borderId="79" xfId="0" applyNumberFormat="1" applyFont="1" applyFill="1" applyBorder="1" applyAlignment="1" applyProtection="1">
      <alignment horizontal="center" vertical="center" wrapText="1"/>
    </xf>
    <xf numFmtId="0" fontId="60" fillId="2" borderId="80" xfId="0" applyNumberFormat="1" applyFont="1" applyFill="1" applyBorder="1" applyAlignment="1" applyProtection="1">
      <alignment horizontal="center" vertical="center" wrapText="1"/>
    </xf>
    <xf numFmtId="0" fontId="26" fillId="2" borderId="81" xfId="0" applyNumberFormat="1" applyFont="1" applyFill="1" applyBorder="1" applyAlignment="1" applyProtection="1">
      <alignment horizontal="center" vertical="center" wrapText="1"/>
    </xf>
    <xf numFmtId="0" fontId="6" fillId="2" borderId="81" xfId="0" applyNumberFormat="1" applyFont="1" applyFill="1" applyBorder="1" applyAlignment="1" applyProtection="1">
      <alignment horizontal="center" vertical="center" wrapText="1"/>
    </xf>
    <xf numFmtId="0" fontId="63" fillId="0" borderId="15" xfId="0" applyNumberFormat="1" applyFont="1" applyFill="1" applyBorder="1" applyAlignment="1" applyProtection="1">
      <alignment horizontal="center" vertical="center" wrapText="1"/>
      <protection locked="0"/>
    </xf>
    <xf numFmtId="0" fontId="60" fillId="0" borderId="32" xfId="0" applyNumberFormat="1" applyFont="1" applyFill="1" applyBorder="1" applyAlignment="1" applyProtection="1">
      <alignment horizontal="center" vertical="center" wrapText="1"/>
      <protection locked="0"/>
    </xf>
    <xf numFmtId="0" fontId="60" fillId="0" borderId="60" xfId="0" applyNumberFormat="1" applyFont="1" applyFill="1" applyBorder="1" applyAlignment="1" applyProtection="1">
      <alignment horizontal="center" vertical="center" wrapText="1"/>
      <protection locked="0"/>
    </xf>
    <xf numFmtId="0" fontId="6" fillId="0" borderId="60" xfId="0" applyNumberFormat="1" applyFont="1" applyFill="1" applyBorder="1" applyAlignment="1" applyProtection="1">
      <alignment horizontal="center" vertical="center" wrapText="1"/>
      <protection locked="0"/>
    </xf>
    <xf numFmtId="0" fontId="60" fillId="2" borderId="20" xfId="0" applyNumberFormat="1" applyFont="1" applyFill="1" applyBorder="1" applyAlignment="1" applyProtection="1">
      <alignment horizontal="center" vertical="center" wrapText="1"/>
    </xf>
    <xf numFmtId="0" fontId="26" fillId="2" borderId="7" xfId="0" applyNumberFormat="1" applyFont="1" applyFill="1" applyBorder="1" applyAlignment="1" applyProtection="1">
      <alignment horizontal="center" vertical="center" wrapText="1"/>
    </xf>
    <xf numFmtId="0" fontId="6" fillId="2" borderId="7" xfId="0" applyNumberFormat="1" applyFont="1" applyFill="1" applyBorder="1" applyAlignment="1" applyProtection="1">
      <alignment horizontal="center" vertical="center" wrapText="1"/>
    </xf>
    <xf numFmtId="0" fontId="60" fillId="0" borderId="80" xfId="0" applyNumberFormat="1" applyFont="1" applyFill="1" applyBorder="1" applyAlignment="1" applyProtection="1">
      <alignment horizontal="center" vertical="center" wrapText="1"/>
      <protection locked="0"/>
    </xf>
    <xf numFmtId="0" fontId="26" fillId="0" borderId="81" xfId="0" applyNumberFormat="1" applyFont="1" applyFill="1" applyBorder="1" applyAlignment="1" applyProtection="1">
      <alignment horizontal="center" vertical="center" wrapText="1"/>
      <protection locked="0"/>
    </xf>
    <xf numFmtId="0" fontId="62" fillId="2" borderId="82" xfId="0" applyNumberFormat="1" applyFont="1" applyFill="1" applyBorder="1" applyAlignment="1" applyProtection="1">
      <alignment horizontal="center" vertical="center" wrapText="1"/>
    </xf>
    <xf numFmtId="0" fontId="60" fillId="12" borderId="9" xfId="0" applyNumberFormat="1" applyFont="1" applyFill="1" applyBorder="1" applyAlignment="1" applyProtection="1">
      <alignment horizontal="center" vertical="center" wrapText="1"/>
    </xf>
    <xf numFmtId="0" fontId="60" fillId="12" borderId="11" xfId="0" applyNumberFormat="1" applyFont="1" applyFill="1" applyBorder="1" applyAlignment="1" applyProtection="1">
      <alignment horizontal="center" vertical="center" wrapText="1"/>
      <protection locked="0"/>
    </xf>
    <xf numFmtId="0" fontId="60" fillId="12" borderId="56" xfId="0" applyNumberFormat="1" applyFont="1" applyFill="1" applyBorder="1" applyAlignment="1" applyProtection="1">
      <alignment horizontal="center" vertical="center" wrapText="1"/>
      <protection locked="0"/>
    </xf>
    <xf numFmtId="0" fontId="62" fillId="12" borderId="83" xfId="0" applyNumberFormat="1" applyFont="1" applyFill="1" applyBorder="1" applyAlignment="1" applyProtection="1">
      <alignment vertical="center" wrapText="1"/>
      <protection locked="0"/>
    </xf>
    <xf numFmtId="0" fontId="60" fillId="12" borderId="18" xfId="0" applyNumberFormat="1" applyFont="1" applyFill="1" applyBorder="1" applyAlignment="1" applyProtection="1">
      <alignment horizontal="center" vertical="center" wrapText="1"/>
    </xf>
    <xf numFmtId="0" fontId="60" fillId="12" borderId="48" xfId="0" applyNumberFormat="1" applyFont="1" applyFill="1" applyBorder="1" applyAlignment="1" applyProtection="1">
      <alignment horizontal="center" vertical="center" wrapText="1"/>
      <protection locked="0"/>
    </xf>
    <xf numFmtId="0" fontId="26" fillId="12" borderId="8" xfId="0" applyNumberFormat="1" applyFont="1" applyFill="1" applyBorder="1" applyAlignment="1" applyProtection="1">
      <alignment horizontal="center" vertical="center" wrapText="1"/>
      <protection locked="0"/>
    </xf>
    <xf numFmtId="0" fontId="60" fillId="2" borderId="0" xfId="0" applyFont="1" applyFill="1" applyProtection="1">
      <alignment vertical="center"/>
      <protection locked="0"/>
    </xf>
    <xf numFmtId="0" fontId="60" fillId="2" borderId="0" xfId="0" applyFont="1" applyFill="1" applyAlignment="1" applyProtection="1">
      <alignment horizontal="center" vertical="center"/>
      <protection locked="0"/>
    </xf>
    <xf numFmtId="0" fontId="62" fillId="2" borderId="9" xfId="0" applyFont="1" applyFill="1" applyBorder="1" applyAlignment="1" applyProtection="1">
      <alignment horizontal="left" vertical="center"/>
      <protection locked="0"/>
    </xf>
    <xf numFmtId="0" fontId="60" fillId="2" borderId="10" xfId="0" applyFont="1" applyFill="1" applyBorder="1" applyAlignment="1" applyProtection="1">
      <alignment horizontal="center" vertical="center"/>
      <protection locked="0"/>
    </xf>
    <xf numFmtId="0" fontId="60" fillId="2" borderId="75" xfId="0" applyFont="1" applyFill="1" applyBorder="1" applyAlignment="1" applyProtection="1">
      <alignment horizontal="center" vertical="center"/>
      <protection locked="0"/>
    </xf>
    <xf numFmtId="0" fontId="64" fillId="2" borderId="1" xfId="0" applyFont="1" applyFill="1" applyBorder="1" applyProtection="1">
      <alignment vertical="center"/>
    </xf>
    <xf numFmtId="0" fontId="64" fillId="2" borderId="1" xfId="0" applyFont="1" applyFill="1" applyBorder="1" applyAlignment="1" applyProtection="1">
      <alignment horizontal="center" vertical="center"/>
    </xf>
    <xf numFmtId="0" fontId="25" fillId="7" borderId="37" xfId="59" applyFont="1" applyFill="1" applyBorder="1" applyAlignment="1" applyProtection="1">
      <alignment vertical="center"/>
      <protection locked="0"/>
    </xf>
    <xf numFmtId="0" fontId="60" fillId="7" borderId="49" xfId="0" applyFont="1" applyFill="1" applyBorder="1" applyAlignment="1" applyProtection="1">
      <alignment horizontal="center" vertical="center"/>
      <protection locked="0"/>
    </xf>
    <xf numFmtId="0" fontId="17" fillId="7" borderId="38" xfId="59" applyFont="1" applyFill="1" applyBorder="1" applyAlignment="1" applyProtection="1">
      <alignment vertical="center"/>
      <protection locked="0"/>
    </xf>
    <xf numFmtId="0" fontId="62" fillId="2"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xf>
    <xf numFmtId="0" fontId="60" fillId="2" borderId="2" xfId="0" applyFont="1" applyFill="1" applyBorder="1" applyAlignment="1" applyProtection="1">
      <alignment horizontal="center" vertical="center"/>
    </xf>
    <xf numFmtId="0" fontId="60" fillId="2" borderId="3" xfId="0" applyFont="1" applyFill="1" applyBorder="1" applyAlignment="1" applyProtection="1">
      <alignment horizontal="center" vertical="center"/>
    </xf>
    <xf numFmtId="0" fontId="60" fillId="2" borderId="1" xfId="0" applyFont="1" applyFill="1" applyBorder="1" applyAlignment="1" applyProtection="1">
      <alignment horizontal="center" vertical="center" wrapText="1"/>
    </xf>
    <xf numFmtId="0" fontId="59" fillId="0" borderId="1" xfId="0" applyFont="1" applyFill="1" applyBorder="1" applyAlignment="1" applyProtection="1">
      <alignment horizontal="center" vertical="center"/>
      <protection locked="0"/>
    </xf>
    <xf numFmtId="0" fontId="65" fillId="2" borderId="1" xfId="0" applyFont="1" applyFill="1" applyBorder="1" applyAlignment="1" applyProtection="1">
      <alignment horizontal="center" vertical="center"/>
    </xf>
    <xf numFmtId="0" fontId="65" fillId="3" borderId="1" xfId="0" applyFont="1" applyFill="1" applyBorder="1" applyAlignment="1" applyProtection="1">
      <alignment horizontal="center" vertical="center"/>
      <protection locked="0"/>
    </xf>
    <xf numFmtId="0" fontId="60" fillId="0" borderId="1" xfId="0" applyFont="1" applyBorder="1" applyProtection="1">
      <alignment vertical="center"/>
      <protection locked="0"/>
    </xf>
    <xf numFmtId="0" fontId="60" fillId="0" borderId="1" xfId="0" applyFont="1" applyBorder="1" applyAlignment="1" applyProtection="1">
      <alignment horizontal="center" vertical="center"/>
      <protection locked="0"/>
    </xf>
    <xf numFmtId="0" fontId="59" fillId="3" borderId="1" xfId="0" applyFont="1" applyFill="1" applyBorder="1" applyAlignment="1" applyProtection="1">
      <alignment horizontal="center" vertical="center"/>
      <protection locked="0"/>
    </xf>
    <xf numFmtId="0" fontId="6" fillId="0" borderId="1" xfId="0" applyNumberFormat="1" applyFont="1" applyFill="1" applyBorder="1" applyAlignment="1" applyProtection="1">
      <alignment horizontal="left" vertical="center" wrapText="1"/>
      <protection locked="0"/>
    </xf>
    <xf numFmtId="0" fontId="6" fillId="0" borderId="2" xfId="0" applyNumberFormat="1" applyFont="1" applyFill="1" applyBorder="1" applyAlignment="1" applyProtection="1">
      <alignment horizontal="center" vertical="center" wrapText="1"/>
      <protection locked="0"/>
    </xf>
    <xf numFmtId="0" fontId="6" fillId="0" borderId="5" xfId="0" applyNumberFormat="1" applyFont="1" applyFill="1" applyBorder="1" applyAlignment="1" applyProtection="1">
      <alignment horizontal="center" vertical="center" wrapText="1"/>
      <protection locked="0"/>
    </xf>
    <xf numFmtId="0" fontId="6" fillId="0" borderId="78" xfId="0" applyNumberFormat="1" applyFont="1" applyFill="1" applyBorder="1" applyAlignment="1" applyProtection="1">
      <alignment horizontal="left" vertical="center" wrapText="1"/>
      <protection locked="0"/>
    </xf>
    <xf numFmtId="0" fontId="6" fillId="0" borderId="84" xfId="0" applyNumberFormat="1" applyFont="1" applyFill="1" applyBorder="1" applyAlignment="1" applyProtection="1">
      <alignment horizontal="center" vertical="center" wrapText="1"/>
      <protection locked="0"/>
    </xf>
    <xf numFmtId="0" fontId="6" fillId="0" borderId="50" xfId="0" applyNumberFormat="1" applyFont="1" applyFill="1" applyBorder="1" applyAlignment="1" applyProtection="1">
      <alignment horizontal="center" vertical="center" wrapText="1"/>
      <protection locked="0"/>
    </xf>
    <xf numFmtId="0" fontId="6" fillId="0" borderId="57" xfId="0" applyFont="1" applyFill="1" applyBorder="1" applyAlignment="1" applyProtection="1">
      <alignment horizontal="center" vertical="center"/>
      <protection locked="0"/>
    </xf>
    <xf numFmtId="0" fontId="6" fillId="0" borderId="58" xfId="0" applyNumberFormat="1" applyFont="1" applyFill="1" applyBorder="1" applyAlignment="1" applyProtection="1">
      <alignment horizontal="center" vertical="center" wrapText="1"/>
      <protection locked="0"/>
    </xf>
    <xf numFmtId="0" fontId="6" fillId="0" borderId="58" xfId="0" applyFont="1" applyFill="1" applyBorder="1" applyAlignment="1" applyProtection="1">
      <alignment horizontal="center" vertical="center" wrapText="1"/>
      <protection locked="0"/>
    </xf>
    <xf numFmtId="0" fontId="6" fillId="0" borderId="60" xfId="0" applyNumberFormat="1" applyFont="1" applyFill="1" applyBorder="1" applyAlignment="1" applyProtection="1">
      <alignment horizontal="left" vertical="center" wrapText="1"/>
      <protection locked="0"/>
    </xf>
    <xf numFmtId="0" fontId="60" fillId="0" borderId="84" xfId="0" applyNumberFormat="1" applyFont="1" applyFill="1" applyBorder="1" applyAlignment="1" applyProtection="1">
      <alignment horizontal="center" vertical="center" wrapText="1"/>
      <protection locked="0"/>
    </xf>
    <xf numFmtId="0" fontId="60" fillId="0" borderId="85" xfId="0" applyFont="1" applyFill="1" applyBorder="1" applyAlignment="1" applyProtection="1">
      <alignment horizontal="center" vertical="center"/>
      <protection locked="0"/>
    </xf>
    <xf numFmtId="0" fontId="60" fillId="0" borderId="86" xfId="0" applyNumberFormat="1" applyFont="1" applyFill="1" applyBorder="1" applyAlignment="1" applyProtection="1">
      <alignment horizontal="center" vertical="center" wrapText="1"/>
      <protection locked="0"/>
    </xf>
    <xf numFmtId="0" fontId="60" fillId="0" borderId="86" xfId="0" applyFont="1" applyFill="1" applyBorder="1" applyAlignment="1" applyProtection="1">
      <alignment horizontal="center" vertical="center" wrapText="1"/>
      <protection locked="0"/>
    </xf>
    <xf numFmtId="0" fontId="26" fillId="0" borderId="87" xfId="0" applyNumberFormat="1" applyFont="1" applyFill="1" applyBorder="1" applyAlignment="1" applyProtection="1">
      <alignment horizontal="center" vertical="center" wrapText="1"/>
      <protection locked="0"/>
    </xf>
    <xf numFmtId="0" fontId="26" fillId="0" borderId="5" xfId="0" applyNumberFormat="1" applyFont="1" applyFill="1" applyBorder="1" applyAlignment="1" applyProtection="1">
      <alignment horizontal="center" vertical="center" wrapText="1"/>
      <protection locked="0"/>
    </xf>
    <xf numFmtId="0" fontId="60" fillId="12" borderId="56" xfId="0" applyNumberFormat="1" applyFont="1" applyFill="1" applyBorder="1" applyAlignment="1" applyProtection="1">
      <alignment horizontal="left" vertical="center" wrapText="1"/>
      <protection locked="0"/>
    </xf>
    <xf numFmtId="0" fontId="60" fillId="12" borderId="14" xfId="0" applyNumberFormat="1" applyFont="1" applyFill="1" applyBorder="1" applyAlignment="1" applyProtection="1">
      <alignment horizontal="center" vertical="center" wrapText="1"/>
      <protection locked="0"/>
    </xf>
    <xf numFmtId="0" fontId="60" fillId="12" borderId="73" xfId="0" applyFont="1" applyFill="1" applyBorder="1" applyAlignment="1" applyProtection="1">
      <alignment horizontal="center" vertical="center"/>
      <protection locked="0"/>
    </xf>
    <xf numFmtId="0" fontId="60" fillId="12" borderId="63" xfId="0" applyNumberFormat="1" applyFont="1" applyFill="1" applyBorder="1" applyAlignment="1" applyProtection="1">
      <alignment horizontal="center" vertical="center" wrapText="1"/>
      <protection locked="0"/>
    </xf>
    <xf numFmtId="0" fontId="60" fillId="12" borderId="63" xfId="0" applyFont="1" applyFill="1" applyBorder="1" applyAlignment="1" applyProtection="1">
      <alignment horizontal="center" vertical="center" wrapText="1"/>
      <protection locked="0"/>
    </xf>
    <xf numFmtId="0" fontId="26" fillId="12" borderId="36" xfId="0" applyNumberFormat="1" applyFont="1" applyFill="1" applyBorder="1" applyAlignment="1" applyProtection="1">
      <alignment horizontal="center" vertical="center" wrapText="1"/>
      <protection locked="0"/>
    </xf>
    <xf numFmtId="0" fontId="60" fillId="2" borderId="61" xfId="0" applyFont="1" applyFill="1" applyBorder="1" applyAlignment="1" applyProtection="1">
      <alignment horizontal="center" vertical="center"/>
      <protection locked="0"/>
    </xf>
    <xf numFmtId="0" fontId="60" fillId="2" borderId="52" xfId="0" applyNumberFormat="1" applyFont="1" applyFill="1" applyBorder="1" applyAlignment="1" applyProtection="1">
      <alignment horizontal="center" vertical="center" wrapText="1"/>
    </xf>
    <xf numFmtId="0" fontId="60" fillId="2" borderId="75" xfId="0" applyNumberFormat="1" applyFont="1" applyFill="1" applyBorder="1" applyAlignment="1" applyProtection="1">
      <alignment horizontal="center" vertical="center" wrapText="1"/>
    </xf>
    <xf numFmtId="0" fontId="26" fillId="11" borderId="0" xfId="0" applyFont="1" applyFill="1" applyAlignment="1" applyProtection="1">
      <alignment horizontal="center" vertical="center"/>
      <protection locked="0"/>
    </xf>
    <xf numFmtId="0" fontId="6" fillId="0" borderId="59" xfId="0" applyNumberFormat="1" applyFont="1" applyFill="1" applyBorder="1" applyAlignment="1" applyProtection="1">
      <alignment horizontal="center" vertical="center" wrapText="1"/>
      <protection locked="0"/>
    </xf>
    <xf numFmtId="0" fontId="61" fillId="2" borderId="88" xfId="0" applyNumberFormat="1" applyFont="1" applyFill="1" applyBorder="1" applyAlignment="1" applyProtection="1">
      <alignment horizontal="center" vertical="center" wrapText="1"/>
    </xf>
    <xf numFmtId="0" fontId="61" fillId="11" borderId="0" xfId="0" applyFont="1" applyFill="1" applyAlignment="1" applyProtection="1">
      <alignment horizontal="center" vertical="center"/>
      <protection locked="0"/>
    </xf>
    <xf numFmtId="0" fontId="6" fillId="0" borderId="88" xfId="0" applyNumberFormat="1" applyFont="1" applyFill="1" applyBorder="1" applyAlignment="1" applyProtection="1">
      <alignment horizontal="center" vertical="center" wrapText="1"/>
      <protection locked="0"/>
    </xf>
    <xf numFmtId="0" fontId="26" fillId="2" borderId="41" xfId="0" applyNumberFormat="1" applyFont="1" applyFill="1" applyBorder="1" applyAlignment="1" applyProtection="1">
      <alignment horizontal="center" vertical="center" wrapText="1"/>
    </xf>
    <xf numFmtId="0" fontId="6" fillId="0" borderId="89" xfId="0" applyNumberFormat="1" applyFont="1" applyFill="1" applyBorder="1" applyAlignment="1" applyProtection="1">
      <alignment horizontal="center" vertical="center" wrapText="1"/>
      <protection locked="0"/>
    </xf>
    <xf numFmtId="0" fontId="60" fillId="0" borderId="90" xfId="0" applyNumberFormat="1" applyFont="1" applyFill="1" applyBorder="1" applyAlignment="1" applyProtection="1">
      <alignment horizontal="center" vertical="center" wrapText="1"/>
      <protection locked="0"/>
    </xf>
    <xf numFmtId="0" fontId="60" fillId="11" borderId="0" xfId="0" applyFont="1" applyFill="1" applyAlignment="1" applyProtection="1">
      <alignment horizontal="center" vertical="center"/>
      <protection locked="0"/>
    </xf>
    <xf numFmtId="0" fontId="26" fillId="2" borderId="91" xfId="0" applyNumberFormat="1" applyFont="1" applyFill="1" applyBorder="1" applyAlignment="1" applyProtection="1">
      <alignment horizontal="center" vertical="center" wrapText="1"/>
    </xf>
    <xf numFmtId="9" fontId="6" fillId="0" borderId="58" xfId="0" applyNumberFormat="1" applyFont="1" applyFill="1" applyBorder="1" applyAlignment="1" applyProtection="1">
      <alignment horizontal="center" vertical="center" wrapText="1"/>
      <protection locked="0"/>
    </xf>
    <xf numFmtId="0" fontId="6" fillId="0" borderId="58" xfId="0" applyFont="1" applyFill="1" applyBorder="1" applyAlignment="1" applyProtection="1">
      <alignment horizontal="center" vertical="center"/>
      <protection locked="0"/>
    </xf>
    <xf numFmtId="0" fontId="6" fillId="0" borderId="41" xfId="0" applyFont="1" applyFill="1" applyBorder="1" applyAlignment="1" applyProtection="1">
      <alignment horizontal="center" vertical="center"/>
      <protection locked="0"/>
    </xf>
    <xf numFmtId="0" fontId="60" fillId="0" borderId="41" xfId="0" applyNumberFormat="1" applyFont="1" applyFill="1" applyBorder="1" applyAlignment="1" applyProtection="1">
      <alignment horizontal="center" vertical="center" wrapText="1"/>
      <protection locked="0"/>
    </xf>
    <xf numFmtId="9" fontId="60" fillId="0" borderId="86" xfId="0" applyNumberFormat="1" applyFont="1" applyFill="1" applyBorder="1" applyAlignment="1" applyProtection="1">
      <alignment horizontal="center" vertical="center" wrapText="1"/>
      <protection locked="0"/>
    </xf>
    <xf numFmtId="0" fontId="60" fillId="0" borderId="86" xfId="0" applyFont="1" applyFill="1" applyBorder="1" applyAlignment="1" applyProtection="1">
      <alignment horizontal="center" vertical="center"/>
      <protection locked="0"/>
    </xf>
    <xf numFmtId="0" fontId="60" fillId="0" borderId="90" xfId="0" applyFont="1" applyFill="1" applyBorder="1" applyAlignment="1" applyProtection="1">
      <alignment horizontal="center" vertical="center"/>
      <protection locked="0"/>
    </xf>
    <xf numFmtId="0" fontId="60" fillId="2" borderId="90" xfId="0" applyNumberFormat="1" applyFont="1" applyFill="1" applyBorder="1" applyAlignment="1" applyProtection="1">
      <alignment horizontal="center" vertical="center" wrapText="1"/>
    </xf>
    <xf numFmtId="0" fontId="26" fillId="0" borderId="92" xfId="0" applyNumberFormat="1" applyFont="1" applyFill="1" applyBorder="1" applyAlignment="1" applyProtection="1">
      <alignment horizontal="center" vertical="center" wrapText="1"/>
      <protection locked="0"/>
    </xf>
    <xf numFmtId="0" fontId="26" fillId="0" borderId="88" xfId="0" applyNumberFormat="1" applyFont="1" applyFill="1" applyBorder="1" applyAlignment="1" applyProtection="1">
      <alignment horizontal="center" vertical="center" wrapText="1"/>
      <protection locked="0"/>
    </xf>
    <xf numFmtId="9" fontId="60" fillId="12" borderId="63" xfId="0" applyNumberFormat="1" applyFont="1" applyFill="1" applyBorder="1" applyAlignment="1" applyProtection="1">
      <alignment horizontal="center" vertical="center" wrapText="1"/>
      <protection locked="0"/>
    </xf>
    <xf numFmtId="0" fontId="60" fillId="12" borderId="63" xfId="0" applyFont="1" applyFill="1" applyBorder="1" applyAlignment="1" applyProtection="1">
      <alignment horizontal="center" vertical="center"/>
      <protection locked="0"/>
    </xf>
    <xf numFmtId="0" fontId="60" fillId="12" borderId="75" xfId="0" applyFont="1" applyFill="1" applyBorder="1" applyAlignment="1" applyProtection="1">
      <alignment horizontal="center" vertical="center"/>
      <protection locked="0"/>
    </xf>
    <xf numFmtId="0" fontId="26" fillId="12" borderId="53" xfId="0" applyNumberFormat="1" applyFont="1" applyFill="1" applyBorder="1" applyAlignment="1" applyProtection="1">
      <alignment horizontal="center" vertical="center" wrapText="1"/>
      <protection locked="0"/>
    </xf>
    <xf numFmtId="0" fontId="60" fillId="2" borderId="0" xfId="0" applyNumberFormat="1" applyFont="1" applyFill="1" applyAlignment="1" applyProtection="1">
      <alignment horizontal="center" vertical="center"/>
      <protection locked="0"/>
    </xf>
    <xf numFmtId="0" fontId="60" fillId="2" borderId="4" xfId="0" applyFont="1" applyFill="1" applyBorder="1" applyAlignment="1" applyProtection="1">
      <alignment horizontal="center" vertical="center"/>
    </xf>
    <xf numFmtId="0" fontId="60" fillId="2" borderId="1" xfId="0" applyNumberFormat="1" applyFont="1" applyFill="1" applyBorder="1" applyAlignment="1" applyProtection="1">
      <alignment horizontal="center" vertical="center"/>
    </xf>
    <xf numFmtId="0" fontId="60" fillId="2" borderId="1" xfId="0" applyNumberFormat="1" applyFont="1" applyFill="1" applyBorder="1" applyAlignment="1" applyProtection="1">
      <alignment horizontal="center" vertical="center" wrapText="1"/>
    </xf>
    <xf numFmtId="0" fontId="60" fillId="11" borderId="0" xfId="0" applyFont="1" applyFill="1" applyAlignment="1" applyProtection="1">
      <alignment horizontal="center" vertical="center" wrapText="1"/>
      <protection locked="0"/>
    </xf>
    <xf numFmtId="0" fontId="59" fillId="0" borderId="1" xfId="0" applyNumberFormat="1" applyFont="1" applyBorder="1" applyAlignment="1" applyProtection="1">
      <alignment horizontal="center" vertical="center"/>
      <protection locked="0"/>
    </xf>
    <xf numFmtId="0" fontId="59" fillId="2" borderId="1" xfId="0" applyFont="1" applyFill="1" applyBorder="1" applyAlignment="1" applyProtection="1">
      <alignment horizontal="center" vertical="center"/>
    </xf>
    <xf numFmtId="0" fontId="59" fillId="11" borderId="0" xfId="0" applyFont="1" applyFill="1" applyProtection="1">
      <alignment vertical="center"/>
      <protection locked="0"/>
    </xf>
    <xf numFmtId="0" fontId="65" fillId="0" borderId="0" xfId="21" applyFont="1" applyAlignment="1">
      <alignment horizontal="left" vertical="center"/>
    </xf>
    <xf numFmtId="0" fontId="65" fillId="0" borderId="93" xfId="21" applyFont="1" applyBorder="1" applyAlignment="1">
      <alignment horizontal="left" vertical="center"/>
    </xf>
    <xf numFmtId="0" fontId="65" fillId="13" borderId="0" xfId="21" applyFont="1" applyFill="1" applyAlignment="1">
      <alignment horizontal="left" vertical="center"/>
    </xf>
    <xf numFmtId="0" fontId="65" fillId="0" borderId="0" xfId="21" applyFont="1" applyFill="1" applyAlignment="1">
      <alignment horizontal="left" vertical="center"/>
    </xf>
    <xf numFmtId="0" fontId="65" fillId="14" borderId="0" xfId="21" applyFont="1" applyFill="1" applyAlignment="1">
      <alignment horizontal="left" vertical="center"/>
    </xf>
    <xf numFmtId="0" fontId="66" fillId="14" borderId="0" xfId="21" applyFont="1" applyFill="1" applyAlignment="1">
      <alignment horizontal="left" vertical="center"/>
    </xf>
    <xf numFmtId="0" fontId="6" fillId="7" borderId="0" xfId="21" applyFont="1" applyFill="1" applyAlignment="1">
      <alignment horizontal="left" vertical="center"/>
    </xf>
    <xf numFmtId="0" fontId="6" fillId="0" borderId="19" xfId="21" applyFont="1" applyBorder="1" applyAlignment="1">
      <alignment horizontal="left" vertical="center"/>
    </xf>
    <xf numFmtId="0" fontId="67" fillId="0" borderId="0" xfId="21" applyFont="1" applyAlignment="1">
      <alignment horizontal="left" vertical="center"/>
    </xf>
    <xf numFmtId="0" fontId="6" fillId="0" borderId="0" xfId="21" applyFont="1" applyAlignment="1">
      <alignment horizontal="left" vertical="center"/>
    </xf>
    <xf numFmtId="0" fontId="6" fillId="0" borderId="94" xfId="21" applyFont="1" applyBorder="1" applyAlignment="1">
      <alignment horizontal="left" vertical="center"/>
    </xf>
    <xf numFmtId="0" fontId="68" fillId="0" borderId="0" xfId="21" applyFont="1" applyAlignment="1">
      <alignment horizontal="left" vertical="center"/>
    </xf>
    <xf numFmtId="0" fontId="69" fillId="2" borderId="93" xfId="37" applyFont="1" applyFill="1" applyBorder="1" applyAlignment="1" applyProtection="1">
      <alignment horizontal="left" vertical="center"/>
    </xf>
    <xf numFmtId="0" fontId="70" fillId="2" borderId="93" xfId="37" applyFont="1" applyFill="1" applyBorder="1" applyAlignment="1" applyProtection="1">
      <alignment horizontal="left" vertical="center"/>
    </xf>
    <xf numFmtId="0" fontId="65" fillId="0" borderId="95" xfId="21" applyFont="1" applyBorder="1" applyAlignment="1">
      <alignment horizontal="left" vertical="center"/>
    </xf>
    <xf numFmtId="0" fontId="38" fillId="13" borderId="0" xfId="21" applyFont="1" applyFill="1" applyAlignment="1">
      <alignment horizontal="left" vertical="center"/>
    </xf>
    <xf numFmtId="0" fontId="23" fillId="13" borderId="0" xfId="37" applyFont="1" applyFill="1" applyAlignment="1" applyProtection="1">
      <alignment horizontal="left" vertical="center"/>
    </xf>
    <xf numFmtId="0" fontId="70" fillId="13" borderId="0" xfId="37" applyFont="1" applyFill="1" applyAlignment="1" applyProtection="1">
      <alignment horizontal="left" vertical="center"/>
    </xf>
    <xf numFmtId="0" fontId="65" fillId="13" borderId="94" xfId="21" applyFont="1" applyFill="1" applyBorder="1" applyAlignment="1">
      <alignment horizontal="left" vertical="center"/>
    </xf>
    <xf numFmtId="0" fontId="65" fillId="13" borderId="0" xfId="21" applyFont="1" applyFill="1" applyBorder="1" applyAlignment="1">
      <alignment horizontal="left" vertical="center"/>
    </xf>
    <xf numFmtId="0" fontId="23" fillId="0" borderId="0" xfId="37" applyFont="1" applyFill="1" applyAlignment="1" applyProtection="1">
      <alignment horizontal="left" vertical="center"/>
    </xf>
    <xf numFmtId="0" fontId="70" fillId="0" borderId="0" xfId="37" applyFont="1" applyFill="1" applyAlignment="1" applyProtection="1">
      <alignment horizontal="left" vertical="center"/>
    </xf>
    <xf numFmtId="0" fontId="65" fillId="0" borderId="94" xfId="21" applyFont="1" applyFill="1" applyBorder="1" applyAlignment="1">
      <alignment horizontal="left" vertical="center"/>
    </xf>
    <xf numFmtId="0" fontId="65" fillId="0" borderId="0" xfId="21" applyFont="1" applyFill="1" applyBorder="1" applyAlignment="1">
      <alignment horizontal="left" vertical="center"/>
    </xf>
    <xf numFmtId="49" fontId="26" fillId="14" borderId="1" xfId="21" applyNumberFormat="1" applyFont="1" applyFill="1" applyBorder="1" applyAlignment="1" applyProtection="1">
      <alignment horizontal="left" vertical="center" wrapText="1"/>
    </xf>
    <xf numFmtId="182" fontId="66" fillId="14" borderId="0" xfId="21" applyNumberFormat="1" applyFont="1" applyFill="1" applyAlignment="1">
      <alignment horizontal="left" vertical="center"/>
    </xf>
    <xf numFmtId="0" fontId="71" fillId="15" borderId="96" xfId="21" applyFont="1" applyFill="1" applyBorder="1" applyAlignment="1" applyProtection="1">
      <alignment horizontal="left" vertical="center" wrapText="1"/>
    </xf>
    <xf numFmtId="0" fontId="71" fillId="14" borderId="97" xfId="21" applyFont="1" applyFill="1" applyBorder="1" applyAlignment="1" applyProtection="1">
      <alignment horizontal="left" vertical="center" wrapText="1"/>
    </xf>
    <xf numFmtId="49" fontId="26" fillId="2" borderId="1" xfId="21" applyNumberFormat="1" applyFont="1" applyFill="1" applyBorder="1" applyAlignment="1" applyProtection="1">
      <alignment horizontal="left" vertical="center" wrapText="1"/>
    </xf>
    <xf numFmtId="182" fontId="6" fillId="0" borderId="0" xfId="21" applyNumberFormat="1" applyFont="1" applyAlignment="1">
      <alignment horizontal="left" vertical="center"/>
    </xf>
    <xf numFmtId="0" fontId="71" fillId="6" borderId="97" xfId="21" applyFont="1" applyFill="1" applyBorder="1" applyAlignment="1" applyProtection="1">
      <alignment horizontal="left" vertical="center" wrapText="1"/>
    </xf>
    <xf numFmtId="0" fontId="71" fillId="15" borderId="98" xfId="21" applyFont="1" applyFill="1" applyBorder="1" applyAlignment="1" applyProtection="1">
      <alignment horizontal="left" vertical="center" wrapText="1"/>
    </xf>
    <xf numFmtId="182" fontId="65" fillId="15" borderId="98" xfId="21" applyNumberFormat="1" applyFont="1" applyFill="1" applyBorder="1" applyAlignment="1" applyProtection="1">
      <alignment horizontal="left" vertical="center" wrapText="1"/>
    </xf>
    <xf numFmtId="182" fontId="65" fillId="15" borderId="99" xfId="21" applyNumberFormat="1" applyFont="1" applyFill="1" applyBorder="1" applyAlignment="1" applyProtection="1">
      <alignment horizontal="left" vertical="center" wrapText="1"/>
    </xf>
    <xf numFmtId="0" fontId="71" fillId="15" borderId="97" xfId="21" applyFont="1" applyFill="1" applyBorder="1" applyAlignment="1" applyProtection="1">
      <alignment horizontal="left" vertical="center" wrapText="1"/>
    </xf>
    <xf numFmtId="0" fontId="71" fillId="15" borderId="100" xfId="21" applyFont="1" applyFill="1" applyBorder="1" applyAlignment="1" applyProtection="1">
      <alignment horizontal="left" vertical="center" wrapText="1"/>
    </xf>
    <xf numFmtId="182" fontId="65" fillId="15" borderId="98" xfId="21" applyNumberFormat="1" applyFont="1" applyFill="1" applyBorder="1" applyAlignment="1">
      <alignment horizontal="left" vertical="center" wrapText="1"/>
    </xf>
    <xf numFmtId="182" fontId="65" fillId="15" borderId="99" xfId="21" applyNumberFormat="1" applyFont="1" applyFill="1" applyBorder="1" applyAlignment="1">
      <alignment horizontal="left" vertical="center" wrapText="1"/>
    </xf>
    <xf numFmtId="0" fontId="71" fillId="15" borderId="101" xfId="21" applyFont="1" applyFill="1" applyBorder="1" applyAlignment="1" applyProtection="1">
      <alignment horizontal="left" vertical="center" wrapText="1"/>
    </xf>
    <xf numFmtId="0" fontId="71" fillId="15" borderId="102" xfId="21" applyFont="1" applyFill="1" applyBorder="1" applyAlignment="1" applyProtection="1">
      <alignment horizontal="left" vertical="center" wrapText="1"/>
    </xf>
    <xf numFmtId="0" fontId="71" fillId="15" borderId="103" xfId="21" applyFont="1" applyFill="1" applyBorder="1" applyAlignment="1" applyProtection="1">
      <alignment horizontal="left" vertical="center" wrapText="1"/>
    </xf>
    <xf numFmtId="0" fontId="71" fillId="15" borderId="104" xfId="21" applyFont="1" applyFill="1" applyBorder="1" applyAlignment="1" applyProtection="1">
      <alignment horizontal="left" vertical="center" wrapText="1"/>
    </xf>
    <xf numFmtId="0" fontId="71" fillId="6" borderId="98" xfId="21" applyFont="1" applyFill="1" applyBorder="1" applyAlignment="1" applyProtection="1">
      <alignment horizontal="left" vertical="center" wrapText="1"/>
    </xf>
    <xf numFmtId="182" fontId="65" fillId="15" borderId="97" xfId="21" applyNumberFormat="1" applyFont="1" applyFill="1" applyBorder="1" applyAlignment="1">
      <alignment horizontal="left" vertical="center" wrapText="1"/>
    </xf>
    <xf numFmtId="182" fontId="65" fillId="15" borderId="105" xfId="21" applyNumberFormat="1" applyFont="1" applyFill="1" applyBorder="1" applyAlignment="1">
      <alignment horizontal="left" vertical="center" wrapText="1"/>
    </xf>
    <xf numFmtId="0" fontId="6" fillId="6" borderId="98" xfId="21" applyFont="1" applyFill="1" applyBorder="1" applyAlignment="1" applyProtection="1">
      <alignment horizontal="left" vertical="center" wrapText="1"/>
    </xf>
    <xf numFmtId="49" fontId="26" fillId="7" borderId="1" xfId="21" applyNumberFormat="1" applyFont="1" applyFill="1" applyBorder="1" applyAlignment="1" applyProtection="1">
      <alignment horizontal="left" vertical="center" wrapText="1"/>
    </xf>
    <xf numFmtId="182" fontId="6" fillId="7" borderId="0" xfId="21" applyNumberFormat="1" applyFont="1" applyFill="1" applyAlignment="1">
      <alignment horizontal="left" vertical="center"/>
    </xf>
    <xf numFmtId="0" fontId="6" fillId="7" borderId="97" xfId="21" applyFont="1" applyFill="1" applyBorder="1" applyAlignment="1" applyProtection="1">
      <alignment horizontal="left" vertical="center" wrapText="1"/>
    </xf>
    <xf numFmtId="0" fontId="6" fillId="15" borderId="103" xfId="21" applyFont="1" applyFill="1" applyBorder="1" applyAlignment="1" applyProtection="1">
      <alignment horizontal="left" vertical="center" wrapText="1"/>
    </xf>
    <xf numFmtId="0" fontId="6" fillId="15" borderId="104" xfId="21" applyFont="1" applyFill="1" applyBorder="1" applyAlignment="1" applyProtection="1">
      <alignment horizontal="left" vertical="center" wrapText="1"/>
    </xf>
    <xf numFmtId="0" fontId="6" fillId="15" borderId="96" xfId="21" applyFont="1" applyFill="1" applyBorder="1" applyAlignment="1" applyProtection="1">
      <alignment horizontal="left" vertical="center" wrapText="1"/>
    </xf>
    <xf numFmtId="0" fontId="6" fillId="15" borderId="102" xfId="21" applyFont="1" applyFill="1" applyBorder="1" applyAlignment="1" applyProtection="1">
      <alignment horizontal="left" vertical="center" wrapText="1"/>
    </xf>
    <xf numFmtId="182" fontId="65" fillId="15" borderId="104" xfId="21" applyNumberFormat="1" applyFont="1" applyFill="1" applyBorder="1" applyAlignment="1">
      <alignment horizontal="left" vertical="center" wrapText="1"/>
    </xf>
    <xf numFmtId="182" fontId="65" fillId="15" borderId="106" xfId="21" applyNumberFormat="1" applyFont="1" applyFill="1" applyBorder="1" applyAlignment="1">
      <alignment horizontal="left" vertical="center" wrapText="1"/>
    </xf>
    <xf numFmtId="182" fontId="6" fillId="14" borderId="0" xfId="21" applyNumberFormat="1" applyFont="1" applyFill="1" applyAlignment="1">
      <alignment horizontal="left" vertical="center"/>
    </xf>
    <xf numFmtId="182" fontId="6" fillId="0" borderId="19" xfId="21" applyNumberFormat="1" applyFont="1" applyBorder="1" applyAlignment="1">
      <alignment horizontal="left" vertical="center"/>
    </xf>
    <xf numFmtId="0" fontId="71" fillId="6" borderId="107" xfId="21" applyFont="1" applyFill="1" applyBorder="1" applyAlignment="1" applyProtection="1">
      <alignment horizontal="left" vertical="center" wrapText="1"/>
    </xf>
    <xf numFmtId="0" fontId="71" fillId="15" borderId="108" xfId="21" applyFont="1" applyFill="1" applyBorder="1" applyAlignment="1" applyProtection="1">
      <alignment horizontal="left" vertical="center" wrapText="1"/>
    </xf>
    <xf numFmtId="0" fontId="66" fillId="13" borderId="0" xfId="21" applyFont="1" applyFill="1" applyBorder="1" applyAlignment="1" applyProtection="1">
      <alignment horizontal="left" vertical="center"/>
      <protection locked="0"/>
    </xf>
    <xf numFmtId="0" fontId="65" fillId="0" borderId="0" xfId="21" applyFont="1" applyFill="1" applyBorder="1" applyAlignment="1" applyProtection="1">
      <alignment horizontal="left" vertical="center"/>
      <protection locked="0"/>
    </xf>
    <xf numFmtId="0" fontId="66" fillId="14" borderId="0" xfId="21" applyFont="1" applyFill="1" applyBorder="1" applyAlignment="1" applyProtection="1">
      <alignment horizontal="left" vertical="center"/>
      <protection locked="0"/>
    </xf>
    <xf numFmtId="10" fontId="66" fillId="14" borderId="109" xfId="21" applyNumberFormat="1" applyFont="1" applyFill="1" applyBorder="1" applyAlignment="1">
      <alignment horizontal="left" vertical="center"/>
    </xf>
    <xf numFmtId="0" fontId="71" fillId="6" borderId="97" xfId="40" applyFont="1" applyFill="1" applyBorder="1" applyAlignment="1" applyProtection="1">
      <alignment horizontal="left" vertical="center" wrapText="1"/>
    </xf>
    <xf numFmtId="0" fontId="71" fillId="6" borderId="110" xfId="40" applyFont="1" applyFill="1" applyBorder="1" applyAlignment="1" applyProtection="1">
      <alignment horizontal="left" vertical="center" wrapText="1"/>
    </xf>
    <xf numFmtId="10" fontId="6" fillId="0" borderId="94" xfId="21" applyNumberFormat="1" applyFont="1" applyBorder="1" applyAlignment="1">
      <alignment horizontal="left" vertical="center"/>
    </xf>
    <xf numFmtId="10" fontId="6" fillId="0" borderId="0" xfId="21" applyNumberFormat="1" applyFont="1" applyAlignment="1">
      <alignment horizontal="left" vertical="center"/>
    </xf>
    <xf numFmtId="0" fontId="71" fillId="6" borderId="110" xfId="21" applyFont="1" applyFill="1" applyBorder="1" applyAlignment="1" applyProtection="1">
      <alignment horizontal="left" vertical="center" wrapText="1"/>
    </xf>
    <xf numFmtId="0" fontId="71" fillId="15" borderId="111" xfId="21" applyFont="1" applyFill="1" applyBorder="1" applyAlignment="1" applyProtection="1">
      <alignment horizontal="left" vertical="center" wrapText="1"/>
    </xf>
    <xf numFmtId="0" fontId="71" fillId="15" borderId="110" xfId="21" applyFont="1" applyFill="1" applyBorder="1" applyAlignment="1" applyProtection="1">
      <alignment horizontal="left" vertical="center" wrapText="1"/>
    </xf>
    <xf numFmtId="0" fontId="71" fillId="15" borderId="112" xfId="21" applyFont="1" applyFill="1" applyBorder="1" applyAlignment="1" applyProtection="1">
      <alignment horizontal="left" vertical="center" wrapText="1"/>
    </xf>
    <xf numFmtId="10" fontId="6" fillId="0" borderId="113" xfId="21" applyNumberFormat="1" applyFont="1" applyBorder="1" applyAlignment="1">
      <alignment horizontal="left" vertical="center"/>
    </xf>
    <xf numFmtId="10" fontId="6" fillId="0" borderId="6" xfId="21" applyNumberFormat="1" applyFont="1" applyBorder="1" applyAlignment="1">
      <alignment horizontal="left" vertical="center"/>
    </xf>
    <xf numFmtId="0" fontId="71" fillId="6" borderId="111" xfId="21" applyFont="1" applyFill="1" applyBorder="1" applyAlignment="1" applyProtection="1">
      <alignment horizontal="left" vertical="center" wrapText="1"/>
    </xf>
    <xf numFmtId="10" fontId="6" fillId="0" borderId="0" xfId="21" applyNumberFormat="1" applyFont="1" applyBorder="1" applyAlignment="1">
      <alignment horizontal="left" vertical="center"/>
    </xf>
    <xf numFmtId="10" fontId="6" fillId="0" borderId="109" xfId="21" applyNumberFormat="1" applyFont="1" applyBorder="1" applyAlignment="1">
      <alignment horizontal="left" vertical="center"/>
    </xf>
    <xf numFmtId="10" fontId="6" fillId="0" borderId="47" xfId="21" applyNumberFormat="1" applyFont="1" applyBorder="1" applyAlignment="1">
      <alignment horizontal="left" vertical="center"/>
    </xf>
    <xf numFmtId="0" fontId="6" fillId="6" borderId="111" xfId="21" applyFont="1" applyFill="1" applyBorder="1" applyAlignment="1" applyProtection="1">
      <alignment horizontal="left" vertical="center" wrapText="1"/>
    </xf>
    <xf numFmtId="0" fontId="6" fillId="7" borderId="110" xfId="21" applyFont="1" applyFill="1" applyBorder="1" applyAlignment="1" applyProtection="1">
      <alignment horizontal="left" vertical="center" wrapText="1"/>
    </xf>
    <xf numFmtId="10" fontId="6" fillId="7" borderId="94" xfId="21" applyNumberFormat="1" applyFont="1" applyFill="1" applyBorder="1" applyAlignment="1">
      <alignment horizontal="left" vertical="center"/>
    </xf>
    <xf numFmtId="10" fontId="6" fillId="7" borderId="0" xfId="21" applyNumberFormat="1" applyFont="1" applyFill="1" applyAlignment="1">
      <alignment horizontal="left" vertical="center"/>
    </xf>
    <xf numFmtId="0" fontId="6" fillId="15" borderId="112" xfId="21" applyFont="1" applyFill="1" applyBorder="1" applyAlignment="1" applyProtection="1">
      <alignment horizontal="left" vertical="center" wrapText="1"/>
    </xf>
    <xf numFmtId="0" fontId="71" fillId="6" borderId="114" xfId="21" applyFont="1" applyFill="1" applyBorder="1" applyAlignment="1" applyProtection="1">
      <alignment horizontal="left" vertical="center" wrapText="1"/>
    </xf>
    <xf numFmtId="10" fontId="6" fillId="0" borderId="115" xfId="21" applyNumberFormat="1" applyFont="1" applyBorder="1" applyAlignment="1">
      <alignment horizontal="left" vertical="center"/>
    </xf>
    <xf numFmtId="10" fontId="6" fillId="0" borderId="19" xfId="21" applyNumberFormat="1" applyFont="1" applyBorder="1" applyAlignment="1">
      <alignment horizontal="left" vertical="center"/>
    </xf>
    <xf numFmtId="0" fontId="71" fillId="15" borderId="116" xfId="21" applyFont="1" applyFill="1" applyBorder="1" applyAlignment="1" applyProtection="1">
      <alignment horizontal="left" vertical="center" wrapText="1"/>
    </xf>
    <xf numFmtId="10" fontId="6" fillId="16" borderId="94" xfId="21" applyNumberFormat="1" applyFont="1" applyFill="1" applyBorder="1" applyAlignment="1">
      <alignment horizontal="left" vertical="center"/>
    </xf>
    <xf numFmtId="10" fontId="6" fillId="16" borderId="0" xfId="21" applyNumberFormat="1" applyFont="1" applyFill="1" applyAlignment="1">
      <alignment horizontal="left" vertical="center"/>
    </xf>
    <xf numFmtId="0" fontId="39" fillId="0" borderId="0" xfId="21" applyFont="1" applyAlignment="1">
      <alignment horizontal="left" vertical="center"/>
    </xf>
    <xf numFmtId="0" fontId="39" fillId="13" borderId="0" xfId="21" applyFont="1" applyFill="1" applyAlignment="1">
      <alignment horizontal="left" vertical="center"/>
    </xf>
    <xf numFmtId="0" fontId="6" fillId="13" borderId="0" xfId="21" applyFont="1" applyFill="1" applyAlignment="1">
      <alignment horizontal="left" vertical="center"/>
    </xf>
    <xf numFmtId="0" fontId="65" fillId="14" borderId="94" xfId="21" applyFont="1" applyFill="1" applyBorder="1" applyAlignment="1">
      <alignment horizontal="left" vertical="center"/>
    </xf>
    <xf numFmtId="0" fontId="67" fillId="7" borderId="0" xfId="21" applyFont="1" applyFill="1" applyAlignment="1">
      <alignment horizontal="left" vertical="center"/>
    </xf>
    <xf numFmtId="0" fontId="6" fillId="14" borderId="0" xfId="21" applyFont="1" applyFill="1" applyAlignment="1">
      <alignment horizontal="left" vertical="center"/>
    </xf>
    <xf numFmtId="181" fontId="6" fillId="0" borderId="0" xfId="21" applyNumberFormat="1" applyFont="1" applyAlignment="1">
      <alignment horizontal="left" vertical="center"/>
    </xf>
    <xf numFmtId="0" fontId="6" fillId="0" borderId="0" xfId="21" applyFont="1" applyFill="1" applyAlignment="1">
      <alignment horizontal="left" vertical="center"/>
    </xf>
    <xf numFmtId="180" fontId="6" fillId="0" borderId="94" xfId="21" applyNumberFormat="1" applyFont="1" applyBorder="1" applyAlignment="1">
      <alignment horizontal="left" vertical="center"/>
    </xf>
    <xf numFmtId="180" fontId="6" fillId="0" borderId="0" xfId="21" applyNumberFormat="1" applyFont="1" applyAlignment="1">
      <alignment horizontal="left" vertical="center"/>
    </xf>
    <xf numFmtId="181" fontId="6" fillId="7" borderId="0" xfId="21" applyNumberFormat="1" applyFont="1" applyFill="1" applyAlignment="1">
      <alignment horizontal="left" vertical="center"/>
    </xf>
    <xf numFmtId="10" fontId="6" fillId="7" borderId="109" xfId="21" applyNumberFormat="1" applyFont="1" applyFill="1" applyBorder="1" applyAlignment="1">
      <alignment horizontal="left" vertical="center"/>
    </xf>
    <xf numFmtId="10" fontId="6" fillId="7" borderId="47" xfId="21" applyNumberFormat="1" applyFont="1" applyFill="1" applyBorder="1" applyAlignment="1">
      <alignment horizontal="left" vertical="center"/>
    </xf>
    <xf numFmtId="0" fontId="42" fillId="7" borderId="0" xfId="21" applyFont="1" applyFill="1" applyAlignment="1">
      <alignment horizontal="left" vertical="center"/>
    </xf>
    <xf numFmtId="0" fontId="6" fillId="7" borderId="0" xfId="21" applyNumberFormat="1" applyFont="1" applyFill="1" applyAlignment="1">
      <alignment horizontal="left" vertical="center"/>
    </xf>
    <xf numFmtId="14" fontId="6" fillId="0" borderId="0" xfId="21" applyNumberFormat="1" applyFont="1" applyAlignment="1">
      <alignment horizontal="left" vertical="center"/>
    </xf>
    <xf numFmtId="0" fontId="6" fillId="0" borderId="0" xfId="21" applyNumberFormat="1" applyFont="1" applyAlignment="1">
      <alignment horizontal="left" vertical="center"/>
    </xf>
    <xf numFmtId="181" fontId="6" fillId="0" borderId="19" xfId="21" applyNumberFormat="1" applyFont="1" applyBorder="1" applyAlignment="1">
      <alignment horizontal="left" vertical="center"/>
    </xf>
    <xf numFmtId="186" fontId="6" fillId="0" borderId="0" xfId="21" applyNumberFormat="1" applyFont="1" applyAlignment="1">
      <alignment horizontal="left" vertical="center"/>
    </xf>
    <xf numFmtId="10" fontId="6" fillId="13" borderId="0" xfId="21" applyNumberFormat="1" applyFont="1" applyFill="1" applyAlignment="1">
      <alignment horizontal="left" vertical="center"/>
    </xf>
    <xf numFmtId="10" fontId="6" fillId="14" borderId="0" xfId="21" applyNumberFormat="1" applyFont="1" applyFill="1" applyAlignment="1">
      <alignment horizontal="left" vertical="center"/>
    </xf>
    <xf numFmtId="10" fontId="6" fillId="0" borderId="0" xfId="21" applyNumberFormat="1" applyFont="1" applyFill="1" applyAlignment="1">
      <alignment horizontal="left" vertical="center"/>
    </xf>
    <xf numFmtId="0" fontId="42" fillId="0" borderId="0" xfId="21" applyFont="1" applyAlignment="1">
      <alignment horizontal="left" vertical="center"/>
    </xf>
    <xf numFmtId="0" fontId="65" fillId="6" borderId="117" xfId="21" applyFont="1" applyFill="1" applyBorder="1" applyAlignment="1">
      <alignment horizontal="left" vertical="center" wrapText="1"/>
    </xf>
    <xf numFmtId="0" fontId="65" fillId="6" borderId="118" xfId="21" applyFont="1" applyFill="1" applyBorder="1" applyAlignment="1">
      <alignment horizontal="left" vertical="center" wrapText="1"/>
    </xf>
    <xf numFmtId="181" fontId="6" fillId="16" borderId="0" xfId="21" applyNumberFormat="1" applyFont="1" applyFill="1" applyAlignment="1">
      <alignment horizontal="left" vertical="center"/>
    </xf>
    <xf numFmtId="0" fontId="71" fillId="6" borderId="104" xfId="21" applyFont="1" applyFill="1" applyBorder="1" applyAlignment="1" applyProtection="1">
      <alignment horizontal="left" vertical="center" wrapText="1"/>
    </xf>
    <xf numFmtId="0" fontId="65" fillId="15" borderId="104" xfId="21" applyFont="1" applyFill="1" applyBorder="1" applyAlignment="1">
      <alignment horizontal="left" vertical="center" wrapText="1"/>
    </xf>
    <xf numFmtId="0" fontId="65" fillId="15" borderId="106" xfId="21" applyFont="1" applyFill="1" applyBorder="1" applyAlignment="1">
      <alignment horizontal="left" vertical="center" wrapText="1"/>
    </xf>
    <xf numFmtId="0" fontId="71" fillId="7" borderId="97" xfId="21" applyFont="1" applyFill="1" applyBorder="1" applyAlignment="1" applyProtection="1">
      <alignment horizontal="left" vertical="center" wrapText="1"/>
    </xf>
    <xf numFmtId="0" fontId="65" fillId="15" borderId="119" xfId="21" applyFont="1" applyFill="1" applyBorder="1" applyAlignment="1">
      <alignment horizontal="left" vertical="center" wrapText="1"/>
    </xf>
    <xf numFmtId="0" fontId="65" fillId="15" borderId="120" xfId="21" applyFont="1" applyFill="1" applyBorder="1" applyAlignment="1">
      <alignment horizontal="left" vertical="center" wrapText="1"/>
    </xf>
    <xf numFmtId="0" fontId="65" fillId="15" borderId="121" xfId="21" applyFont="1" applyFill="1" applyBorder="1" applyAlignment="1">
      <alignment horizontal="left" vertical="center" wrapText="1"/>
    </xf>
    <xf numFmtId="0" fontId="48" fillId="0" borderId="0" xfId="21" applyFont="1" applyAlignment="1">
      <alignment horizontal="left" vertical="center"/>
    </xf>
    <xf numFmtId="0" fontId="67" fillId="0" borderId="94" xfId="21" applyFont="1" applyBorder="1" applyAlignment="1">
      <alignment horizontal="left" vertical="center"/>
    </xf>
    <xf numFmtId="10" fontId="6" fillId="16" borderId="109" xfId="21" applyNumberFormat="1" applyFont="1" applyFill="1" applyBorder="1" applyAlignment="1">
      <alignment horizontal="left" vertical="center"/>
    </xf>
    <xf numFmtId="10" fontId="6" fillId="16" borderId="47" xfId="21" applyNumberFormat="1" applyFont="1" applyFill="1" applyBorder="1" applyAlignment="1">
      <alignment horizontal="left" vertical="center"/>
    </xf>
    <xf numFmtId="10" fontId="6" fillId="16" borderId="115" xfId="21" applyNumberFormat="1" applyFont="1" applyFill="1" applyBorder="1" applyAlignment="1">
      <alignment horizontal="left" vertical="center"/>
    </xf>
    <xf numFmtId="10" fontId="6" fillId="16" borderId="19" xfId="21" applyNumberFormat="1" applyFont="1" applyFill="1" applyBorder="1" applyAlignment="1">
      <alignment horizontal="left" vertical="center"/>
    </xf>
    <xf numFmtId="178" fontId="6" fillId="0" borderId="0" xfId="21" applyNumberFormat="1" applyFont="1" applyAlignment="1">
      <alignment horizontal="left" vertical="center"/>
    </xf>
    <xf numFmtId="178" fontId="6" fillId="0" borderId="94" xfId="21" applyNumberFormat="1" applyFont="1" applyBorder="1" applyAlignment="1">
      <alignment horizontal="left" vertical="center"/>
    </xf>
    <xf numFmtId="178" fontId="6" fillId="7" borderId="0" xfId="21" applyNumberFormat="1" applyFont="1" applyFill="1" applyAlignment="1">
      <alignment horizontal="left" vertical="center"/>
    </xf>
    <xf numFmtId="0" fontId="6" fillId="7" borderId="94" xfId="21" applyFont="1" applyFill="1" applyBorder="1" applyAlignment="1">
      <alignment horizontal="left" vertical="center"/>
    </xf>
    <xf numFmtId="178" fontId="67" fillId="0" borderId="0" xfId="21" applyNumberFormat="1" applyFont="1" applyAlignment="1">
      <alignment horizontal="left" vertical="center"/>
    </xf>
    <xf numFmtId="178" fontId="67" fillId="0" borderId="94" xfId="21" applyNumberFormat="1" applyFont="1" applyBorder="1" applyAlignment="1">
      <alignment horizontal="left" vertical="center"/>
    </xf>
    <xf numFmtId="186" fontId="6" fillId="0" borderId="19" xfId="21" applyNumberFormat="1" applyFont="1" applyBorder="1" applyAlignment="1">
      <alignment horizontal="left" vertical="center"/>
    </xf>
    <xf numFmtId="186" fontId="6" fillId="7" borderId="0" xfId="21" applyNumberFormat="1" applyFont="1" applyFill="1" applyAlignment="1">
      <alignment horizontal="left" vertical="center"/>
    </xf>
    <xf numFmtId="0" fontId="71" fillId="6" borderId="122" xfId="21" applyFont="1" applyFill="1" applyBorder="1" applyAlignment="1">
      <alignment horizontal="left" vertical="center" wrapText="1"/>
    </xf>
    <xf numFmtId="0" fontId="71" fillId="6" borderId="98" xfId="21" applyFont="1" applyFill="1" applyBorder="1" applyAlignment="1">
      <alignment horizontal="left" vertical="center" wrapText="1"/>
    </xf>
    <xf numFmtId="0" fontId="71" fillId="15" borderId="123" xfId="21" applyFont="1" applyFill="1" applyBorder="1" applyAlignment="1">
      <alignment horizontal="left" vertical="center" wrapText="1"/>
    </xf>
    <xf numFmtId="0" fontId="71" fillId="15" borderId="97" xfId="21" applyFont="1" applyFill="1" applyBorder="1" applyAlignment="1">
      <alignment horizontal="left" vertical="center" wrapText="1"/>
    </xf>
    <xf numFmtId="0" fontId="71" fillId="6" borderId="123" xfId="21" applyFont="1" applyFill="1" applyBorder="1" applyAlignment="1">
      <alignment horizontal="left" vertical="center" wrapText="1"/>
    </xf>
    <xf numFmtId="0" fontId="71" fillId="6" borderId="97" xfId="21" applyFont="1" applyFill="1" applyBorder="1" applyAlignment="1">
      <alignment horizontal="left" vertical="center" wrapText="1"/>
    </xf>
    <xf numFmtId="0" fontId="71" fillId="15" borderId="124" xfId="21" applyFont="1" applyFill="1" applyBorder="1" applyAlignment="1">
      <alignment horizontal="left" vertical="center" wrapText="1"/>
    </xf>
    <xf numFmtId="0" fontId="71" fillId="15" borderId="104" xfId="21" applyFont="1" applyFill="1" applyBorder="1" applyAlignment="1">
      <alignment horizontal="left" vertical="center" wrapText="1"/>
    </xf>
    <xf numFmtId="0" fontId="23" fillId="0" borderId="0" xfId="0" applyFont="1">
      <alignment vertical="center"/>
    </xf>
    <xf numFmtId="49" fontId="14" fillId="2" borderId="30" xfId="0" applyNumberFormat="1" applyFont="1" applyFill="1" applyBorder="1" applyAlignment="1" applyProtection="1"/>
    <xf numFmtId="0" fontId="23" fillId="2" borderId="0" xfId="0" applyFont="1" applyFill="1">
      <alignment vertical="center"/>
    </xf>
    <xf numFmtId="0" fontId="23" fillId="6" borderId="0" xfId="0" applyFont="1" applyFill="1" applyProtection="1">
      <alignment vertical="center"/>
      <protection locked="0"/>
    </xf>
    <xf numFmtId="0" fontId="72" fillId="2" borderId="1" xfId="0" applyFont="1" applyFill="1" applyBorder="1">
      <alignment vertical="center"/>
    </xf>
    <xf numFmtId="0" fontId="23" fillId="2" borderId="1" xfId="0" applyFont="1" applyFill="1" applyBorder="1" applyAlignment="1">
      <alignment horizontal="right" vertical="center"/>
    </xf>
    <xf numFmtId="0" fontId="23" fillId="2" borderId="1" xfId="0" applyFont="1" applyFill="1" applyBorder="1" applyAlignment="1">
      <alignment horizontal="left" vertical="center"/>
    </xf>
    <xf numFmtId="0" fontId="72" fillId="6" borderId="0" xfId="0" applyFont="1" applyFill="1" applyProtection="1">
      <alignment vertical="center"/>
      <protection locked="0"/>
    </xf>
    <xf numFmtId="0" fontId="72" fillId="2" borderId="1" xfId="0" applyFont="1" applyFill="1" applyBorder="1" applyAlignment="1">
      <alignment horizontal="left" vertical="center" wrapText="1"/>
    </xf>
    <xf numFmtId="0" fontId="72" fillId="2" borderId="1" xfId="0" applyFont="1" applyFill="1" applyBorder="1" applyAlignment="1">
      <alignment horizontal="center" vertical="center"/>
    </xf>
    <xf numFmtId="0" fontId="23" fillId="2" borderId="1" xfId="0" applyFont="1" applyFill="1" applyBorder="1">
      <alignment vertical="center"/>
    </xf>
    <xf numFmtId="0" fontId="72" fillId="2" borderId="1" xfId="0" applyFont="1" applyFill="1" applyBorder="1" applyAlignment="1">
      <alignment horizontal="left" vertical="center"/>
    </xf>
    <xf numFmtId="0" fontId="72" fillId="7" borderId="1" xfId="0" applyFont="1" applyFill="1" applyBorder="1" applyAlignment="1" applyProtection="1">
      <alignment horizontal="left" vertical="center"/>
      <protection locked="0"/>
    </xf>
    <xf numFmtId="179" fontId="0" fillId="0" borderId="0" xfId="0" applyNumberFormat="1" applyProtection="1">
      <alignment vertical="center"/>
    </xf>
    <xf numFmtId="0" fontId="0" fillId="0" borderId="0" xfId="0" applyNumberFormat="1" applyProtection="1">
      <alignment vertical="center"/>
    </xf>
    <xf numFmtId="179" fontId="73" fillId="0" borderId="47" xfId="48" applyNumberFormat="1" applyFont="1" applyBorder="1" applyAlignment="1" applyProtection="1">
      <alignment vertical="center"/>
    </xf>
    <xf numFmtId="0" fontId="73" fillId="0" borderId="47" xfId="48" applyNumberFormat="1" applyFont="1" applyBorder="1" applyAlignment="1" applyProtection="1">
      <alignment vertical="center"/>
    </xf>
    <xf numFmtId="179" fontId="74" fillId="2" borderId="1" xfId="48" applyNumberFormat="1" applyFont="1" applyFill="1" applyBorder="1" applyAlignment="1" applyProtection="1">
      <alignment horizontal="center" vertical="center"/>
    </xf>
    <xf numFmtId="0" fontId="74" fillId="2" borderId="1" xfId="48" applyNumberFormat="1" applyFont="1" applyFill="1" applyBorder="1" applyAlignment="1" applyProtection="1">
      <alignment horizontal="center" vertical="center"/>
    </xf>
    <xf numFmtId="0" fontId="74" fillId="2" borderId="1" xfId="48" applyNumberFormat="1" applyFont="1" applyFill="1" applyBorder="1" applyAlignment="1" applyProtection="1">
      <alignment horizontal="center" vertical="center" wrapText="1"/>
    </xf>
    <xf numFmtId="0" fontId="75" fillId="2" borderId="1" xfId="48" applyNumberFormat="1" applyFont="1" applyFill="1" applyBorder="1" applyAlignment="1" applyProtection="1">
      <alignment horizontal="center" vertical="center"/>
    </xf>
    <xf numFmtId="179" fontId="74" fillId="2" borderId="1" xfId="48" applyNumberFormat="1" applyFont="1" applyFill="1" applyBorder="1" applyAlignment="1" applyProtection="1">
      <alignment horizontal="center" vertical="center" wrapText="1"/>
    </xf>
    <xf numFmtId="0" fontId="74" fillId="2" borderId="58" xfId="48"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29" xfId="0" applyFill="1" applyBorder="1" applyAlignment="1" applyProtection="1">
      <alignment horizontal="right" vertical="center"/>
    </xf>
    <xf numFmtId="0" fontId="0" fillId="2" borderId="11" xfId="0" applyFill="1" applyBorder="1" applyAlignment="1" applyProtection="1">
      <alignment horizontal="left" vertical="center"/>
    </xf>
    <xf numFmtId="186" fontId="0" fillId="2" borderId="56" xfId="0" applyNumberFormat="1" applyFill="1" applyBorder="1" applyAlignment="1" applyProtection="1">
      <alignment horizontal="left" vertical="center"/>
    </xf>
    <xf numFmtId="186" fontId="0" fillId="2" borderId="14" xfId="0" applyNumberFormat="1" applyFill="1" applyBorder="1" applyAlignment="1" applyProtection="1">
      <alignment horizontal="left" vertical="center"/>
    </xf>
    <xf numFmtId="0" fontId="0" fillId="2" borderId="16" xfId="0" applyFill="1" applyBorder="1" applyAlignment="1" applyProtection="1">
      <alignment horizontal="left" vertical="center"/>
    </xf>
    <xf numFmtId="186" fontId="0" fillId="2" borderId="1" xfId="0" applyNumberFormat="1" applyFill="1" applyBorder="1" applyAlignment="1" applyProtection="1">
      <alignment horizontal="left" vertical="center"/>
    </xf>
    <xf numFmtId="186" fontId="0" fillId="2" borderId="2" xfId="0" applyNumberFormat="1" applyFill="1" applyBorder="1" applyAlignment="1" applyProtection="1">
      <alignment horizontal="left" vertical="center"/>
    </xf>
    <xf numFmtId="0" fontId="0" fillId="2" borderId="16" xfId="0" applyFont="1" applyFill="1" applyBorder="1" applyAlignment="1" applyProtection="1">
      <alignment horizontal="left" vertical="center"/>
    </xf>
    <xf numFmtId="0" fontId="0" fillId="2" borderId="31" xfId="0" applyFont="1" applyFill="1" applyBorder="1" applyAlignment="1" applyProtection="1">
      <alignment horizontal="left" vertical="center"/>
    </xf>
    <xf numFmtId="186" fontId="0" fillId="2" borderId="57" xfId="0" applyNumberFormat="1" applyFill="1" applyBorder="1" applyAlignment="1" applyProtection="1">
      <alignment horizontal="left" vertical="center"/>
    </xf>
    <xf numFmtId="0" fontId="0" fillId="2" borderId="48" xfId="0" applyFont="1" applyFill="1" applyBorder="1" applyAlignment="1" applyProtection="1">
      <alignment horizontal="left" vertical="center"/>
    </xf>
    <xf numFmtId="186" fontId="0" fillId="2" borderId="36" xfId="0" applyNumberFormat="1" applyFill="1" applyBorder="1" applyAlignment="1" applyProtection="1">
      <alignment horizontal="left" vertical="center"/>
    </xf>
    <xf numFmtId="0" fontId="76" fillId="2" borderId="11" xfId="0" applyFont="1" applyFill="1" applyBorder="1" applyAlignment="1" applyProtection="1">
      <alignment horizontal="center" vertical="center" wrapText="1"/>
    </xf>
    <xf numFmtId="0" fontId="76" fillId="2" borderId="56" xfId="0" applyFont="1" applyFill="1" applyBorder="1" applyAlignment="1" applyProtection="1">
      <alignment horizontal="left" vertical="center" wrapText="1"/>
    </xf>
    <xf numFmtId="0" fontId="76" fillId="2" borderId="16" xfId="0" applyFont="1" applyFill="1" applyBorder="1" applyAlignment="1" applyProtection="1">
      <alignment horizontal="center" vertical="center" wrapText="1"/>
    </xf>
    <xf numFmtId="0" fontId="76" fillId="2" borderId="1" xfId="0" applyFont="1" applyFill="1" applyBorder="1" applyAlignment="1" applyProtection="1">
      <alignment horizontal="left" vertical="center" wrapText="1"/>
    </xf>
    <xf numFmtId="0" fontId="76" fillId="2" borderId="20" xfId="0" applyFont="1" applyFill="1" applyBorder="1" applyAlignment="1" applyProtection="1">
      <alignment horizontal="center" vertical="center" wrapText="1"/>
    </xf>
    <xf numFmtId="0" fontId="76" fillId="2" borderId="7" xfId="0" applyFont="1" applyFill="1" applyBorder="1" applyAlignment="1" applyProtection="1">
      <alignment horizontal="left" vertical="center" wrapText="1"/>
    </xf>
    <xf numFmtId="0" fontId="76" fillId="2" borderId="1"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77" fillId="2" borderId="47" xfId="0" applyFont="1" applyFill="1" applyBorder="1" applyAlignment="1" applyProtection="1">
      <alignment vertical="center"/>
    </xf>
    <xf numFmtId="0" fontId="77" fillId="2" borderId="0" xfId="0" applyFont="1" applyFill="1" applyBorder="1" applyAlignment="1" applyProtection="1">
      <alignment vertical="center"/>
    </xf>
    <xf numFmtId="0" fontId="76" fillId="2" borderId="5" xfId="0" applyFont="1" applyFill="1" applyBorder="1" applyAlignment="1" applyProtection="1">
      <alignment horizontal="left" vertical="center" wrapText="1"/>
    </xf>
    <xf numFmtId="0" fontId="76" fillId="2" borderId="2" xfId="0" applyFont="1" applyFill="1" applyBorder="1" applyAlignment="1" applyProtection="1">
      <alignment horizontal="left" vertical="center" wrapText="1"/>
    </xf>
    <xf numFmtId="0" fontId="76" fillId="2" borderId="4" xfId="0" applyFont="1" applyFill="1" applyBorder="1" applyAlignment="1" applyProtection="1">
      <alignment horizontal="left" vertical="center" wrapText="1"/>
    </xf>
    <xf numFmtId="0" fontId="76" fillId="2" borderId="0" xfId="0" applyFont="1" applyFill="1" applyBorder="1" applyAlignment="1" applyProtection="1">
      <alignment horizontal="center" vertical="center" wrapText="1"/>
    </xf>
    <xf numFmtId="0" fontId="76" fillId="2" borderId="11" xfId="0" applyFont="1" applyFill="1" applyBorder="1" applyAlignment="1" applyProtection="1">
      <alignment horizontal="left" vertical="center"/>
    </xf>
    <xf numFmtId="0" fontId="76" fillId="2" borderId="63" xfId="0" applyFont="1" applyFill="1" applyBorder="1" applyAlignment="1" applyProtection="1">
      <alignment horizontal="left" vertical="center"/>
    </xf>
    <xf numFmtId="0" fontId="76" fillId="2" borderId="14" xfId="0" applyFont="1" applyFill="1" applyBorder="1" applyAlignment="1" applyProtection="1">
      <alignment horizontal="left" vertical="center"/>
    </xf>
    <xf numFmtId="0" fontId="76" fillId="2" borderId="13" xfId="0" applyFont="1" applyFill="1" applyBorder="1" applyAlignment="1" applyProtection="1">
      <alignment horizontal="left" vertical="center"/>
    </xf>
    <xf numFmtId="0" fontId="76" fillId="2" borderId="12" xfId="0" applyFont="1" applyFill="1" applyBorder="1" applyAlignment="1" applyProtection="1">
      <alignment horizontal="left" vertical="center"/>
    </xf>
    <xf numFmtId="0" fontId="76" fillId="2" borderId="0" xfId="0" applyFont="1" applyFill="1" applyBorder="1" applyAlignment="1" applyProtection="1">
      <alignment horizontal="left" vertical="center"/>
    </xf>
    <xf numFmtId="0" fontId="76" fillId="2" borderId="0" xfId="0" applyFont="1" applyFill="1" applyBorder="1" applyAlignment="1" applyProtection="1">
      <alignment horizontal="center" vertical="center"/>
    </xf>
    <xf numFmtId="0" fontId="76" fillId="2" borderId="16" xfId="0" applyFont="1" applyFill="1" applyBorder="1" applyAlignment="1" applyProtection="1">
      <alignment horizontal="left" vertical="center"/>
    </xf>
    <xf numFmtId="0" fontId="76" fillId="2" borderId="58" xfId="0" applyFont="1" applyFill="1" applyBorder="1" applyAlignment="1" applyProtection="1">
      <alignment horizontal="left" vertical="center"/>
    </xf>
    <xf numFmtId="0" fontId="76" fillId="2" borderId="2" xfId="0" applyFont="1" applyFill="1" applyBorder="1" applyAlignment="1" applyProtection="1">
      <alignment horizontal="left" vertical="center"/>
    </xf>
    <xf numFmtId="0" fontId="76" fillId="2" borderId="4" xfId="0" applyFont="1" applyFill="1" applyBorder="1" applyAlignment="1" applyProtection="1">
      <alignment horizontal="left" vertical="center"/>
    </xf>
    <xf numFmtId="0" fontId="76" fillId="2" borderId="17" xfId="0" applyFont="1" applyFill="1" applyBorder="1" applyAlignment="1" applyProtection="1">
      <alignment horizontal="left" vertical="center"/>
    </xf>
    <xf numFmtId="0" fontId="76" fillId="2" borderId="48" xfId="0" applyFont="1" applyFill="1" applyBorder="1" applyAlignment="1" applyProtection="1">
      <alignment horizontal="left" vertical="center"/>
    </xf>
    <xf numFmtId="0" fontId="76" fillId="2" borderId="62" xfId="0" applyFont="1" applyFill="1" applyBorder="1" applyAlignment="1" applyProtection="1">
      <alignment horizontal="left" vertical="center"/>
    </xf>
    <xf numFmtId="0" fontId="76" fillId="2" borderId="36" xfId="0" applyFont="1" applyFill="1" applyBorder="1" applyAlignment="1" applyProtection="1">
      <alignment horizontal="left" vertical="center"/>
    </xf>
    <xf numFmtId="0" fontId="76" fillId="2" borderId="49" xfId="0" applyFont="1" applyFill="1" applyBorder="1" applyAlignment="1" applyProtection="1">
      <alignment horizontal="left" vertical="center"/>
    </xf>
    <xf numFmtId="0" fontId="76" fillId="2" borderId="38" xfId="0" applyFont="1" applyFill="1" applyBorder="1" applyAlignment="1" applyProtection="1">
      <alignment horizontal="left" vertical="center"/>
    </xf>
    <xf numFmtId="0" fontId="76" fillId="2" borderId="25" xfId="0" applyFont="1" applyFill="1" applyBorder="1" applyAlignment="1" applyProtection="1">
      <alignment horizontal="left" vertical="center"/>
    </xf>
    <xf numFmtId="0" fontId="76" fillId="2" borderId="74" xfId="0" applyFont="1" applyFill="1" applyBorder="1" applyAlignment="1" applyProtection="1">
      <alignment horizontal="left" vertical="center"/>
    </xf>
    <xf numFmtId="0" fontId="76" fillId="2" borderId="28" xfId="0" applyFont="1" applyFill="1" applyBorder="1" applyAlignment="1" applyProtection="1">
      <alignment horizontal="left" vertical="center"/>
    </xf>
    <xf numFmtId="0" fontId="76" fillId="2" borderId="27" xfId="0" applyFont="1" applyFill="1" applyBorder="1" applyAlignment="1" applyProtection="1">
      <alignment horizontal="left" vertical="center"/>
    </xf>
    <xf numFmtId="0" fontId="76" fillId="2" borderId="26" xfId="0" applyFont="1" applyFill="1" applyBorder="1" applyAlignment="1" applyProtection="1">
      <alignment horizontal="left" vertical="center"/>
    </xf>
    <xf numFmtId="0" fontId="76" fillId="2" borderId="29" xfId="0" applyFont="1" applyFill="1" applyBorder="1" applyAlignment="1" applyProtection="1">
      <alignment horizontal="left" vertical="center"/>
    </xf>
    <xf numFmtId="0" fontId="76" fillId="2" borderId="31" xfId="0" applyFont="1" applyFill="1" applyBorder="1" applyAlignment="1" applyProtection="1">
      <alignment horizontal="left" vertical="center"/>
    </xf>
    <xf numFmtId="0" fontId="76" fillId="2" borderId="7" xfId="0" applyFont="1" applyFill="1" applyBorder="1" applyAlignment="1" applyProtection="1">
      <alignment horizontal="left" vertical="center"/>
    </xf>
    <xf numFmtId="0" fontId="76" fillId="2" borderId="35" xfId="0" applyFont="1" applyFill="1" applyBorder="1" applyAlignment="1" applyProtection="1">
      <alignment horizontal="left" vertical="center"/>
    </xf>
    <xf numFmtId="0" fontId="76" fillId="2" borderId="60" xfId="0" applyFont="1" applyFill="1" applyBorder="1" applyAlignment="1" applyProtection="1">
      <alignment horizontal="left" vertical="center"/>
    </xf>
    <xf numFmtId="0" fontId="76" fillId="2" borderId="1" xfId="0" applyFont="1" applyFill="1" applyBorder="1" applyAlignment="1" applyProtection="1">
      <alignment horizontal="left" vertical="center"/>
    </xf>
    <xf numFmtId="0" fontId="76" fillId="0" borderId="6" xfId="0" applyFont="1" applyBorder="1" applyAlignment="1" applyProtection="1">
      <alignment vertical="center"/>
    </xf>
    <xf numFmtId="0" fontId="76" fillId="0" borderId="0" xfId="0" applyFont="1" applyBorder="1" applyAlignment="1" applyProtection="1">
      <alignment vertical="center"/>
    </xf>
    <xf numFmtId="0" fontId="76" fillId="2" borderId="50" xfId="0" applyFont="1" applyFill="1" applyBorder="1" applyAlignment="1" applyProtection="1">
      <alignment vertical="center" wrapText="1"/>
    </xf>
    <xf numFmtId="0" fontId="76" fillId="2" borderId="7" xfId="0" applyFont="1" applyFill="1" applyBorder="1" applyAlignment="1" applyProtection="1">
      <alignment horizontal="center" vertical="center" wrapText="1"/>
    </xf>
    <xf numFmtId="0" fontId="76" fillId="2" borderId="60" xfId="0" applyFont="1" applyFill="1" applyBorder="1" applyAlignment="1" applyProtection="1">
      <alignment vertical="center" wrapText="1"/>
    </xf>
    <xf numFmtId="0" fontId="76" fillId="2" borderId="43" xfId="0" applyFont="1" applyFill="1" applyBorder="1" applyAlignment="1" applyProtection="1">
      <alignment vertical="center" wrapText="1"/>
    </xf>
    <xf numFmtId="0" fontId="76" fillId="2" borderId="4" xfId="0" applyFont="1" applyFill="1" applyBorder="1" applyAlignment="1" applyProtection="1">
      <alignment horizontal="center" vertical="center" wrapText="1"/>
    </xf>
    <xf numFmtId="0" fontId="76" fillId="2" borderId="60" xfId="0" applyFont="1" applyFill="1" applyBorder="1" applyAlignment="1" applyProtection="1">
      <alignment horizontal="center" vertical="center"/>
    </xf>
    <xf numFmtId="186" fontId="0" fillId="2" borderId="12" xfId="0" applyNumberFormat="1" applyFill="1" applyBorder="1" applyAlignment="1" applyProtection="1">
      <alignment horizontal="left" vertical="center"/>
    </xf>
    <xf numFmtId="186" fontId="0" fillId="2" borderId="17" xfId="0" applyNumberFormat="1" applyFill="1" applyBorder="1" applyAlignment="1" applyProtection="1">
      <alignment horizontal="left" vertical="center"/>
    </xf>
    <xf numFmtId="186" fontId="0" fillId="2" borderId="58" xfId="0" applyNumberFormat="1" applyFill="1" applyBorder="1" applyAlignment="1" applyProtection="1">
      <alignment horizontal="left" vertical="center"/>
    </xf>
    <xf numFmtId="186" fontId="0" fillId="2" borderId="44" xfId="0" applyNumberFormat="1" applyFill="1" applyBorder="1" applyAlignment="1" applyProtection="1">
      <alignment horizontal="left" vertical="center"/>
    </xf>
    <xf numFmtId="186" fontId="0" fillId="2" borderId="8" xfId="0" applyNumberFormat="1" applyFill="1" applyBorder="1" applyAlignment="1" applyProtection="1">
      <alignment horizontal="left" vertical="center"/>
    </xf>
    <xf numFmtId="186" fontId="0" fillId="2" borderId="38" xfId="0" applyNumberFormat="1" applyFill="1" applyBorder="1" applyAlignment="1" applyProtection="1">
      <alignment horizontal="left" vertical="center"/>
    </xf>
    <xf numFmtId="0" fontId="76" fillId="2" borderId="12" xfId="0" applyFont="1" applyFill="1" applyBorder="1" applyAlignment="1" applyProtection="1">
      <alignment horizontal="left" vertical="center" wrapText="1"/>
    </xf>
    <xf numFmtId="0" fontId="76" fillId="2" borderId="17" xfId="0" applyFont="1" applyFill="1" applyBorder="1" applyAlignment="1" applyProtection="1">
      <alignment horizontal="left" vertical="center" wrapText="1"/>
    </xf>
    <xf numFmtId="0" fontId="76" fillId="2" borderId="21" xfId="0" applyFont="1" applyFill="1" applyBorder="1" applyAlignment="1" applyProtection="1">
      <alignment horizontal="left" vertical="center" wrapText="1"/>
    </xf>
    <xf numFmtId="0" fontId="76" fillId="2" borderId="0" xfId="0" applyFont="1" applyFill="1" applyAlignment="1" applyProtection="1">
      <alignment horizontal="center" vertical="center"/>
    </xf>
    <xf numFmtId="0" fontId="76" fillId="2" borderId="1" xfId="0" applyFont="1" applyFill="1" applyBorder="1" applyAlignment="1" applyProtection="1">
      <alignment horizontal="center" vertical="center"/>
    </xf>
    <xf numFmtId="9" fontId="76" fillId="2" borderId="1" xfId="0" applyNumberFormat="1" applyFont="1" applyFill="1" applyBorder="1" applyAlignment="1" applyProtection="1">
      <alignment horizontal="center" vertical="center"/>
    </xf>
    <xf numFmtId="9" fontId="76" fillId="2" borderId="1" xfId="0" applyNumberFormat="1" applyFont="1" applyFill="1" applyBorder="1" applyAlignment="1" applyProtection="1">
      <alignment horizontal="left" vertical="center"/>
    </xf>
    <xf numFmtId="0" fontId="13" fillId="0" borderId="0" xfId="0" applyFont="1" applyAlignment="1" applyProtection="1">
      <alignment vertical="center" wrapText="1"/>
    </xf>
    <xf numFmtId="0" fontId="26" fillId="11" borderId="0" xfId="0" applyFont="1" applyFill="1" applyAlignment="1" applyProtection="1">
      <alignment vertical="center" wrapText="1"/>
      <protection locked="0"/>
    </xf>
    <xf numFmtId="0" fontId="26" fillId="0" borderId="0" xfId="0" applyFont="1" applyAlignment="1" applyProtection="1">
      <alignment vertical="center" wrapText="1"/>
      <protection locked="0"/>
    </xf>
    <xf numFmtId="0" fontId="26" fillId="0" borderId="0" xfId="0" applyFont="1" applyAlignment="1" applyProtection="1">
      <alignment horizontal="center" vertical="center" wrapText="1"/>
    </xf>
    <xf numFmtId="0" fontId="26" fillId="0" borderId="0" xfId="0" applyFont="1" applyAlignment="1" applyProtection="1">
      <alignment horizontal="left" vertical="center" wrapText="1"/>
    </xf>
    <xf numFmtId="0" fontId="26" fillId="0" borderId="0" xfId="0" applyFont="1" applyAlignment="1" applyProtection="1">
      <alignment vertical="center" wrapText="1"/>
    </xf>
    <xf numFmtId="0" fontId="26" fillId="11" borderId="0" xfId="0" applyFont="1" applyFill="1" applyAlignment="1" applyProtection="1">
      <alignment vertical="center" wrapText="1"/>
    </xf>
    <xf numFmtId="0" fontId="26" fillId="11" borderId="0" xfId="0" applyFont="1" applyFill="1" applyAlignment="1" applyProtection="1">
      <alignment horizontal="center" vertical="center" wrapText="1"/>
    </xf>
    <xf numFmtId="0" fontId="26" fillId="2" borderId="1" xfId="0" applyFont="1" applyFill="1" applyBorder="1" applyAlignment="1" applyProtection="1">
      <alignment vertical="center" wrapText="1"/>
    </xf>
    <xf numFmtId="0" fontId="26" fillId="2" borderId="0" xfId="0" applyFont="1" applyFill="1" applyAlignment="1" applyProtection="1">
      <alignment vertical="center" wrapText="1"/>
    </xf>
    <xf numFmtId="0" fontId="17" fillId="2" borderId="2" xfId="59" applyFont="1" applyFill="1" applyBorder="1" applyAlignment="1" applyProtection="1">
      <alignment vertical="center"/>
    </xf>
    <xf numFmtId="0" fontId="26" fillId="2" borderId="1" xfId="0" applyNumberFormat="1" applyFont="1" applyFill="1" applyBorder="1" applyAlignment="1" applyProtection="1">
      <alignment horizontal="left" vertical="center" wrapText="1"/>
    </xf>
    <xf numFmtId="0" fontId="26" fillId="7" borderId="1" xfId="0" applyNumberFormat="1" applyFont="1" applyFill="1" applyBorder="1" applyAlignment="1" applyProtection="1">
      <alignment horizontal="center" vertical="center" wrapText="1"/>
      <protection locked="0"/>
    </xf>
    <xf numFmtId="0" fontId="26" fillId="2" borderId="1" xfId="0" applyNumberFormat="1" applyFont="1" applyFill="1" applyBorder="1" applyAlignment="1" applyProtection="1">
      <alignment horizontal="center" vertical="center" wrapText="1"/>
    </xf>
    <xf numFmtId="0" fontId="26" fillId="7" borderId="1" xfId="0" applyNumberFormat="1" applyFont="1" applyFill="1" applyBorder="1" applyAlignment="1" applyProtection="1">
      <alignment vertical="center" wrapText="1"/>
      <protection locked="0"/>
    </xf>
    <xf numFmtId="0" fontId="26" fillId="7" borderId="1" xfId="0" applyFont="1" applyFill="1" applyBorder="1" applyAlignment="1" applyProtection="1">
      <alignment horizontal="left" vertical="center"/>
      <protection locked="0"/>
    </xf>
    <xf numFmtId="179" fontId="13" fillId="2" borderId="1" xfId="0" applyNumberFormat="1" applyFont="1" applyFill="1" applyBorder="1" applyAlignment="1" applyProtection="1">
      <alignment horizontal="center" vertical="center" wrapText="1"/>
    </xf>
    <xf numFmtId="0" fontId="26" fillId="2" borderId="1" xfId="0" applyFont="1" applyFill="1" applyBorder="1" applyAlignment="1" applyProtection="1">
      <alignment horizontal="left" vertical="center" wrapText="1"/>
    </xf>
    <xf numFmtId="0" fontId="17" fillId="2" borderId="2" xfId="0" applyFont="1" applyFill="1" applyBorder="1" applyAlignment="1" applyProtection="1">
      <alignment horizontal="center" vertical="center" wrapText="1"/>
    </xf>
    <xf numFmtId="0" fontId="17" fillId="2" borderId="3" xfId="0" applyFont="1" applyFill="1" applyBorder="1" applyAlignment="1" applyProtection="1">
      <alignment horizontal="center" vertical="center" wrapText="1"/>
    </xf>
    <xf numFmtId="0" fontId="17" fillId="2" borderId="0" xfId="0" applyFont="1" applyFill="1" applyBorder="1" applyAlignment="1" applyProtection="1">
      <alignment horizontal="center" vertical="center" wrapText="1"/>
    </xf>
    <xf numFmtId="49" fontId="18" fillId="2" borderId="7" xfId="0" applyNumberFormat="1" applyFont="1" applyFill="1" applyBorder="1" applyAlignment="1" applyProtection="1">
      <alignment horizontal="left" vertical="center" wrapText="1"/>
    </xf>
    <xf numFmtId="0" fontId="18" fillId="2" borderId="7" xfId="0" applyFont="1" applyFill="1" applyBorder="1" applyAlignment="1" applyProtection="1">
      <alignment horizontal="left" vertical="center" wrapText="1"/>
    </xf>
    <xf numFmtId="0" fontId="18" fillId="2" borderId="6" xfId="0" applyFont="1" applyFill="1" applyBorder="1" applyAlignment="1" applyProtection="1">
      <alignment horizontal="center" vertical="center"/>
    </xf>
    <xf numFmtId="0" fontId="78" fillId="2" borderId="8" xfId="0" applyFont="1" applyFill="1" applyBorder="1" applyAlignment="1" applyProtection="1">
      <alignment horizontal="center" vertical="center"/>
    </xf>
    <xf numFmtId="0" fontId="18" fillId="2" borderId="6" xfId="0" applyFont="1" applyFill="1" applyBorder="1" applyAlignment="1" applyProtection="1">
      <alignment vertical="center" wrapText="1"/>
    </xf>
    <xf numFmtId="0" fontId="13" fillId="2" borderId="6" xfId="0" applyFont="1" applyFill="1" applyBorder="1" applyAlignment="1" applyProtection="1">
      <alignment vertical="center" wrapText="1"/>
    </xf>
    <xf numFmtId="49" fontId="25" fillId="2" borderId="25" xfId="0" applyNumberFormat="1" applyFont="1" applyFill="1" applyBorder="1" applyAlignment="1" applyProtection="1">
      <alignment horizontal="center" vertical="center" wrapText="1"/>
    </xf>
    <xf numFmtId="0" fontId="25" fillId="2" borderId="24" xfId="0" applyFont="1" applyFill="1" applyBorder="1" applyAlignment="1" applyProtection="1">
      <alignment horizontal="left" vertical="center" wrapText="1"/>
    </xf>
    <xf numFmtId="0" fontId="25" fillId="2" borderId="28" xfId="0" applyFont="1" applyFill="1" applyBorder="1" applyAlignment="1" applyProtection="1">
      <alignment horizontal="center" vertical="center"/>
    </xf>
    <xf numFmtId="0" fontId="67" fillId="2" borderId="28" xfId="0" applyFont="1" applyFill="1" applyBorder="1" applyAlignment="1" applyProtection="1">
      <alignment vertical="center"/>
    </xf>
    <xf numFmtId="0" fontId="25" fillId="2" borderId="24" xfId="0" applyFont="1" applyFill="1" applyBorder="1" applyAlignment="1" applyProtection="1">
      <alignment horizontal="center" vertical="center" wrapText="1"/>
    </xf>
    <xf numFmtId="0" fontId="26" fillId="2" borderId="24" xfId="0" applyFont="1" applyFill="1" applyBorder="1" applyAlignment="1" applyProtection="1">
      <alignment vertical="center" wrapText="1"/>
    </xf>
    <xf numFmtId="49" fontId="26" fillId="2" borderId="29" xfId="0" applyNumberFormat="1" applyFont="1" applyFill="1" applyBorder="1" applyAlignment="1" applyProtection="1">
      <alignment horizontal="center" vertical="center" wrapText="1"/>
    </xf>
    <xf numFmtId="0" fontId="25" fillId="2" borderId="56" xfId="0" applyFont="1" applyFill="1" applyBorder="1" applyAlignment="1" applyProtection="1">
      <alignment horizontal="left" vertical="center" wrapText="1"/>
    </xf>
    <xf numFmtId="0" fontId="25" fillId="2" borderId="14" xfId="0" applyNumberFormat="1" applyFont="1" applyFill="1" applyBorder="1" applyAlignment="1" applyProtection="1">
      <alignment horizontal="center" vertical="center" wrapText="1"/>
    </xf>
    <xf numFmtId="0" fontId="26" fillId="2" borderId="56" xfId="0" applyFont="1" applyFill="1" applyBorder="1" applyAlignment="1" applyProtection="1">
      <alignment horizontal="center" vertical="center" wrapText="1"/>
    </xf>
    <xf numFmtId="0" fontId="26" fillId="0" borderId="56" xfId="0" applyFont="1" applyFill="1" applyBorder="1" applyAlignment="1" applyProtection="1">
      <alignment horizontal="center" vertical="center" wrapText="1"/>
      <protection locked="0"/>
    </xf>
    <xf numFmtId="0" fontId="26" fillId="2" borderId="10" xfId="0" applyFont="1" applyFill="1" applyBorder="1" applyAlignment="1" applyProtection="1">
      <alignment horizontal="center" vertical="center" wrapText="1"/>
    </xf>
    <xf numFmtId="0" fontId="26" fillId="2" borderId="10" xfId="0" applyFont="1" applyFill="1" applyBorder="1" applyAlignment="1" applyProtection="1">
      <alignment vertical="center" wrapText="1"/>
    </xf>
    <xf numFmtId="49" fontId="26" fillId="2" borderId="31" xfId="0" applyNumberFormat="1" applyFont="1" applyFill="1" applyBorder="1" applyAlignment="1" applyProtection="1">
      <alignment horizontal="center" vertical="center" wrapText="1"/>
    </xf>
    <xf numFmtId="0" fontId="26" fillId="7" borderId="1" xfId="0" applyFont="1" applyFill="1" applyBorder="1" applyAlignment="1" applyProtection="1">
      <alignment horizontal="center" vertical="center" wrapText="1"/>
      <protection locked="0"/>
    </xf>
    <xf numFmtId="0" fontId="26" fillId="2" borderId="60" xfId="0" applyFont="1" applyFill="1" applyBorder="1" applyAlignment="1" applyProtection="1">
      <alignment horizontal="center" vertical="center" wrapText="1"/>
    </xf>
    <xf numFmtId="0" fontId="26" fillId="2" borderId="50" xfId="0" applyFont="1" applyFill="1" applyBorder="1" applyAlignment="1" applyProtection="1">
      <alignment horizontal="center" vertical="center" wrapText="1"/>
    </xf>
    <xf numFmtId="0" fontId="26" fillId="2" borderId="2" xfId="0" applyFont="1" applyFill="1" applyBorder="1" applyAlignment="1" applyProtection="1">
      <alignment vertical="center"/>
    </xf>
    <xf numFmtId="0" fontId="26" fillId="2" borderId="3" xfId="0" applyFont="1" applyFill="1" applyBorder="1" applyAlignment="1" applyProtection="1">
      <alignment vertical="center" wrapText="1"/>
    </xf>
    <xf numFmtId="9" fontId="26" fillId="2" borderId="1" xfId="0" applyNumberFormat="1" applyFont="1" applyFill="1" applyBorder="1" applyAlignment="1" applyProtection="1">
      <alignment horizontal="center" vertical="center" wrapText="1"/>
    </xf>
    <xf numFmtId="0" fontId="26" fillId="2" borderId="7" xfId="0" applyFont="1" applyFill="1" applyBorder="1" applyAlignment="1" applyProtection="1">
      <alignment horizontal="left" vertical="center" wrapText="1"/>
    </xf>
    <xf numFmtId="0" fontId="26" fillId="2" borderId="7" xfId="0" applyFont="1" applyFill="1" applyBorder="1" applyAlignment="1" applyProtection="1">
      <alignment horizontal="center" vertical="center" wrapText="1"/>
    </xf>
    <xf numFmtId="0" fontId="26" fillId="2" borderId="5" xfId="0" applyFont="1" applyFill="1" applyBorder="1" applyAlignment="1" applyProtection="1">
      <alignment vertical="center"/>
    </xf>
    <xf numFmtId="0" fontId="26" fillId="2" borderId="6" xfId="0" applyFont="1" applyFill="1" applyBorder="1" applyAlignment="1" applyProtection="1">
      <alignment vertical="center" wrapText="1"/>
    </xf>
    <xf numFmtId="0" fontId="25" fillId="2" borderId="63" xfId="0" applyFont="1" applyFill="1" applyBorder="1" applyAlignment="1" applyProtection="1">
      <alignment horizontal="left" vertical="center" wrapText="1"/>
    </xf>
    <xf numFmtId="0" fontId="26" fillId="2" borderId="14" xfId="0" applyFont="1" applyFill="1" applyBorder="1" applyAlignment="1" applyProtection="1">
      <alignment vertical="center"/>
    </xf>
    <xf numFmtId="0" fontId="26" fillId="2" borderId="51" xfId="0" applyFont="1" applyFill="1" applyBorder="1" applyAlignment="1" applyProtection="1">
      <alignment horizontal="center" vertical="center" wrapText="1"/>
    </xf>
    <xf numFmtId="0" fontId="26" fillId="2" borderId="51" xfId="0" applyFont="1" applyFill="1" applyBorder="1" applyAlignment="1" applyProtection="1">
      <alignment vertical="center" wrapText="1"/>
    </xf>
    <xf numFmtId="49" fontId="23" fillId="2" borderId="15" xfId="0" applyNumberFormat="1" applyFont="1" applyFill="1" applyBorder="1" applyAlignment="1" applyProtection="1">
      <alignment horizontal="center" vertical="center" wrapText="1"/>
    </xf>
    <xf numFmtId="0" fontId="6" fillId="2" borderId="7" xfId="0" applyFont="1" applyFill="1" applyBorder="1" applyAlignment="1" applyProtection="1">
      <alignment horizontal="left" vertical="center" wrapText="1"/>
    </xf>
    <xf numFmtId="0" fontId="6" fillId="2" borderId="4" xfId="0" applyFont="1" applyFill="1" applyBorder="1" applyAlignment="1" applyProtection="1">
      <alignment horizontal="center" vertical="center" wrapText="1"/>
    </xf>
    <xf numFmtId="0" fontId="6" fillId="2" borderId="60" xfId="0" applyFont="1" applyFill="1" applyBorder="1" applyAlignment="1" applyProtection="1">
      <alignment horizontal="center" vertical="center" wrapText="1"/>
    </xf>
    <xf numFmtId="0" fontId="60" fillId="2" borderId="60" xfId="0" applyFont="1" applyFill="1" applyBorder="1" applyAlignment="1" applyProtection="1">
      <alignment horizontal="center" vertical="center" wrapText="1"/>
    </xf>
    <xf numFmtId="0" fontId="26" fillId="0" borderId="1" xfId="0" applyFont="1" applyFill="1" applyBorder="1" applyAlignment="1" applyProtection="1">
      <alignment horizontal="center" vertical="center"/>
      <protection locked="0"/>
    </xf>
    <xf numFmtId="0" fontId="6" fillId="2" borderId="60" xfId="0" applyFont="1" applyFill="1" applyBorder="1" applyAlignment="1" applyProtection="1">
      <alignment horizontal="left" vertical="center" wrapText="1"/>
    </xf>
    <xf numFmtId="0" fontId="6" fillId="7" borderId="4" xfId="0" applyFont="1" applyFill="1" applyBorder="1" applyAlignment="1" applyProtection="1">
      <alignment horizontal="center" vertical="center" wrapText="1"/>
      <protection locked="0"/>
    </xf>
    <xf numFmtId="0" fontId="6" fillId="7" borderId="1" xfId="0" applyFont="1" applyFill="1" applyBorder="1" applyAlignment="1" applyProtection="1">
      <alignment horizontal="center" vertical="center" wrapText="1"/>
      <protection locked="0"/>
    </xf>
    <xf numFmtId="0" fontId="6" fillId="7" borderId="60" xfId="0" applyFont="1" applyFill="1" applyBorder="1" applyAlignment="1" applyProtection="1">
      <alignment horizontal="center" vertical="center" wrapText="1"/>
      <protection locked="0"/>
    </xf>
    <xf numFmtId="0" fontId="61" fillId="2" borderId="50" xfId="0" applyFont="1" applyFill="1" applyBorder="1" applyAlignment="1" applyProtection="1">
      <alignment vertical="center"/>
    </xf>
    <xf numFmtId="0" fontId="26" fillId="2" borderId="0" xfId="0" applyFont="1" applyFill="1" applyBorder="1" applyAlignment="1" applyProtection="1">
      <alignment vertical="center" wrapText="1"/>
    </xf>
    <xf numFmtId="49" fontId="23" fillId="2" borderId="35" xfId="0" applyNumberFormat="1" applyFont="1" applyFill="1" applyBorder="1" applyAlignment="1" applyProtection="1">
      <alignment horizontal="center" vertical="center" wrapText="1"/>
    </xf>
    <xf numFmtId="0" fontId="6" fillId="2" borderId="62" xfId="0" applyFont="1" applyFill="1" applyBorder="1" applyAlignment="1" applyProtection="1">
      <alignment horizontal="left" vertical="center" wrapText="1"/>
    </xf>
    <xf numFmtId="0" fontId="26" fillId="2" borderId="8" xfId="0" applyFont="1" applyFill="1" applyBorder="1" applyAlignment="1" applyProtection="1">
      <alignment horizontal="center" vertical="center" wrapText="1"/>
    </xf>
    <xf numFmtId="0" fontId="26" fillId="0" borderId="8" xfId="0" applyFont="1" applyFill="1" applyBorder="1" applyAlignment="1" applyProtection="1">
      <alignment horizontal="center" vertical="center" wrapText="1"/>
      <protection locked="0"/>
    </xf>
    <xf numFmtId="0" fontId="25" fillId="2" borderId="56" xfId="0" applyFont="1" applyFill="1" applyBorder="1" applyAlignment="1" applyProtection="1">
      <alignment horizontal="center" vertical="center" wrapText="1"/>
    </xf>
    <xf numFmtId="0" fontId="26" fillId="2" borderId="73" xfId="0" applyFont="1" applyFill="1" applyBorder="1" applyAlignment="1" applyProtection="1">
      <alignment horizontal="center" vertical="center" wrapText="1"/>
    </xf>
    <xf numFmtId="0" fontId="26" fillId="2" borderId="40" xfId="0" applyFont="1" applyFill="1" applyBorder="1" applyAlignment="1" applyProtection="1">
      <alignment horizontal="center" vertical="center" wrapText="1"/>
    </xf>
    <xf numFmtId="0" fontId="26" fillId="7" borderId="56" xfId="0" applyFont="1" applyFill="1" applyBorder="1" applyAlignment="1" applyProtection="1">
      <alignment horizontal="center" vertical="center" wrapText="1"/>
      <protection locked="0"/>
    </xf>
    <xf numFmtId="49" fontId="26" fillId="2" borderId="35" xfId="0" applyNumberFormat="1" applyFont="1" applyFill="1" applyBorder="1" applyAlignment="1" applyProtection="1">
      <alignment horizontal="center" vertical="center" wrapText="1"/>
    </xf>
    <xf numFmtId="0" fontId="26" fillId="2" borderId="8" xfId="0" applyFont="1" applyFill="1" applyBorder="1" applyAlignment="1" applyProtection="1">
      <alignment horizontal="left" vertical="center"/>
    </xf>
    <xf numFmtId="0" fontId="26" fillId="2" borderId="62" xfId="0" applyFont="1" applyFill="1" applyBorder="1" applyAlignment="1" applyProtection="1">
      <alignment horizontal="center" vertical="center" wrapText="1"/>
    </xf>
    <xf numFmtId="0" fontId="26" fillId="2" borderId="36" xfId="0" applyFont="1" applyFill="1" applyBorder="1" applyAlignment="1" applyProtection="1">
      <alignment horizontal="center" vertical="center" wrapText="1"/>
    </xf>
    <xf numFmtId="0" fontId="26" fillId="7" borderId="8" xfId="0" applyFont="1" applyFill="1" applyBorder="1" applyAlignment="1" applyProtection="1">
      <alignment horizontal="right" vertical="center" wrapText="1"/>
      <protection locked="0"/>
    </xf>
    <xf numFmtId="0" fontId="26" fillId="2" borderId="49" xfId="0" applyFont="1" applyFill="1" applyBorder="1" applyAlignment="1" applyProtection="1">
      <alignment horizontal="center" vertical="center" wrapText="1"/>
    </xf>
    <xf numFmtId="49" fontId="18" fillId="2" borderId="35" xfId="0" applyNumberFormat="1" applyFont="1" applyFill="1" applyBorder="1" applyAlignment="1" applyProtection="1">
      <alignment horizontal="left" vertical="center" wrapText="1"/>
    </xf>
    <xf numFmtId="0" fontId="18" fillId="2" borderId="62" xfId="0" applyFont="1" applyFill="1" applyBorder="1" applyAlignment="1" applyProtection="1">
      <alignment horizontal="left" vertical="center" wrapText="1"/>
    </xf>
    <xf numFmtId="0" fontId="18" fillId="2" borderId="68" xfId="0" applyFont="1" applyFill="1" applyBorder="1" applyAlignment="1" applyProtection="1">
      <alignment horizontal="center" vertical="center" wrapText="1"/>
    </xf>
    <xf numFmtId="0" fontId="26" fillId="2" borderId="68" xfId="0" applyFont="1" applyFill="1" applyBorder="1" applyAlignment="1" applyProtection="1">
      <alignment vertical="center"/>
    </xf>
    <xf numFmtId="0" fontId="18" fillId="2" borderId="19" xfId="0" applyFont="1" applyFill="1" applyBorder="1" applyAlignment="1" applyProtection="1">
      <alignment horizontal="center" vertical="center" wrapText="1"/>
    </xf>
    <xf numFmtId="49" fontId="18" fillId="2" borderId="25" xfId="0" applyNumberFormat="1" applyFont="1" applyFill="1" applyBorder="1" applyAlignment="1" applyProtection="1">
      <alignment horizontal="left" vertical="center" wrapText="1"/>
    </xf>
    <xf numFmtId="0" fontId="18" fillId="2" borderId="74" xfId="0" applyFont="1" applyFill="1" applyBorder="1" applyAlignment="1" applyProtection="1">
      <alignment horizontal="left" vertical="center" wrapText="1"/>
    </xf>
    <xf numFmtId="188" fontId="18" fillId="2" borderId="74" xfId="0" applyNumberFormat="1" applyFont="1" applyFill="1" applyBorder="1" applyAlignment="1" applyProtection="1">
      <alignment horizontal="center" vertical="center" wrapText="1"/>
    </xf>
    <xf numFmtId="0" fontId="13" fillId="2" borderId="74" xfId="0" applyFont="1" applyFill="1" applyBorder="1" applyAlignment="1" applyProtection="1">
      <alignment horizontal="center" vertical="center" wrapText="1"/>
    </xf>
    <xf numFmtId="14" fontId="13" fillId="2" borderId="74" xfId="0" applyNumberFormat="1" applyFont="1" applyFill="1" applyBorder="1" applyAlignment="1" applyProtection="1">
      <alignment horizontal="center" vertical="center" wrapText="1"/>
    </xf>
    <xf numFmtId="14" fontId="13" fillId="2" borderId="24" xfId="0" applyNumberFormat="1" applyFont="1" applyFill="1" applyBorder="1" applyAlignment="1" applyProtection="1">
      <alignment horizontal="center" vertical="center" wrapText="1"/>
    </xf>
    <xf numFmtId="0" fontId="13" fillId="7" borderId="74" xfId="53" applyFont="1" applyFill="1" applyBorder="1" applyAlignment="1" applyProtection="1">
      <alignment horizontal="center" vertical="center" wrapText="1"/>
      <protection locked="0"/>
    </xf>
    <xf numFmtId="49" fontId="18" fillId="2" borderId="29" xfId="0" applyNumberFormat="1" applyFont="1" applyFill="1" applyBorder="1" applyAlignment="1" applyProtection="1">
      <alignment horizontal="left" vertical="center" wrapText="1"/>
    </xf>
    <xf numFmtId="0" fontId="18" fillId="2" borderId="63" xfId="0" applyFont="1" applyFill="1" applyBorder="1" applyAlignment="1" applyProtection="1">
      <alignment horizontal="left" vertical="center" wrapText="1"/>
    </xf>
    <xf numFmtId="188" fontId="18" fillId="2" borderId="63" xfId="0" applyNumberFormat="1" applyFont="1" applyFill="1" applyBorder="1" applyAlignment="1" applyProtection="1">
      <alignment horizontal="center" vertical="center" wrapText="1"/>
    </xf>
    <xf numFmtId="0" fontId="26" fillId="2" borderId="63" xfId="0" applyFont="1" applyFill="1" applyBorder="1" applyAlignment="1" applyProtection="1">
      <alignment horizontal="center" vertical="center" wrapText="1"/>
    </xf>
    <xf numFmtId="10" fontId="26" fillId="2" borderId="63" xfId="0" applyNumberFormat="1" applyFont="1" applyFill="1" applyBorder="1" applyAlignment="1" applyProtection="1">
      <alignment horizontal="center" vertical="center" wrapText="1"/>
    </xf>
    <xf numFmtId="180" fontId="6" fillId="2" borderId="63" xfId="0" applyNumberFormat="1" applyFont="1" applyFill="1" applyBorder="1" applyAlignment="1" applyProtection="1">
      <alignment horizontal="center" vertical="center" wrapText="1"/>
    </xf>
    <xf numFmtId="49" fontId="18" fillId="2" borderId="11" xfId="0" applyNumberFormat="1" applyFont="1" applyFill="1" applyBorder="1" applyAlignment="1" applyProtection="1">
      <alignment horizontal="left" vertical="center" wrapText="1"/>
    </xf>
    <xf numFmtId="0" fontId="18" fillId="7" borderId="56" xfId="0" applyFont="1" applyFill="1" applyBorder="1" applyAlignment="1" applyProtection="1">
      <alignment horizontal="left" vertical="center" wrapText="1"/>
      <protection locked="0"/>
    </xf>
    <xf numFmtId="0" fontId="13" fillId="2" borderId="10" xfId="0" applyFont="1" applyFill="1" applyBorder="1" applyAlignment="1" applyProtection="1">
      <alignment vertical="center" wrapText="1"/>
    </xf>
    <xf numFmtId="49" fontId="13" fillId="2" borderId="20" xfId="0" applyNumberFormat="1" applyFont="1" applyFill="1" applyBorder="1" applyAlignment="1" applyProtection="1">
      <alignment horizontal="center" vertical="center" wrapText="1"/>
    </xf>
    <xf numFmtId="0" fontId="13" fillId="2" borderId="1" xfId="0" applyFont="1" applyFill="1" applyBorder="1" applyAlignment="1" applyProtection="1">
      <alignment horizontal="left" vertical="center" wrapText="1"/>
    </xf>
    <xf numFmtId="0" fontId="13" fillId="2" borderId="7" xfId="0" applyFont="1" applyFill="1" applyBorder="1" applyAlignment="1" applyProtection="1">
      <alignment horizontal="left" vertical="center" wrapText="1"/>
    </xf>
    <xf numFmtId="0" fontId="18" fillId="2" borderId="58" xfId="0" applyFont="1" applyFill="1" applyBorder="1" applyAlignment="1" applyProtection="1">
      <alignment horizontal="center" vertical="center" wrapText="1"/>
    </xf>
    <xf numFmtId="188" fontId="26" fillId="2" borderId="58" xfId="0" applyNumberFormat="1" applyFont="1" applyFill="1" applyBorder="1" applyAlignment="1" applyProtection="1">
      <alignment horizontal="center" vertical="center" wrapText="1"/>
    </xf>
    <xf numFmtId="188" fontId="26" fillId="2" borderId="57" xfId="0" applyNumberFormat="1" applyFont="1" applyFill="1" applyBorder="1" applyAlignment="1" applyProtection="1">
      <alignment horizontal="center" vertical="center" wrapText="1"/>
    </xf>
    <xf numFmtId="0" fontId="26" fillId="2" borderId="22" xfId="0" applyFont="1" applyFill="1" applyBorder="1" applyAlignment="1" applyProtection="1">
      <alignment vertical="center" wrapText="1"/>
    </xf>
    <xf numFmtId="0" fontId="26" fillId="2" borderId="24" xfId="0" applyFont="1" applyFill="1" applyBorder="1" applyAlignment="1" applyProtection="1">
      <alignment vertical="center"/>
    </xf>
    <xf numFmtId="0" fontId="13" fillId="2" borderId="74" xfId="0" applyFont="1" applyFill="1" applyBorder="1" applyAlignment="1" applyProtection="1">
      <alignment vertical="center" wrapText="1"/>
    </xf>
    <xf numFmtId="0" fontId="18" fillId="2" borderId="14" xfId="0" applyFont="1" applyFill="1" applyBorder="1" applyAlignment="1" applyProtection="1">
      <alignment horizontal="left" vertical="center" wrapText="1"/>
    </xf>
    <xf numFmtId="0" fontId="25" fillId="2" borderId="51" xfId="0" applyFont="1" applyFill="1" applyBorder="1" applyAlignment="1" applyProtection="1">
      <alignment horizontal="center" vertical="center" wrapText="1"/>
    </xf>
    <xf numFmtId="0" fontId="25" fillId="2" borderId="10" xfId="0" applyFont="1" applyFill="1" applyBorder="1" applyAlignment="1" applyProtection="1">
      <alignment vertical="center" wrapText="1"/>
    </xf>
    <xf numFmtId="49" fontId="18" fillId="2" borderId="31" xfId="0" applyNumberFormat="1"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xf>
    <xf numFmtId="0" fontId="26" fillId="2" borderId="57" xfId="0" applyFont="1" applyFill="1" applyBorder="1" applyAlignment="1" applyProtection="1">
      <alignment vertical="center" wrapText="1"/>
    </xf>
    <xf numFmtId="0" fontId="25" fillId="2" borderId="0" xfId="0" applyFont="1" applyFill="1" applyBorder="1" applyAlignment="1" applyProtection="1">
      <alignment vertical="center" wrapText="1"/>
    </xf>
    <xf numFmtId="0" fontId="13" fillId="2" borderId="0" xfId="0" applyFont="1" applyFill="1" applyBorder="1" applyAlignment="1" applyProtection="1">
      <alignment horizontal="left" vertical="center" wrapText="1"/>
    </xf>
    <xf numFmtId="0" fontId="25" fillId="2" borderId="58" xfId="0" applyFont="1" applyFill="1" applyBorder="1" applyAlignment="1" applyProtection="1">
      <alignment horizontal="center" vertical="center" wrapText="1"/>
    </xf>
    <xf numFmtId="0" fontId="26" fillId="2" borderId="68" xfId="0" applyFont="1" applyFill="1" applyBorder="1" applyAlignment="1" applyProtection="1">
      <alignment vertical="center" wrapText="1"/>
    </xf>
    <xf numFmtId="0" fontId="26" fillId="2" borderId="19" xfId="0" applyFont="1" applyFill="1" applyBorder="1" applyAlignment="1" applyProtection="1">
      <alignment vertical="center" wrapText="1"/>
    </xf>
    <xf numFmtId="0" fontId="25" fillId="2" borderId="19" xfId="0" applyFont="1" applyFill="1" applyBorder="1" applyAlignment="1" applyProtection="1">
      <alignment vertical="center" wrapText="1"/>
    </xf>
    <xf numFmtId="49" fontId="18" fillId="2" borderId="29" xfId="0" applyNumberFormat="1" applyFont="1" applyFill="1" applyBorder="1" applyAlignment="1" applyProtection="1">
      <alignment horizontal="center" vertical="center" wrapText="1"/>
    </xf>
    <xf numFmtId="0" fontId="25" fillId="2" borderId="13" xfId="0" applyFont="1" applyFill="1" applyBorder="1" applyAlignment="1" applyProtection="1">
      <alignment vertical="center" wrapText="1"/>
    </xf>
    <xf numFmtId="0" fontId="18" fillId="2" borderId="56" xfId="0" applyFont="1" applyFill="1" applyBorder="1" applyAlignment="1" applyProtection="1">
      <alignment horizontal="center" vertical="center" wrapText="1"/>
    </xf>
    <xf numFmtId="0" fontId="18" fillId="2" borderId="14" xfId="0" applyFont="1" applyFill="1" applyBorder="1" applyAlignment="1" applyProtection="1">
      <alignment horizontal="center" vertical="center" wrapText="1"/>
    </xf>
    <xf numFmtId="0" fontId="25" fillId="2" borderId="14" xfId="0" applyFont="1" applyFill="1" applyBorder="1" applyAlignment="1" applyProtection="1">
      <alignment vertical="center" wrapText="1"/>
    </xf>
    <xf numFmtId="0" fontId="26" fillId="2" borderId="31" xfId="0" applyFont="1" applyFill="1" applyBorder="1" applyAlignment="1" applyProtection="1">
      <alignment horizontal="center" vertical="center" wrapText="1"/>
    </xf>
    <xf numFmtId="0" fontId="26" fillId="2" borderId="4" xfId="0" applyFont="1" applyFill="1" applyBorder="1" applyAlignment="1" applyProtection="1">
      <alignment horizontal="left" vertical="center" wrapText="1"/>
    </xf>
    <xf numFmtId="0" fontId="25" fillId="2" borderId="1" xfId="0" applyFont="1" applyFill="1" applyBorder="1" applyAlignment="1" applyProtection="1">
      <alignment horizontal="center" vertical="center" wrapText="1"/>
    </xf>
    <xf numFmtId="0" fontId="26" fillId="0" borderId="1" xfId="0" applyFont="1" applyBorder="1" applyAlignment="1" applyProtection="1">
      <alignment vertical="center" wrapText="1"/>
      <protection locked="0"/>
    </xf>
    <xf numFmtId="0" fontId="6" fillId="2" borderId="2" xfId="0" applyFont="1" applyFill="1" applyBorder="1" applyAlignment="1" applyProtection="1">
      <alignment vertical="center"/>
    </xf>
    <xf numFmtId="0" fontId="6" fillId="2" borderId="3" xfId="0" applyFont="1" applyFill="1" applyBorder="1" applyAlignment="1" applyProtection="1">
      <alignment vertical="center"/>
    </xf>
    <xf numFmtId="0" fontId="25" fillId="2" borderId="35" xfId="0" applyFont="1" applyFill="1" applyBorder="1" applyAlignment="1" applyProtection="1">
      <alignment vertical="center" wrapText="1"/>
    </xf>
    <xf numFmtId="0" fontId="26" fillId="2" borderId="49" xfId="0" applyFont="1" applyFill="1" applyBorder="1" applyAlignment="1" applyProtection="1">
      <alignment horizontal="left" vertical="center" wrapText="1"/>
    </xf>
    <xf numFmtId="0" fontId="26" fillId="0" borderId="8" xfId="0" applyFont="1" applyBorder="1" applyAlignment="1" applyProtection="1">
      <alignment vertical="center" wrapText="1"/>
      <protection locked="0"/>
    </xf>
    <xf numFmtId="0" fontId="26" fillId="2" borderId="8" xfId="0" applyFont="1" applyFill="1" applyBorder="1" applyAlignment="1" applyProtection="1">
      <alignment vertical="center"/>
    </xf>
    <xf numFmtId="0" fontId="26" fillId="2" borderId="54" xfId="0" applyFont="1" applyFill="1" applyBorder="1" applyAlignment="1" applyProtection="1">
      <alignment vertical="center" wrapText="1"/>
    </xf>
    <xf numFmtId="0" fontId="25" fillId="2" borderId="29" xfId="0" applyFont="1" applyFill="1" applyBorder="1" applyAlignment="1" applyProtection="1">
      <alignment vertical="center" wrapText="1"/>
    </xf>
    <xf numFmtId="0" fontId="25" fillId="2" borderId="40" xfId="0" applyFont="1" applyFill="1" applyBorder="1" applyAlignment="1" applyProtection="1">
      <alignment horizontal="left" vertical="center" wrapText="1"/>
    </xf>
    <xf numFmtId="0" fontId="26" fillId="2" borderId="51" xfId="0" applyFont="1" applyFill="1" applyBorder="1" applyAlignment="1" applyProtection="1">
      <alignment vertical="center"/>
    </xf>
    <xf numFmtId="0" fontId="25" fillId="2" borderId="43" xfId="0" applyFont="1" applyFill="1" applyBorder="1" applyAlignment="1" applyProtection="1">
      <alignment vertical="center" wrapText="1"/>
    </xf>
    <xf numFmtId="0" fontId="18" fillId="2" borderId="60" xfId="0" applyFont="1" applyFill="1" applyBorder="1" applyAlignment="1" applyProtection="1">
      <alignment horizontal="center" vertical="center" wrapText="1"/>
    </xf>
    <xf numFmtId="0" fontId="79" fillId="2" borderId="7" xfId="0" applyFont="1" applyFill="1" applyBorder="1" applyAlignment="1" applyProtection="1">
      <alignment vertical="center" wrapText="1"/>
    </xf>
    <xf numFmtId="0" fontId="6" fillId="2" borderId="43" xfId="0" applyFont="1" applyFill="1" applyBorder="1" applyAlignment="1" applyProtection="1">
      <alignment horizontal="center" vertical="center" wrapText="1"/>
    </xf>
    <xf numFmtId="0" fontId="79" fillId="2" borderId="58" xfId="0" applyFont="1" applyFill="1" applyBorder="1" applyAlignment="1" applyProtection="1">
      <alignment vertical="center" wrapText="1"/>
    </xf>
    <xf numFmtId="0" fontId="79" fillId="2" borderId="60" xfId="0" applyFont="1" applyFill="1" applyBorder="1" applyAlignment="1" applyProtection="1">
      <alignment vertical="center" wrapText="1"/>
    </xf>
    <xf numFmtId="0" fontId="25" fillId="2" borderId="31" xfId="0" applyFont="1" applyFill="1" applyBorder="1" applyAlignment="1" applyProtection="1">
      <alignment vertical="center" wrapText="1"/>
    </xf>
    <xf numFmtId="0" fontId="6" fillId="2" borderId="49"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6" fillId="11" borderId="0" xfId="0" applyFont="1" applyFill="1" applyAlignment="1" applyProtection="1">
      <alignment horizontal="center" vertical="center" wrapText="1"/>
      <protection locked="0"/>
    </xf>
    <xf numFmtId="0" fontId="37" fillId="2" borderId="1" xfId="0" applyFont="1" applyFill="1" applyBorder="1" applyAlignment="1" applyProtection="1">
      <alignment vertical="center" wrapText="1"/>
    </xf>
    <xf numFmtId="180" fontId="6" fillId="2" borderId="1" xfId="0" applyNumberFormat="1" applyFont="1" applyFill="1" applyBorder="1" applyAlignment="1" applyProtection="1">
      <alignment horizontal="center" vertical="center" wrapText="1"/>
    </xf>
    <xf numFmtId="0" fontId="26" fillId="0" borderId="1" xfId="0" applyFont="1" applyFill="1" applyBorder="1" applyAlignment="1" applyProtection="1">
      <alignment horizontal="center" vertical="center" wrapText="1"/>
      <protection locked="0"/>
    </xf>
    <xf numFmtId="0" fontId="26" fillId="11" borderId="0" xfId="0" applyFont="1" applyFill="1" applyAlignment="1" applyProtection="1">
      <alignment horizontal="left" vertical="center" wrapText="1"/>
      <protection locked="0"/>
    </xf>
    <xf numFmtId="0" fontId="80" fillId="2" borderId="0" xfId="0" applyFont="1" applyFill="1" applyProtection="1">
      <alignment vertical="center"/>
    </xf>
    <xf numFmtId="188" fontId="23" fillId="2" borderId="0" xfId="0" applyNumberFormat="1" applyFont="1" applyFill="1" applyAlignment="1" applyProtection="1">
      <alignment horizontal="center" vertical="center" wrapText="1"/>
    </xf>
    <xf numFmtId="0" fontId="23" fillId="2" borderId="0" xfId="0" applyFont="1" applyFill="1" applyProtection="1">
      <alignment vertical="center"/>
    </xf>
    <xf numFmtId="0" fontId="23" fillId="2" borderId="0" xfId="0" applyFont="1" applyFill="1" applyAlignment="1" applyProtection="1">
      <alignment horizontal="center" vertical="center"/>
    </xf>
    <xf numFmtId="0" fontId="80" fillId="2" borderId="30" xfId="0" applyFont="1" applyFill="1" applyBorder="1" applyAlignment="1" applyProtection="1">
      <alignment vertical="center"/>
    </xf>
    <xf numFmtId="188" fontId="81" fillId="2" borderId="10" xfId="0" applyNumberFormat="1" applyFont="1" applyFill="1" applyBorder="1" applyAlignment="1" applyProtection="1">
      <alignment horizontal="center" vertical="center" wrapText="1"/>
    </xf>
    <xf numFmtId="0" fontId="23" fillId="2" borderId="10" xfId="0" applyFont="1" applyFill="1" applyBorder="1" applyProtection="1">
      <alignment vertical="center"/>
    </xf>
    <xf numFmtId="0" fontId="80" fillId="2" borderId="51" xfId="0" applyFont="1" applyFill="1" applyBorder="1" applyAlignment="1" applyProtection="1">
      <alignment vertical="center"/>
    </xf>
    <xf numFmtId="0" fontId="80" fillId="2" borderId="52" xfId="0" applyFont="1" applyFill="1" applyBorder="1" applyAlignment="1" applyProtection="1">
      <alignment horizontal="center" vertical="center"/>
    </xf>
    <xf numFmtId="0" fontId="80" fillId="2" borderId="0" xfId="0" applyFont="1" applyFill="1" applyBorder="1" applyAlignment="1" applyProtection="1">
      <alignment horizontal="center" vertical="center"/>
    </xf>
    <xf numFmtId="0" fontId="6" fillId="2" borderId="16" xfId="0" applyFont="1" applyFill="1" applyBorder="1" applyAlignment="1" applyProtection="1">
      <alignment horizontal="center" vertical="center" wrapText="1"/>
    </xf>
    <xf numFmtId="0" fontId="6" fillId="2" borderId="1" xfId="0" applyFont="1" applyFill="1" applyBorder="1" applyAlignment="1" applyProtection="1">
      <alignment horizontal="center" vertical="center" wrapText="1"/>
    </xf>
    <xf numFmtId="0" fontId="26" fillId="2" borderId="17" xfId="0" applyFont="1" applyFill="1" applyBorder="1" applyAlignment="1" applyProtection="1">
      <alignment horizontal="center" vertical="center" wrapText="1"/>
    </xf>
    <xf numFmtId="0" fontId="67" fillId="2" borderId="57" xfId="0" applyFont="1" applyFill="1" applyBorder="1" applyAlignment="1" applyProtection="1">
      <alignment horizontal="center" vertical="center" wrapText="1"/>
    </xf>
    <xf numFmtId="0" fontId="67" fillId="2" borderId="1" xfId="0" applyFont="1" applyFill="1" applyBorder="1" applyAlignment="1" applyProtection="1">
      <alignment horizontal="center" vertical="center" wrapText="1"/>
    </xf>
    <xf numFmtId="49" fontId="6" fillId="2" borderId="1" xfId="0" applyNumberFormat="1" applyFont="1" applyFill="1" applyBorder="1" applyAlignment="1" applyProtection="1">
      <alignment horizontal="center" vertical="center" wrapText="1"/>
    </xf>
    <xf numFmtId="10" fontId="6" fillId="2" borderId="1" xfId="0" applyNumberFormat="1" applyFont="1" applyFill="1" applyBorder="1" applyAlignment="1" applyProtection="1">
      <alignment horizontal="center" vertical="center" wrapText="1"/>
    </xf>
    <xf numFmtId="10" fontId="26" fillId="2" borderId="21" xfId="0" applyNumberFormat="1" applyFont="1" applyFill="1" applyBorder="1" applyAlignment="1" applyProtection="1">
      <alignment horizontal="center" vertical="center" wrapText="1"/>
    </xf>
    <xf numFmtId="10" fontId="26" fillId="2" borderId="0" xfId="0" applyNumberFormat="1" applyFont="1" applyFill="1" applyBorder="1" applyAlignment="1" applyProtection="1">
      <alignment horizontal="center" vertical="center" wrapText="1"/>
    </xf>
    <xf numFmtId="10" fontId="23" fillId="0" borderId="1" xfId="0" applyNumberFormat="1" applyFont="1" applyBorder="1" applyAlignment="1" applyProtection="1">
      <alignment horizontal="center" vertical="center"/>
      <protection locked="0"/>
    </xf>
    <xf numFmtId="10" fontId="23" fillId="2" borderId="1" xfId="0" applyNumberFormat="1" applyFont="1" applyFill="1" applyBorder="1" applyAlignment="1" applyProtection="1">
      <alignment horizontal="center" vertical="center"/>
    </xf>
    <xf numFmtId="0" fontId="6" fillId="2" borderId="1" xfId="0" applyNumberFormat="1" applyFont="1" applyFill="1" applyBorder="1" applyAlignment="1" applyProtection="1">
      <alignment horizontal="center" vertical="center" wrapText="1"/>
    </xf>
    <xf numFmtId="10" fontId="26" fillId="2" borderId="44" xfId="0" applyNumberFormat="1" applyFont="1" applyFill="1" applyBorder="1" applyAlignment="1" applyProtection="1">
      <alignment vertical="center" wrapText="1"/>
    </xf>
    <xf numFmtId="0" fontId="63" fillId="0" borderId="1" xfId="0" applyNumberFormat="1" applyFont="1" applyFill="1" applyBorder="1" applyAlignment="1" applyProtection="1">
      <alignment horizontal="center" vertical="center" wrapText="1"/>
      <protection locked="0"/>
    </xf>
    <xf numFmtId="0" fontId="63" fillId="0" borderId="7" xfId="0" applyNumberFormat="1" applyFont="1" applyFill="1" applyBorder="1" applyAlignment="1" applyProtection="1">
      <alignment horizontal="center" vertical="center" wrapText="1"/>
      <protection locked="0"/>
    </xf>
    <xf numFmtId="0" fontId="6" fillId="2" borderId="34" xfId="0" applyFont="1" applyFill="1" applyBorder="1" applyAlignment="1" applyProtection="1">
      <alignment horizontal="center" vertical="center" wrapText="1"/>
    </xf>
    <xf numFmtId="0" fontId="6" fillId="2" borderId="48" xfId="0" applyFont="1" applyFill="1" applyBorder="1" applyAlignment="1" applyProtection="1">
      <alignment horizontal="center" vertical="center" wrapText="1"/>
    </xf>
    <xf numFmtId="49" fontId="6" fillId="2" borderId="62" xfId="0" applyNumberFormat="1" applyFont="1" applyFill="1" applyBorder="1" applyAlignment="1" applyProtection="1">
      <alignment horizontal="center" vertical="center" wrapText="1"/>
    </xf>
    <xf numFmtId="10" fontId="26" fillId="2" borderId="69" xfId="0" applyNumberFormat="1" applyFont="1" applyFill="1" applyBorder="1" applyAlignment="1" applyProtection="1">
      <alignment vertical="center" wrapText="1"/>
    </xf>
    <xf numFmtId="0" fontId="23" fillId="2" borderId="11" xfId="0" applyNumberFormat="1" applyFont="1" applyFill="1" applyBorder="1" applyAlignment="1" applyProtection="1">
      <alignment horizontal="center" vertical="center"/>
    </xf>
    <xf numFmtId="0" fontId="23" fillId="2" borderId="14" xfId="0" applyNumberFormat="1" applyFont="1" applyFill="1" applyBorder="1" applyProtection="1">
      <alignment vertical="center"/>
    </xf>
    <xf numFmtId="10" fontId="26" fillId="2" borderId="1" xfId="0" applyNumberFormat="1" applyFont="1" applyFill="1" applyBorder="1" applyAlignment="1" applyProtection="1">
      <alignment vertical="center" wrapText="1"/>
    </xf>
    <xf numFmtId="0" fontId="26" fillId="2" borderId="0" xfId="0" applyNumberFormat="1" applyFont="1" applyFill="1" applyAlignment="1" applyProtection="1">
      <alignment vertical="center" wrapText="1"/>
    </xf>
    <xf numFmtId="0" fontId="23" fillId="2" borderId="16" xfId="0" applyNumberFormat="1" applyFont="1" applyFill="1" applyBorder="1" applyAlignment="1" applyProtection="1">
      <alignment horizontal="center" vertical="center"/>
    </xf>
    <xf numFmtId="0" fontId="23" fillId="2" borderId="2" xfId="0" applyNumberFormat="1" applyFont="1" applyFill="1" applyBorder="1" applyProtection="1">
      <alignment vertical="center"/>
    </xf>
    <xf numFmtId="181" fontId="13" fillId="0" borderId="1" xfId="0" applyNumberFormat="1" applyFont="1" applyFill="1" applyBorder="1" applyAlignment="1" applyProtection="1">
      <alignment horizontal="center" vertical="center" wrapText="1"/>
      <protection locked="0"/>
    </xf>
    <xf numFmtId="0" fontId="17" fillId="2" borderId="22" xfId="0" applyFont="1" applyFill="1" applyBorder="1" applyAlignment="1" applyProtection="1">
      <alignment horizontal="center" vertical="center" wrapText="1"/>
    </xf>
    <xf numFmtId="0" fontId="13" fillId="2" borderId="22" xfId="0" applyFont="1" applyFill="1" applyBorder="1" applyAlignment="1" applyProtection="1">
      <alignment vertical="center" wrapText="1"/>
    </xf>
    <xf numFmtId="0" fontId="13" fillId="11" borderId="0" xfId="0" applyFont="1" applyFill="1" applyAlignment="1" applyProtection="1">
      <alignment vertical="center"/>
      <protection locked="0"/>
    </xf>
    <xf numFmtId="0" fontId="26" fillId="2" borderId="125" xfId="0" applyFont="1" applyFill="1" applyBorder="1" applyAlignment="1" applyProtection="1">
      <alignment vertical="center" wrapText="1"/>
    </xf>
    <xf numFmtId="0" fontId="26" fillId="11" borderId="0" xfId="0" applyFont="1" applyFill="1" applyAlignment="1" applyProtection="1">
      <alignment vertical="center"/>
      <protection locked="0"/>
    </xf>
    <xf numFmtId="0" fontId="26" fillId="2" borderId="75" xfId="0" applyFont="1" applyFill="1" applyBorder="1" applyAlignment="1" applyProtection="1">
      <alignment vertical="center" wrapText="1"/>
    </xf>
    <xf numFmtId="0" fontId="26" fillId="2" borderId="59" xfId="0" applyFont="1" applyFill="1" applyBorder="1" applyAlignment="1" applyProtection="1">
      <alignment vertical="center" wrapText="1"/>
    </xf>
    <xf numFmtId="0" fontId="26" fillId="2" borderId="88" xfId="0" applyFont="1" applyFill="1" applyBorder="1" applyAlignment="1" applyProtection="1">
      <alignment vertical="center" wrapText="1"/>
    </xf>
    <xf numFmtId="0" fontId="26" fillId="2" borderId="52" xfId="0" applyFont="1" applyFill="1" applyBorder="1" applyAlignment="1" applyProtection="1">
      <alignment vertical="center" wrapText="1"/>
    </xf>
    <xf numFmtId="0" fontId="23" fillId="2" borderId="48" xfId="0" applyNumberFormat="1" applyFont="1" applyFill="1" applyBorder="1" applyAlignment="1" applyProtection="1">
      <alignment horizontal="center" vertical="center"/>
    </xf>
    <xf numFmtId="0" fontId="23" fillId="2" borderId="36" xfId="0" applyNumberFormat="1" applyFont="1" applyFill="1" applyBorder="1" applyProtection="1">
      <alignment vertical="center"/>
    </xf>
    <xf numFmtId="0" fontId="26" fillId="0" borderId="17" xfId="0" applyFont="1" applyFill="1" applyBorder="1" applyAlignment="1" applyProtection="1">
      <alignment horizontal="center" vertical="center" wrapText="1"/>
      <protection locked="0"/>
    </xf>
    <xf numFmtId="0" fontId="67" fillId="2" borderId="47" xfId="0" applyFont="1" applyFill="1" applyBorder="1" applyAlignment="1" applyProtection="1">
      <alignment vertical="center"/>
    </xf>
    <xf numFmtId="0" fontId="67" fillId="2" borderId="33" xfId="0" applyFont="1" applyFill="1" applyBorder="1" applyAlignment="1" applyProtection="1">
      <alignment vertical="center"/>
    </xf>
    <xf numFmtId="0" fontId="26" fillId="0" borderId="38" xfId="0" applyFont="1" applyFill="1" applyBorder="1" applyAlignment="1" applyProtection="1">
      <alignment horizontal="center" vertical="center" wrapText="1"/>
      <protection locked="0"/>
    </xf>
    <xf numFmtId="0" fontId="26" fillId="7" borderId="14" xfId="0" applyFont="1" applyFill="1" applyBorder="1" applyAlignment="1" applyProtection="1">
      <alignment horizontal="center" vertical="center" wrapText="1"/>
      <protection locked="0"/>
    </xf>
    <xf numFmtId="0" fontId="26" fillId="7" borderId="12" xfId="0" applyFont="1" applyFill="1" applyBorder="1" applyAlignment="1" applyProtection="1">
      <alignment horizontal="center" vertical="center" wrapText="1"/>
      <protection locked="0"/>
    </xf>
    <xf numFmtId="0" fontId="26" fillId="2" borderId="68" xfId="0" applyFont="1" applyFill="1" applyBorder="1" applyAlignment="1" applyProtection="1">
      <alignment horizontal="center" vertical="center" wrapText="1"/>
    </xf>
    <xf numFmtId="0" fontId="26" fillId="2" borderId="69" xfId="0" applyFont="1" applyFill="1" applyBorder="1" applyAlignment="1" applyProtection="1">
      <alignment horizontal="center" vertical="center" wrapText="1"/>
    </xf>
    <xf numFmtId="0" fontId="13" fillId="2" borderId="55" xfId="0" applyFont="1" applyFill="1" applyBorder="1" applyAlignment="1" applyProtection="1">
      <alignment vertical="center" wrapText="1"/>
    </xf>
    <xf numFmtId="0" fontId="13" fillId="11" borderId="0" xfId="0" applyFont="1" applyFill="1" applyAlignment="1" applyProtection="1">
      <alignment vertical="center" wrapText="1"/>
      <protection locked="0"/>
    </xf>
    <xf numFmtId="0" fontId="13" fillId="0" borderId="0" xfId="0" applyFont="1" applyAlignment="1" applyProtection="1">
      <alignment vertical="center" wrapText="1"/>
      <protection locked="0"/>
    </xf>
    <xf numFmtId="14" fontId="26" fillId="11" borderId="0" xfId="0" applyNumberFormat="1" applyFont="1" applyFill="1" applyAlignment="1" applyProtection="1">
      <alignment horizontal="center" vertical="center" wrapText="1"/>
      <protection locked="0"/>
    </xf>
    <xf numFmtId="10" fontId="13" fillId="2" borderId="24" xfId="0" applyNumberFormat="1" applyFont="1" applyFill="1" applyBorder="1" applyAlignment="1" applyProtection="1">
      <alignment horizontal="center" vertical="center" wrapText="1"/>
    </xf>
    <xf numFmtId="0" fontId="13" fillId="2" borderId="125" xfId="0" applyFont="1" applyFill="1" applyBorder="1" applyAlignment="1" applyProtection="1">
      <alignment vertical="center" wrapText="1"/>
    </xf>
    <xf numFmtId="0" fontId="13" fillId="2" borderId="11" xfId="0" applyFont="1" applyFill="1" applyBorder="1" applyAlignment="1" applyProtection="1">
      <alignment vertical="center" wrapText="1"/>
    </xf>
    <xf numFmtId="0" fontId="29" fillId="2" borderId="12" xfId="0" applyFont="1" applyFill="1" applyBorder="1" applyAlignment="1" applyProtection="1">
      <alignment horizontal="center" vertical="center" wrapText="1"/>
    </xf>
    <xf numFmtId="0" fontId="26" fillId="2" borderId="24" xfId="0" applyFont="1" applyFill="1" applyBorder="1" applyAlignment="1" applyProtection="1">
      <alignment horizontal="center" vertical="center" wrapText="1"/>
    </xf>
    <xf numFmtId="0" fontId="6" fillId="2" borderId="26" xfId="0" applyFont="1" applyFill="1" applyBorder="1" applyAlignment="1" applyProtection="1">
      <alignment horizontal="center" vertical="center" wrapText="1"/>
    </xf>
    <xf numFmtId="0" fontId="26" fillId="11" borderId="0" xfId="0" applyNumberFormat="1" applyFont="1" applyFill="1" applyAlignment="1" applyProtection="1">
      <alignment horizontal="center" vertical="center" wrapText="1"/>
      <protection locked="0"/>
    </xf>
    <xf numFmtId="0" fontId="26" fillId="2" borderId="39" xfId="0" applyFont="1" applyFill="1" applyBorder="1" applyAlignment="1" applyProtection="1">
      <alignment horizontal="center" vertical="center" wrapText="1"/>
    </xf>
    <xf numFmtId="0" fontId="13" fillId="2" borderId="48" xfId="0" applyFont="1" applyFill="1" applyBorder="1" applyAlignment="1" applyProtection="1">
      <alignment vertical="center" wrapText="1"/>
    </xf>
    <xf numFmtId="0" fontId="29" fillId="2" borderId="38" xfId="0" applyFont="1" applyFill="1" applyBorder="1" applyAlignment="1" applyProtection="1">
      <alignment horizontal="center" vertical="center" wrapText="1"/>
    </xf>
    <xf numFmtId="0" fontId="13" fillId="2" borderId="10" xfId="53" applyFont="1" applyFill="1" applyBorder="1" applyAlignment="1" applyProtection="1">
      <alignment horizontal="center" vertical="center" wrapText="1"/>
      <protection locked="0"/>
    </xf>
    <xf numFmtId="0" fontId="13" fillId="2" borderId="56" xfId="53" applyFont="1" applyFill="1" applyBorder="1" applyAlignment="1" applyProtection="1">
      <alignment vertical="center" wrapText="1"/>
      <protection locked="0"/>
    </xf>
    <xf numFmtId="0" fontId="13" fillId="2" borderId="75" xfId="53" applyFont="1" applyFill="1" applyBorder="1" applyAlignment="1" applyProtection="1">
      <alignment vertical="center"/>
      <protection locked="0"/>
    </xf>
    <xf numFmtId="0" fontId="13" fillId="2" borderId="12" xfId="0" applyFont="1" applyFill="1" applyBorder="1" applyAlignment="1" applyProtection="1">
      <alignment vertical="center" wrapText="1"/>
    </xf>
    <xf numFmtId="0" fontId="13" fillId="2" borderId="16" xfId="53" applyFont="1" applyFill="1" applyBorder="1" applyAlignment="1" applyProtection="1">
      <alignment horizontal="center" vertical="center" wrapText="1"/>
    </xf>
    <xf numFmtId="10" fontId="13" fillId="0" borderId="4" xfId="53" applyNumberFormat="1" applyFont="1" applyFill="1" applyBorder="1" applyAlignment="1" applyProtection="1">
      <alignment horizontal="center" vertical="center" wrapText="1"/>
      <protection locked="0"/>
    </xf>
    <xf numFmtId="10" fontId="26" fillId="2" borderId="17" xfId="53" applyNumberFormat="1" applyFont="1" applyFill="1" applyBorder="1" applyAlignment="1" applyProtection="1">
      <alignment horizontal="center" vertical="center" wrapText="1"/>
    </xf>
    <xf numFmtId="0" fontId="13" fillId="2" borderId="17" xfId="0" applyFont="1" applyFill="1" applyBorder="1" applyAlignment="1" applyProtection="1">
      <alignment horizontal="center" vertical="center" wrapText="1"/>
    </xf>
    <xf numFmtId="0" fontId="13" fillId="2" borderId="7" xfId="0" applyFont="1" applyFill="1" applyBorder="1" applyAlignment="1" applyProtection="1">
      <alignment vertical="center" wrapText="1"/>
    </xf>
    <xf numFmtId="0" fontId="13" fillId="2" borderId="21" xfId="0" applyFont="1" applyFill="1" applyBorder="1" applyAlignment="1" applyProtection="1">
      <alignment vertical="center" wrapText="1"/>
    </xf>
    <xf numFmtId="0" fontId="13" fillId="2" borderId="26" xfId="0" applyFont="1" applyFill="1" applyBorder="1" applyAlignment="1" applyProtection="1">
      <alignment vertical="center" wrapText="1"/>
    </xf>
    <xf numFmtId="0" fontId="13" fillId="2" borderId="48" xfId="53" applyFont="1" applyFill="1" applyBorder="1" applyAlignment="1" applyProtection="1">
      <alignment horizontal="center" vertical="center" wrapText="1"/>
    </xf>
    <xf numFmtId="10" fontId="13" fillId="0" borderId="49" xfId="53" applyNumberFormat="1" applyFont="1" applyFill="1" applyBorder="1" applyAlignment="1" applyProtection="1">
      <alignment horizontal="center" vertical="center" wrapText="1"/>
      <protection locked="0"/>
    </xf>
    <xf numFmtId="10" fontId="26" fillId="2" borderId="38" xfId="53" applyNumberFormat="1" applyFont="1" applyFill="1" applyBorder="1" applyAlignment="1" applyProtection="1">
      <alignment horizontal="center" vertical="center" wrapText="1"/>
    </xf>
    <xf numFmtId="0" fontId="13" fillId="2" borderId="29" xfId="53" applyFont="1" applyFill="1" applyBorder="1" applyAlignment="1" applyProtection="1">
      <alignment horizontal="center" vertical="center" wrapText="1"/>
      <protection locked="0"/>
    </xf>
    <xf numFmtId="0" fontId="13" fillId="2" borderId="0" xfId="53" applyFont="1" applyFill="1" applyBorder="1" applyAlignment="1" applyProtection="1">
      <alignment vertical="center" wrapText="1"/>
      <protection locked="0"/>
    </xf>
    <xf numFmtId="10" fontId="26" fillId="2" borderId="21" xfId="53" applyNumberFormat="1" applyFont="1" applyFill="1" applyBorder="1" applyAlignment="1" applyProtection="1">
      <alignment horizontal="center" vertical="center" wrapText="1"/>
    </xf>
    <xf numFmtId="0" fontId="26" fillId="2" borderId="41" xfId="0" applyFont="1" applyFill="1" applyBorder="1" applyAlignment="1" applyProtection="1">
      <alignment vertical="center" wrapText="1"/>
    </xf>
    <xf numFmtId="0" fontId="26" fillId="2" borderId="11" xfId="0" applyFont="1" applyFill="1" applyBorder="1" applyAlignment="1" applyProtection="1">
      <alignment horizontal="center" vertical="center" wrapText="1"/>
    </xf>
    <xf numFmtId="0" fontId="26" fillId="2" borderId="12" xfId="0" applyFont="1" applyFill="1" applyBorder="1" applyAlignment="1" applyProtection="1">
      <alignment horizontal="center" vertical="center" wrapText="1"/>
    </xf>
    <xf numFmtId="0" fontId="26" fillId="2" borderId="55" xfId="0" applyFont="1" applyFill="1" applyBorder="1" applyAlignment="1" applyProtection="1">
      <alignment vertical="center" wrapText="1"/>
    </xf>
    <xf numFmtId="0" fontId="26" fillId="2" borderId="16" xfId="0" applyFont="1" applyFill="1" applyBorder="1" applyAlignment="1" applyProtection="1">
      <alignment horizontal="center" vertical="center" wrapText="1"/>
    </xf>
    <xf numFmtId="9" fontId="26" fillId="2" borderId="17" xfId="0" applyNumberFormat="1" applyFont="1" applyFill="1" applyBorder="1" applyAlignment="1" applyProtection="1">
      <alignment horizontal="center" vertical="center" wrapText="1"/>
    </xf>
    <xf numFmtId="9" fontId="26" fillId="2" borderId="48" xfId="0" applyNumberFormat="1" applyFont="1" applyFill="1" applyBorder="1" applyAlignment="1" applyProtection="1">
      <alignment horizontal="center" vertical="center" wrapText="1"/>
    </xf>
    <xf numFmtId="10" fontId="26" fillId="2" borderId="8" xfId="0" applyNumberFormat="1" applyFont="1" applyFill="1" applyBorder="1" applyAlignment="1" applyProtection="1">
      <alignment horizontal="center" vertical="center" wrapText="1"/>
    </xf>
    <xf numFmtId="10" fontId="26" fillId="2" borderId="38" xfId="0" applyNumberFormat="1" applyFont="1" applyFill="1" applyBorder="1" applyAlignment="1" applyProtection="1">
      <alignment horizontal="center" vertical="center" wrapText="1"/>
    </xf>
    <xf numFmtId="0" fontId="6" fillId="2" borderId="59" xfId="0" applyFont="1" applyFill="1" applyBorder="1" applyAlignment="1" applyProtection="1">
      <alignment vertical="center"/>
    </xf>
    <xf numFmtId="0" fontId="26" fillId="2" borderId="53" xfId="0" applyFont="1" applyFill="1" applyBorder="1" applyAlignment="1" applyProtection="1">
      <alignment vertical="center" wrapText="1"/>
    </xf>
    <xf numFmtId="0" fontId="26" fillId="2" borderId="13" xfId="0" applyFont="1" applyFill="1" applyBorder="1" applyAlignment="1" applyProtection="1">
      <alignment vertical="center"/>
    </xf>
    <xf numFmtId="0" fontId="38" fillId="2" borderId="7" xfId="0" applyFont="1" applyFill="1" applyBorder="1" applyAlignment="1" applyProtection="1">
      <alignment vertical="center" wrapText="1"/>
    </xf>
    <xf numFmtId="0" fontId="26" fillId="2" borderId="41" xfId="0" applyFont="1" applyFill="1" applyBorder="1" applyAlignment="1" applyProtection="1">
      <alignment horizontal="center" vertical="center" wrapText="1"/>
    </xf>
    <xf numFmtId="0" fontId="26" fillId="2" borderId="9" xfId="0" applyFont="1" applyFill="1" applyBorder="1" applyAlignment="1" applyProtection="1">
      <alignment vertical="center"/>
      <protection locked="0"/>
    </xf>
    <xf numFmtId="0" fontId="26" fillId="2" borderId="75" xfId="0" applyFont="1" applyFill="1" applyBorder="1" applyAlignment="1" applyProtection="1">
      <alignment vertical="center" wrapText="1"/>
      <protection locked="0"/>
    </xf>
    <xf numFmtId="0" fontId="26" fillId="2" borderId="16" xfId="0" applyFont="1" applyFill="1" applyBorder="1" applyAlignment="1" applyProtection="1">
      <alignment vertical="center"/>
    </xf>
    <xf numFmtId="9" fontId="26" fillId="2" borderId="17" xfId="0" applyNumberFormat="1" applyFont="1" applyFill="1" applyBorder="1" applyAlignment="1" applyProtection="1">
      <alignment horizontal="center" vertical="center"/>
    </xf>
    <xf numFmtId="0" fontId="26" fillId="2" borderId="55" xfId="0" applyFont="1" applyFill="1" applyBorder="1" applyAlignment="1" applyProtection="1">
      <alignment horizontal="center" vertical="center" wrapText="1"/>
    </xf>
    <xf numFmtId="0" fontId="26" fillId="2" borderId="48" xfId="0" applyFont="1" applyFill="1" applyBorder="1" applyAlignment="1" applyProtection="1">
      <alignment vertical="center" wrapText="1"/>
    </xf>
    <xf numFmtId="9" fontId="26" fillId="2" borderId="38" xfId="0" applyNumberFormat="1" applyFont="1" applyFill="1" applyBorder="1" applyAlignment="1" applyProtection="1">
      <alignment horizontal="center" vertical="center" wrapText="1"/>
    </xf>
    <xf numFmtId="0" fontId="23" fillId="2" borderId="0" xfId="0" applyFont="1" applyFill="1" applyProtection="1">
      <alignment vertical="center"/>
      <protection locked="0"/>
    </xf>
    <xf numFmtId="9" fontId="6" fillId="2" borderId="1" xfId="0" applyNumberFormat="1" applyFont="1" applyFill="1" applyBorder="1" applyAlignment="1" applyProtection="1">
      <alignment horizontal="center" vertical="center" wrapText="1"/>
    </xf>
    <xf numFmtId="10" fontId="13" fillId="2" borderId="1" xfId="0" applyNumberFormat="1" applyFont="1" applyFill="1" applyBorder="1" applyAlignment="1" applyProtection="1">
      <alignment horizontal="center" vertical="center" wrapText="1"/>
    </xf>
    <xf numFmtId="9" fontId="6" fillId="2" borderId="8" xfId="0" applyNumberFormat="1" applyFont="1" applyFill="1" applyBorder="1" applyAlignment="1" applyProtection="1">
      <alignment horizontal="center" vertical="center" wrapText="1"/>
    </xf>
    <xf numFmtId="0" fontId="29" fillId="2" borderId="1" xfId="53" applyFont="1" applyFill="1" applyBorder="1" applyAlignment="1" applyProtection="1">
      <alignment horizontal="center" vertical="center" wrapText="1"/>
    </xf>
    <xf numFmtId="0" fontId="26" fillId="2" borderId="0" xfId="53" applyFont="1" applyFill="1" applyAlignment="1" applyProtection="1">
      <alignment vertical="center" wrapText="1"/>
      <protection locked="0"/>
    </xf>
    <xf numFmtId="0" fontId="29" fillId="0" borderId="1" xfId="53" applyFont="1" applyFill="1" applyBorder="1" applyAlignment="1" applyProtection="1">
      <alignment horizontal="center" vertical="center" wrapText="1"/>
      <protection locked="0"/>
    </xf>
    <xf numFmtId="0" fontId="26" fillId="2" borderId="4" xfId="53" applyFont="1" applyFill="1" applyBorder="1" applyAlignment="1" applyProtection="1">
      <alignment horizontal="center" vertical="center" wrapText="1"/>
      <protection locked="0"/>
    </xf>
    <xf numFmtId="0" fontId="26" fillId="2" borderId="1" xfId="53" applyFont="1" applyFill="1" applyBorder="1" applyAlignment="1" applyProtection="1">
      <alignment horizontal="center" vertical="center" wrapText="1"/>
      <protection locked="0"/>
    </xf>
    <xf numFmtId="0" fontId="26" fillId="2" borderId="3" xfId="53" applyFont="1" applyFill="1" applyBorder="1" applyAlignment="1" applyProtection="1">
      <alignment horizontal="right" vertical="center" wrapText="1"/>
      <protection locked="0"/>
    </xf>
    <xf numFmtId="0" fontId="26" fillId="2" borderId="4" xfId="53" applyFont="1" applyFill="1" applyBorder="1" applyAlignment="1" applyProtection="1">
      <alignment horizontal="right" vertical="center" wrapText="1"/>
      <protection locked="0"/>
    </xf>
    <xf numFmtId="182" fontId="6" fillId="2" borderId="1" xfId="53" applyNumberFormat="1" applyFont="1" applyFill="1" applyBorder="1" applyAlignment="1" applyProtection="1">
      <alignment horizontal="center" vertical="center"/>
    </xf>
    <xf numFmtId="0" fontId="26" fillId="2" borderId="1" xfId="53" applyFont="1" applyFill="1" applyBorder="1" applyAlignment="1" applyProtection="1">
      <alignment horizontal="center" vertical="center" wrapText="1"/>
    </xf>
    <xf numFmtId="0" fontId="6" fillId="2" borderId="1" xfId="53" applyFont="1" applyFill="1" applyBorder="1" applyAlignment="1" applyProtection="1">
      <alignment vertical="center" wrapText="1"/>
    </xf>
    <xf numFmtId="10" fontId="26" fillId="11" borderId="0" xfId="0" applyNumberFormat="1" applyFont="1" applyFill="1" applyAlignment="1" applyProtection="1">
      <alignment horizontal="center" vertical="center" wrapText="1"/>
      <protection locked="0"/>
    </xf>
    <xf numFmtId="0" fontId="26" fillId="2" borderId="0" xfId="53" applyFont="1" applyFill="1" applyAlignment="1" applyProtection="1">
      <alignment horizontal="center" vertical="center" wrapText="1"/>
      <protection locked="0"/>
    </xf>
    <xf numFmtId="0" fontId="26" fillId="11" borderId="0" xfId="53" applyFont="1" applyFill="1" applyAlignment="1" applyProtection="1">
      <alignment horizontal="center" vertical="center" wrapText="1"/>
    </xf>
    <xf numFmtId="0" fontId="13" fillId="2" borderId="0" xfId="53" applyFont="1" applyFill="1" applyAlignment="1" applyProtection="1">
      <alignment horizontal="center" vertical="center" wrapText="1"/>
      <protection locked="0"/>
    </xf>
    <xf numFmtId="0" fontId="13" fillId="11" borderId="0" xfId="53" applyFont="1" applyFill="1" applyAlignment="1" applyProtection="1">
      <alignment horizontal="center" vertical="center" wrapText="1"/>
    </xf>
    <xf numFmtId="179" fontId="26" fillId="2" borderId="1" xfId="53" applyNumberFormat="1" applyFont="1" applyFill="1" applyBorder="1" applyAlignment="1" applyProtection="1">
      <alignment horizontal="center" vertical="center" wrapText="1"/>
      <protection locked="0"/>
    </xf>
    <xf numFmtId="0" fontId="6" fillId="2" borderId="1" xfId="53" applyFont="1" applyFill="1" applyBorder="1" applyAlignment="1" applyProtection="1">
      <alignment horizontal="center" vertical="center"/>
    </xf>
    <xf numFmtId="181" fontId="67" fillId="0" borderId="1" xfId="53" applyNumberFormat="1" applyFont="1" applyFill="1" applyBorder="1" applyAlignment="1" applyProtection="1">
      <alignment horizontal="center" vertical="center"/>
      <protection locked="0"/>
    </xf>
    <xf numFmtId="181" fontId="67" fillId="2" borderId="1" xfId="53" applyNumberFormat="1" applyFont="1" applyFill="1" applyBorder="1" applyAlignment="1" applyProtection="1">
      <alignment horizontal="center" vertical="center"/>
    </xf>
    <xf numFmtId="188" fontId="67" fillId="2" borderId="1" xfId="53" applyNumberFormat="1" applyFont="1" applyFill="1" applyBorder="1" applyAlignment="1" applyProtection="1">
      <alignment horizontal="center" vertical="center" wrapText="1"/>
    </xf>
    <xf numFmtId="0" fontId="26" fillId="2" borderId="1" xfId="53" applyNumberFormat="1" applyFont="1" applyFill="1" applyBorder="1" applyAlignment="1" applyProtection="1">
      <alignment horizontal="center" vertical="center" wrapText="1"/>
    </xf>
    <xf numFmtId="0" fontId="26" fillId="11" borderId="0" xfId="53" applyFont="1" applyFill="1" applyAlignment="1" applyProtection="1">
      <alignment horizontal="center" vertical="center" wrapText="1"/>
      <protection locked="0"/>
    </xf>
    <xf numFmtId="0" fontId="26" fillId="0" borderId="0" xfId="53" applyFont="1" applyAlignment="1" applyProtection="1">
      <alignment horizontal="center" vertical="center" wrapText="1"/>
    </xf>
    <xf numFmtId="0" fontId="13" fillId="0" borderId="0" xfId="53" applyFont="1" applyAlignment="1" applyProtection="1">
      <alignment horizontal="center" vertical="center" wrapText="1"/>
    </xf>
    <xf numFmtId="0" fontId="26" fillId="0" borderId="0" xfId="53" applyFont="1" applyAlignment="1" applyProtection="1">
      <alignment horizontal="center" vertical="center" wrapText="1"/>
      <protection locked="0"/>
    </xf>
    <xf numFmtId="0" fontId="26" fillId="0" borderId="0" xfId="0" applyFont="1" applyAlignment="1" applyProtection="1">
      <alignment horizontal="center" vertical="center" wrapText="1"/>
      <protection locked="0"/>
    </xf>
    <xf numFmtId="10" fontId="26" fillId="0" borderId="0" xfId="0" applyNumberFormat="1" applyFont="1" applyAlignment="1" applyProtection="1">
      <alignment horizontal="center" vertical="center" wrapText="1"/>
      <protection locked="0"/>
    </xf>
    <xf numFmtId="0" fontId="13" fillId="0" borderId="0" xfId="0" applyFont="1" applyAlignment="1" applyProtection="1">
      <alignment horizontal="center" vertical="center" wrapText="1"/>
      <protection locked="0"/>
    </xf>
    <xf numFmtId="0" fontId="13" fillId="0" borderId="0" xfId="0" applyFont="1" applyAlignment="1" applyProtection="1">
      <alignment horizontal="center" vertical="center" wrapText="1"/>
    </xf>
    <xf numFmtId="49" fontId="6" fillId="2" borderId="8" xfId="0" applyNumberFormat="1" applyFont="1" applyFill="1" applyBorder="1" applyAlignment="1" applyProtection="1">
      <alignment horizontal="center" vertical="center" wrapText="1"/>
    </xf>
    <xf numFmtId="10" fontId="26" fillId="2" borderId="44" xfId="0" applyNumberFormat="1" applyFont="1" applyFill="1" applyBorder="1" applyAlignment="1" applyProtection="1">
      <alignment horizontal="center" vertical="center" wrapText="1"/>
    </xf>
    <xf numFmtId="0" fontId="63" fillId="0" borderId="8" xfId="0" applyNumberFormat="1" applyFont="1" applyFill="1" applyBorder="1" applyAlignment="1" applyProtection="1">
      <alignment horizontal="center" vertical="center" wrapText="1"/>
      <protection locked="0"/>
    </xf>
    <xf numFmtId="10" fontId="26" fillId="2" borderId="69" xfId="0" applyNumberFormat="1" applyFont="1" applyFill="1" applyBorder="1" applyAlignment="1" applyProtection="1">
      <alignment horizontal="center" vertical="center" wrapText="1"/>
    </xf>
    <xf numFmtId="0" fontId="6" fillId="2" borderId="8" xfId="0" applyNumberFormat="1" applyFont="1" applyFill="1" applyBorder="1" applyAlignment="1" applyProtection="1">
      <alignment horizontal="center" vertical="center" wrapText="1"/>
    </xf>
    <xf numFmtId="0" fontId="65" fillId="2" borderId="0" xfId="0" applyFont="1" applyFill="1" applyAlignment="1" applyProtection="1">
      <alignment horizontal="center" vertical="center"/>
    </xf>
    <xf numFmtId="0" fontId="6" fillId="2" borderId="7" xfId="0" applyFont="1" applyFill="1" applyBorder="1" applyAlignment="1" applyProtection="1">
      <alignment horizontal="center" vertical="center"/>
    </xf>
    <xf numFmtId="182" fontId="6" fillId="2" borderId="1" xfId="0" applyNumberFormat="1" applyFont="1" applyFill="1" applyBorder="1" applyAlignment="1" applyProtection="1">
      <alignment horizontal="center" vertical="center"/>
    </xf>
    <xf numFmtId="188" fontId="6" fillId="2" borderId="1" xfId="0" applyNumberFormat="1" applyFont="1" applyFill="1" applyBorder="1" applyAlignment="1" applyProtection="1">
      <alignment horizontal="center" vertical="center"/>
    </xf>
    <xf numFmtId="0" fontId="6" fillId="2" borderId="58" xfId="0" applyFont="1" applyFill="1" applyBorder="1" applyAlignment="1" applyProtection="1">
      <alignment horizontal="center" vertical="center"/>
    </xf>
    <xf numFmtId="181" fontId="67" fillId="2" borderId="1" xfId="0" applyNumberFormat="1" applyFont="1" applyFill="1" applyBorder="1" applyAlignment="1" applyProtection="1">
      <alignment horizontal="center" vertical="center"/>
    </xf>
    <xf numFmtId="0" fontId="6" fillId="2" borderId="60" xfId="0" applyFont="1" applyFill="1" applyBorder="1" applyAlignment="1" applyProtection="1">
      <alignment horizontal="center" vertical="center"/>
    </xf>
    <xf numFmtId="188" fontId="67" fillId="2" borderId="1" xfId="0" applyNumberFormat="1" applyFont="1" applyFill="1" applyBorder="1" applyAlignment="1" applyProtection="1">
      <alignment horizontal="center" vertical="center" wrapText="1"/>
    </xf>
    <xf numFmtId="182" fontId="6" fillId="2" borderId="60" xfId="0" applyNumberFormat="1" applyFont="1" applyFill="1" applyBorder="1" applyAlignment="1" applyProtection="1">
      <alignment horizontal="center" vertical="center" wrapText="1"/>
    </xf>
    <xf numFmtId="179" fontId="67" fillId="2" borderId="1" xfId="0" applyNumberFormat="1" applyFont="1" applyFill="1" applyBorder="1" applyAlignment="1" applyProtection="1">
      <alignment horizontal="center" vertical="center"/>
    </xf>
    <xf numFmtId="0" fontId="6" fillId="2" borderId="7" xfId="0" applyFont="1" applyFill="1" applyBorder="1" applyAlignment="1" applyProtection="1">
      <alignment horizontal="center" vertical="center" wrapText="1"/>
    </xf>
    <xf numFmtId="0" fontId="6" fillId="0" borderId="0" xfId="0" applyFont="1" applyAlignment="1" applyProtection="1">
      <alignment horizontal="left" vertical="center"/>
    </xf>
    <xf numFmtId="0" fontId="26" fillId="2" borderId="58" xfId="0" applyNumberFormat="1" applyFont="1" applyFill="1" applyBorder="1" applyAlignment="1" applyProtection="1">
      <alignment horizontal="center" vertical="center" wrapText="1"/>
    </xf>
    <xf numFmtId="179" fontId="67" fillId="2" borderId="58" xfId="0" applyNumberFormat="1" applyFont="1" applyFill="1" applyBorder="1" applyAlignment="1" applyProtection="1">
      <alignment horizontal="center" vertical="center" wrapText="1"/>
    </xf>
    <xf numFmtId="0" fontId="26" fillId="2" borderId="63" xfId="0" applyNumberFormat="1" applyFont="1" applyFill="1" applyBorder="1" applyAlignment="1" applyProtection="1">
      <alignment horizontal="center" vertical="center" wrapText="1"/>
    </xf>
    <xf numFmtId="0" fontId="67" fillId="2" borderId="10" xfId="0" applyNumberFormat="1" applyFont="1" applyFill="1" applyBorder="1" applyAlignment="1" applyProtection="1">
      <alignment horizontal="center" vertical="center" wrapText="1"/>
    </xf>
    <xf numFmtId="0" fontId="82" fillId="2" borderId="1" xfId="48" applyNumberFormat="1" applyFont="1" applyFill="1" applyBorder="1" applyAlignment="1" applyProtection="1">
      <alignment horizontal="center" vertical="center"/>
    </xf>
    <xf numFmtId="0" fontId="26" fillId="2" borderId="9" xfId="0" applyNumberFormat="1" applyFont="1" applyFill="1" applyBorder="1" applyAlignment="1" applyProtection="1">
      <alignment vertical="center" wrapText="1"/>
    </xf>
    <xf numFmtId="0" fontId="26" fillId="2" borderId="56" xfId="48" applyNumberFormat="1" applyFont="1" applyFill="1" applyBorder="1" applyAlignment="1" applyProtection="1">
      <alignment horizontal="center" vertical="center"/>
    </xf>
    <xf numFmtId="0" fontId="26" fillId="2" borderId="60" xfId="48" applyNumberFormat="1" applyFont="1" applyFill="1" applyBorder="1" applyAlignment="1" applyProtection="1">
      <alignment horizontal="center" vertical="center"/>
    </xf>
    <xf numFmtId="0" fontId="26" fillId="2" borderId="60" xfId="48" applyNumberFormat="1" applyFont="1" applyFill="1" applyBorder="1" applyAlignment="1" applyProtection="1">
      <alignment horizontal="center" vertical="center" wrapText="1"/>
    </xf>
    <xf numFmtId="0" fontId="26" fillId="2" borderId="16" xfId="0" applyNumberFormat="1" applyFont="1" applyFill="1" applyBorder="1" applyAlignment="1" applyProtection="1">
      <alignment horizontal="center" vertical="center" wrapText="1"/>
    </xf>
    <xf numFmtId="0" fontId="67" fillId="2" borderId="1" xfId="0" applyNumberFormat="1" applyFont="1" applyFill="1" applyBorder="1" applyAlignment="1" applyProtection="1">
      <alignment horizontal="center" vertical="center" wrapText="1"/>
    </xf>
    <xf numFmtId="0" fontId="26" fillId="2" borderId="48" xfId="0" applyNumberFormat="1" applyFont="1" applyFill="1" applyBorder="1" applyAlignment="1" applyProtection="1">
      <alignment horizontal="center" vertical="center" wrapText="1"/>
    </xf>
    <xf numFmtId="0" fontId="67" fillId="2" borderId="8" xfId="0" applyNumberFormat="1" applyFont="1" applyFill="1" applyBorder="1" applyAlignment="1" applyProtection="1">
      <alignment horizontal="center" vertical="center" wrapText="1"/>
    </xf>
    <xf numFmtId="0" fontId="6" fillId="2" borderId="4" xfId="0" applyFont="1" applyFill="1" applyBorder="1" applyAlignment="1" applyProtection="1">
      <alignment vertical="center"/>
    </xf>
    <xf numFmtId="0" fontId="6" fillId="2" borderId="0" xfId="0" applyFont="1" applyFill="1" applyBorder="1" applyAlignment="1" applyProtection="1">
      <alignment horizontal="center" vertical="center"/>
    </xf>
    <xf numFmtId="0" fontId="23" fillId="0" borderId="0" xfId="0" applyNumberFormat="1" applyFont="1" applyProtection="1">
      <alignment vertical="center"/>
    </xf>
    <xf numFmtId="0" fontId="26" fillId="2" borderId="63" xfId="48" applyNumberFormat="1" applyFont="1" applyFill="1" applyBorder="1" applyAlignment="1" applyProtection="1">
      <alignment horizontal="center" vertical="center"/>
    </xf>
    <xf numFmtId="0" fontId="26" fillId="2" borderId="39" xfId="48" applyNumberFormat="1" applyFont="1" applyFill="1" applyBorder="1" applyAlignment="1" applyProtection="1">
      <alignment horizontal="center" vertical="center"/>
    </xf>
    <xf numFmtId="0" fontId="67" fillId="2" borderId="17" xfId="0" applyNumberFormat="1" applyFont="1" applyFill="1" applyBorder="1" applyAlignment="1" applyProtection="1">
      <alignment horizontal="center" vertical="center" wrapText="1"/>
    </xf>
    <xf numFmtId="0" fontId="67" fillId="2" borderId="38" xfId="0" applyNumberFormat="1" applyFont="1" applyFill="1" applyBorder="1" applyAlignment="1" applyProtection="1">
      <alignment horizontal="center" vertical="center" wrapText="1"/>
    </xf>
    <xf numFmtId="0" fontId="17" fillId="2" borderId="0" xfId="0" applyFont="1" applyFill="1" applyBorder="1" applyAlignment="1" applyProtection="1">
      <alignment vertical="center"/>
      <protection locked="0"/>
    </xf>
    <xf numFmtId="0" fontId="19" fillId="0" borderId="20" xfId="0" applyFont="1" applyFill="1" applyBorder="1" applyAlignment="1" applyProtection="1">
      <alignment horizontal="center" vertical="center" wrapText="1"/>
      <protection locked="0"/>
    </xf>
    <xf numFmtId="0" fontId="19" fillId="0" borderId="21" xfId="0" applyFont="1" applyFill="1" applyBorder="1" applyAlignment="1" applyProtection="1">
      <alignment horizontal="center" vertical="center" wrapText="1"/>
      <protection locked="0"/>
    </xf>
    <xf numFmtId="0" fontId="19" fillId="0" borderId="22" xfId="0" applyFont="1" applyFill="1" applyBorder="1" applyAlignment="1" applyProtection="1">
      <alignment horizontal="center" vertical="center" wrapText="1"/>
      <protection locked="0"/>
    </xf>
    <xf numFmtId="0" fontId="19" fillId="0" borderId="5" xfId="0" applyFont="1" applyFill="1" applyBorder="1" applyAlignment="1" applyProtection="1">
      <alignment horizontal="center" vertical="center" wrapText="1"/>
      <protection locked="0"/>
    </xf>
    <xf numFmtId="49" fontId="8" fillId="0" borderId="32" xfId="0" applyNumberFormat="1" applyFont="1" applyFill="1" applyBorder="1" applyAlignment="1" applyProtection="1">
      <alignment horizontal="center" vertical="center" wrapText="1"/>
      <protection locked="0"/>
    </xf>
    <xf numFmtId="49" fontId="8" fillId="0" borderId="43" xfId="0" applyNumberFormat="1" applyFont="1" applyFill="1" applyBorder="1" applyAlignment="1" applyProtection="1">
      <alignment horizontal="center" vertical="center" wrapText="1"/>
      <protection locked="0"/>
    </xf>
    <xf numFmtId="0" fontId="8" fillId="2" borderId="73" xfId="0" applyFont="1" applyFill="1" applyBorder="1" applyAlignment="1" applyProtection="1">
      <alignment horizontal="center" vertical="center" wrapText="1"/>
    </xf>
    <xf numFmtId="49" fontId="13" fillId="2" borderId="29" xfId="0" applyNumberFormat="1" applyFont="1" applyFill="1" applyBorder="1" applyAlignment="1" applyProtection="1">
      <alignment horizontal="center" vertical="center" wrapText="1"/>
    </xf>
    <xf numFmtId="0" fontId="13" fillId="2" borderId="0" xfId="0" applyFont="1" applyFill="1" applyBorder="1" applyAlignment="1" applyProtection="1">
      <alignment horizontal="center" vertical="center"/>
    </xf>
    <xf numFmtId="0" fontId="8" fillId="2" borderId="5" xfId="0" applyFont="1" applyFill="1" applyBorder="1" applyAlignment="1" applyProtection="1">
      <alignment horizontal="center" vertical="center" wrapText="1"/>
    </xf>
    <xf numFmtId="0" fontId="13" fillId="3" borderId="31" xfId="0" applyNumberFormat="1" applyFont="1" applyFill="1" applyBorder="1" applyAlignment="1" applyProtection="1">
      <alignment horizontal="center" vertical="center" wrapText="1"/>
      <protection locked="0"/>
    </xf>
    <xf numFmtId="49" fontId="13" fillId="3" borderId="45" xfId="0" applyNumberFormat="1" applyFont="1" applyFill="1" applyBorder="1" applyAlignment="1" applyProtection="1">
      <alignment horizontal="center" vertical="center" wrapText="1"/>
      <protection locked="0"/>
    </xf>
    <xf numFmtId="49" fontId="13" fillId="0" borderId="22" xfId="0" applyNumberFormat="1" applyFont="1" applyFill="1" applyBorder="1" applyAlignment="1" applyProtection="1">
      <alignment horizontal="center" vertical="center" wrapText="1"/>
      <protection locked="0"/>
    </xf>
    <xf numFmtId="0" fontId="8" fillId="2" borderId="57" xfId="0" applyFont="1" applyFill="1" applyBorder="1" applyAlignment="1" applyProtection="1">
      <alignment horizontal="center" vertical="center" wrapText="1"/>
    </xf>
    <xf numFmtId="49" fontId="13" fillId="3" borderId="32" xfId="0" applyNumberFormat="1" applyFont="1" applyFill="1" applyBorder="1" applyAlignment="1" applyProtection="1">
      <alignment horizontal="center" vertical="center" wrapText="1"/>
      <protection locked="0"/>
    </xf>
    <xf numFmtId="0" fontId="8" fillId="0" borderId="2" xfId="0" applyFont="1" applyFill="1" applyBorder="1" applyAlignment="1" applyProtection="1">
      <alignment horizontal="center" vertical="center" wrapText="1"/>
      <protection locked="0"/>
    </xf>
    <xf numFmtId="0" fontId="10" fillId="0" borderId="36" xfId="0" applyFont="1" applyFill="1" applyBorder="1" applyAlignment="1" applyProtection="1">
      <alignment horizontal="center" vertical="center"/>
      <protection locked="0"/>
    </xf>
    <xf numFmtId="0" fontId="10" fillId="2" borderId="38" xfId="0" applyNumberFormat="1" applyFont="1" applyFill="1" applyBorder="1" applyAlignment="1" applyProtection="1">
      <alignment horizontal="center" vertical="center" wrapText="1"/>
    </xf>
    <xf numFmtId="0" fontId="13" fillId="2" borderId="14" xfId="0" applyFont="1" applyFill="1" applyBorder="1" applyAlignment="1" applyProtection="1">
      <alignment horizontal="center" vertical="center"/>
    </xf>
    <xf numFmtId="181" fontId="26" fillId="2" borderId="2" xfId="59" applyNumberFormat="1" applyFont="1" applyFill="1" applyBorder="1" applyAlignment="1" applyProtection="1">
      <alignment horizontal="center"/>
    </xf>
    <xf numFmtId="49" fontId="13" fillId="3" borderId="31" xfId="0" applyNumberFormat="1" applyFont="1" applyFill="1" applyBorder="1" applyAlignment="1" applyProtection="1">
      <alignment horizontal="center" vertical="center" wrapText="1"/>
      <protection locked="0"/>
    </xf>
    <xf numFmtId="49" fontId="13" fillId="0" borderId="20" xfId="0" applyNumberFormat="1" applyFont="1" applyFill="1" applyBorder="1" applyAlignment="1" applyProtection="1">
      <alignment horizontal="center" vertical="center" wrapText="1"/>
      <protection locked="0"/>
    </xf>
    <xf numFmtId="0" fontId="23" fillId="2" borderId="12" xfId="0" applyFont="1" applyFill="1" applyBorder="1" applyAlignment="1" applyProtection="1">
      <alignment horizontal="center" vertical="center"/>
    </xf>
    <xf numFmtId="0" fontId="23" fillId="2" borderId="82" xfId="0" applyFont="1" applyFill="1" applyBorder="1" applyAlignment="1" applyProtection="1">
      <alignment horizontal="center" vertical="center"/>
    </xf>
    <xf numFmtId="0" fontId="6" fillId="2" borderId="17" xfId="0" applyFont="1" applyFill="1" applyBorder="1" applyAlignment="1" applyProtection="1">
      <alignment horizontal="center" vertical="center"/>
    </xf>
    <xf numFmtId="0" fontId="6" fillId="2" borderId="126" xfId="0" applyFont="1" applyFill="1" applyBorder="1" applyAlignment="1" applyProtection="1">
      <alignment horizontal="center" vertical="center"/>
    </xf>
    <xf numFmtId="0" fontId="6" fillId="0" borderId="126" xfId="0" applyFont="1" applyFill="1" applyBorder="1" applyAlignment="1" applyProtection="1">
      <alignment horizontal="center" vertical="center"/>
      <protection locked="0"/>
    </xf>
    <xf numFmtId="0" fontId="6" fillId="2" borderId="38" xfId="0" applyFont="1" applyFill="1" applyBorder="1" applyAlignment="1" applyProtection="1">
      <alignment horizontal="center" vertical="center"/>
    </xf>
    <xf numFmtId="0" fontId="6" fillId="0" borderId="83" xfId="0" applyFont="1" applyFill="1" applyBorder="1" applyAlignment="1" applyProtection="1">
      <alignment horizontal="center" vertical="center"/>
      <protection locked="0"/>
    </xf>
    <xf numFmtId="0" fontId="7" fillId="0" borderId="0" xfId="0" applyFont="1" applyFill="1" applyBorder="1" applyAlignment="1" applyProtection="1">
      <alignment horizontal="center" vertical="center"/>
      <protection locked="0"/>
    </xf>
    <xf numFmtId="0" fontId="26" fillId="2" borderId="0" xfId="0" applyFont="1" applyFill="1" applyAlignment="1" applyProtection="1"/>
    <xf numFmtId="0" fontId="20" fillId="7" borderId="16" xfId="0" applyNumberFormat="1" applyFont="1" applyFill="1" applyBorder="1" applyAlignment="1" applyProtection="1">
      <alignment horizontal="center" vertical="center" wrapText="1"/>
      <protection locked="0"/>
    </xf>
    <xf numFmtId="0" fontId="26" fillId="6" borderId="0" xfId="0" applyFont="1" applyFill="1" applyAlignment="1" applyProtection="1">
      <protection locked="0"/>
    </xf>
    <xf numFmtId="176" fontId="13" fillId="2" borderId="0" xfId="0" applyNumberFormat="1" applyFont="1" applyFill="1" applyBorder="1" applyAlignment="1" applyProtection="1">
      <alignment horizontal="center"/>
      <protection locked="0"/>
    </xf>
    <xf numFmtId="180" fontId="13" fillId="2" borderId="0" xfId="0" applyNumberFormat="1" applyFont="1" applyFill="1" applyBorder="1" applyAlignment="1" applyProtection="1">
      <protection locked="0"/>
    </xf>
    <xf numFmtId="0" fontId="8" fillId="0" borderId="2" xfId="0" applyNumberFormat="1" applyFont="1" applyFill="1" applyBorder="1" applyAlignment="1" applyProtection="1">
      <alignment horizontal="center" vertical="center" wrapText="1"/>
      <protection locked="0"/>
    </xf>
    <xf numFmtId="0" fontId="8" fillId="0" borderId="59" xfId="0" applyNumberFormat="1" applyFont="1" applyFill="1" applyBorder="1" applyAlignment="1" applyProtection="1">
      <alignment horizontal="center" vertical="center" wrapText="1"/>
      <protection locked="0"/>
    </xf>
    <xf numFmtId="0" fontId="8" fillId="0" borderId="55" xfId="0" applyNumberFormat="1" applyFont="1" applyFill="1" applyBorder="1" applyAlignment="1" applyProtection="1">
      <alignment horizontal="center" vertical="center" wrapText="1"/>
      <protection locked="0"/>
    </xf>
    <xf numFmtId="0" fontId="7" fillId="0" borderId="72" xfId="0" applyFont="1" applyFill="1" applyBorder="1" applyAlignment="1" applyProtection="1">
      <alignment horizontal="center" vertical="center"/>
      <protection locked="0"/>
    </xf>
    <xf numFmtId="0" fontId="14" fillId="2" borderId="127" xfId="0" applyFont="1" applyFill="1" applyBorder="1" applyAlignment="1" applyProtection="1">
      <alignment vertical="center"/>
    </xf>
    <xf numFmtId="0" fontId="15" fillId="3" borderId="128" xfId="0" applyFont="1" applyFill="1" applyBorder="1" applyAlignment="1" applyProtection="1">
      <alignment horizontal="right" vertical="center"/>
      <protection locked="0"/>
    </xf>
    <xf numFmtId="0" fontId="15" fillId="2" borderId="72" xfId="0" applyFont="1" applyFill="1" applyBorder="1" applyAlignment="1" applyProtection="1">
      <alignment horizontal="center" vertical="center"/>
    </xf>
    <xf numFmtId="0" fontId="15" fillId="3" borderId="128" xfId="0" applyFont="1" applyFill="1" applyBorder="1" applyAlignment="1" applyProtection="1">
      <alignment vertical="center"/>
      <protection locked="0"/>
    </xf>
    <xf numFmtId="0" fontId="15" fillId="2" borderId="128" xfId="0" applyFont="1" applyFill="1" applyBorder="1" applyAlignment="1" applyProtection="1">
      <alignment vertical="center"/>
    </xf>
    <xf numFmtId="0" fontId="15" fillId="7" borderId="65" xfId="0" applyFont="1" applyFill="1" applyBorder="1" applyAlignment="1" applyProtection="1">
      <alignment horizontal="center" vertical="center"/>
      <protection locked="0"/>
    </xf>
    <xf numFmtId="0" fontId="16" fillId="2" borderId="128" xfId="0" applyFont="1" applyFill="1" applyBorder="1" applyAlignment="1" applyProtection="1">
      <alignment vertical="center"/>
    </xf>
    <xf numFmtId="0" fontId="17" fillId="2" borderId="60" xfId="59" applyFont="1" applyFill="1" applyBorder="1" applyAlignment="1" applyProtection="1">
      <alignment vertical="center"/>
    </xf>
    <xf numFmtId="0" fontId="17" fillId="2" borderId="60" xfId="0" applyFont="1" applyFill="1" applyBorder="1" applyAlignment="1" applyProtection="1">
      <alignment horizontal="right" vertical="center"/>
    </xf>
    <xf numFmtId="0" fontId="25" fillId="7" borderId="50" xfId="59" applyFont="1" applyFill="1" applyBorder="1" applyAlignment="1" applyProtection="1">
      <alignment vertical="center"/>
      <protection locked="0"/>
    </xf>
    <xf numFmtId="0" fontId="17" fillId="2" borderId="43" xfId="59" applyFont="1" applyFill="1" applyBorder="1" applyAlignment="1" applyProtection="1">
      <alignment vertical="center"/>
      <protection locked="0"/>
    </xf>
    <xf numFmtId="0" fontId="17" fillId="7" borderId="60" xfId="59" applyFont="1" applyFill="1" applyBorder="1" applyAlignment="1" applyProtection="1">
      <alignment vertical="center"/>
      <protection locked="0"/>
    </xf>
    <xf numFmtId="0" fontId="17" fillId="2" borderId="7" xfId="0" applyFont="1" applyFill="1" applyBorder="1" applyAlignment="1" applyProtection="1">
      <alignment horizontal="center" vertical="center"/>
    </xf>
    <xf numFmtId="0" fontId="17" fillId="2" borderId="7" xfId="0" applyFont="1" applyFill="1" applyBorder="1" applyAlignment="1" applyProtection="1">
      <alignment horizontal="right" vertical="center"/>
    </xf>
    <xf numFmtId="0" fontId="8" fillId="0" borderId="30" xfId="0" applyNumberFormat="1" applyFont="1" applyFill="1" applyBorder="1" applyAlignment="1" applyProtection="1">
      <alignment horizontal="center" vertical="center" wrapText="1"/>
      <protection locked="0"/>
    </xf>
    <xf numFmtId="49" fontId="8" fillId="3" borderId="11" xfId="0" applyNumberFormat="1" applyFont="1" applyFill="1" applyBorder="1" applyAlignment="1" applyProtection="1">
      <alignment horizontal="center" vertical="center" wrapText="1"/>
      <protection locked="0"/>
    </xf>
    <xf numFmtId="0" fontId="8" fillId="2" borderId="14" xfId="0" applyNumberFormat="1" applyFont="1" applyFill="1" applyBorder="1" applyAlignment="1" applyProtection="1">
      <alignment horizontal="center" vertical="center" wrapText="1"/>
    </xf>
    <xf numFmtId="49" fontId="8" fillId="3" borderId="16" xfId="0" applyNumberFormat="1" applyFont="1" applyFill="1" applyBorder="1" applyAlignment="1" applyProtection="1">
      <alignment horizontal="center" vertical="center" wrapText="1"/>
      <protection locked="0"/>
    </xf>
    <xf numFmtId="0" fontId="8" fillId="2" borderId="2" xfId="0" applyNumberFormat="1" applyFont="1" applyFill="1" applyBorder="1" applyAlignment="1" applyProtection="1">
      <alignment horizontal="center" vertical="center" wrapText="1"/>
    </xf>
    <xf numFmtId="0" fontId="8" fillId="0" borderId="34" xfId="0" applyNumberFormat="1" applyFont="1" applyFill="1" applyBorder="1" applyAlignment="1" applyProtection="1">
      <alignment horizontal="center" vertical="center" wrapText="1"/>
      <protection locked="0"/>
    </xf>
    <xf numFmtId="0" fontId="8" fillId="0" borderId="37" xfId="0" applyNumberFormat="1" applyFont="1" applyFill="1" applyBorder="1" applyAlignment="1" applyProtection="1">
      <alignment horizontal="center" vertical="center" wrapText="1"/>
      <protection locked="0"/>
    </xf>
    <xf numFmtId="0" fontId="13" fillId="2" borderId="73" xfId="0" applyNumberFormat="1" applyFont="1" applyFill="1" applyBorder="1" applyAlignment="1" applyProtection="1">
      <alignment horizontal="center" vertical="center" wrapText="1"/>
    </xf>
    <xf numFmtId="0" fontId="13" fillId="2" borderId="50" xfId="0" applyNumberFormat="1" applyFont="1" applyFill="1" applyBorder="1" applyAlignment="1" applyProtection="1">
      <alignment horizontal="center" vertical="center" wrapText="1"/>
    </xf>
    <xf numFmtId="0" fontId="13" fillId="2" borderId="5" xfId="0" applyNumberFormat="1" applyFont="1" applyFill="1" applyBorder="1" applyAlignment="1" applyProtection="1">
      <alignment horizontal="center" vertical="center" wrapText="1"/>
    </xf>
    <xf numFmtId="0" fontId="13" fillId="2" borderId="57" xfId="0" applyNumberFormat="1" applyFont="1" applyFill="1" applyBorder="1" applyAlignment="1" applyProtection="1">
      <alignment horizontal="center" vertical="center" wrapText="1"/>
    </xf>
    <xf numFmtId="0" fontId="13" fillId="2" borderId="2" xfId="0" applyNumberFormat="1" applyFont="1" applyFill="1" applyBorder="1" applyAlignment="1" applyProtection="1">
      <alignment horizontal="center" vertical="center" wrapText="1"/>
    </xf>
    <xf numFmtId="0" fontId="13" fillId="0" borderId="129" xfId="0" applyNumberFormat="1" applyFont="1" applyFill="1" applyBorder="1" applyAlignment="1" applyProtection="1">
      <alignment horizontal="center" vertical="center" wrapText="1"/>
      <protection locked="0"/>
    </xf>
    <xf numFmtId="0" fontId="8" fillId="2" borderId="44" xfId="0" applyNumberFormat="1" applyFont="1" applyFill="1" applyBorder="1" applyAlignment="1" applyProtection="1">
      <alignment horizontal="center" vertical="center" wrapText="1"/>
    </xf>
    <xf numFmtId="0" fontId="8" fillId="2" borderId="57" xfId="0" applyNumberFormat="1" applyFont="1" applyFill="1" applyBorder="1" applyAlignment="1" applyProtection="1">
      <alignment horizontal="center" vertical="center" wrapText="1"/>
    </xf>
    <xf numFmtId="0" fontId="18" fillId="2" borderId="29" xfId="0" applyFont="1" applyFill="1" applyBorder="1" applyAlignment="1" applyProtection="1">
      <alignment vertical="center" textRotation="255" wrapText="1"/>
    </xf>
    <xf numFmtId="0" fontId="13" fillId="3" borderId="11" xfId="0" applyNumberFormat="1" applyFont="1" applyFill="1" applyBorder="1" applyAlignment="1" applyProtection="1">
      <alignment horizontal="center" vertical="center" wrapText="1"/>
      <protection locked="0"/>
    </xf>
    <xf numFmtId="0" fontId="13" fillId="2" borderId="14" xfId="0" applyNumberFormat="1" applyFont="1" applyFill="1" applyBorder="1" applyAlignment="1" applyProtection="1">
      <alignment horizontal="center" vertical="center" wrapText="1"/>
    </xf>
    <xf numFmtId="9" fontId="8" fillId="0" borderId="34" xfId="0" applyNumberFormat="1" applyFont="1" applyFill="1" applyBorder="1" applyAlignment="1" applyProtection="1">
      <alignment horizontal="center" vertical="center" wrapText="1"/>
      <protection locked="0"/>
    </xf>
    <xf numFmtId="9" fontId="8" fillId="0" borderId="4" xfId="0" applyNumberFormat="1" applyFont="1" applyFill="1" applyBorder="1" applyAlignment="1" applyProtection="1">
      <alignment horizontal="center" vertical="center" wrapText="1"/>
      <protection locked="0"/>
    </xf>
    <xf numFmtId="9" fontId="8" fillId="0" borderId="16" xfId="0" applyNumberFormat="1" applyFont="1" applyFill="1" applyBorder="1" applyAlignment="1" applyProtection="1">
      <alignment horizontal="center" vertical="center" wrapText="1"/>
      <protection locked="0"/>
    </xf>
    <xf numFmtId="0" fontId="13" fillId="3" borderId="16" xfId="0" applyNumberFormat="1" applyFont="1" applyFill="1" applyBorder="1" applyAlignment="1" applyProtection="1">
      <alignment horizontal="center" vertical="center" wrapText="1"/>
      <protection locked="0"/>
    </xf>
    <xf numFmtId="0" fontId="8" fillId="3" borderId="34" xfId="0" applyNumberFormat="1" applyFont="1" applyFill="1" applyBorder="1" applyAlignment="1" applyProtection="1">
      <alignment horizontal="center" vertical="center" wrapText="1"/>
      <protection locked="0"/>
    </xf>
    <xf numFmtId="0" fontId="18" fillId="2" borderId="35" xfId="0" applyFont="1" applyFill="1" applyBorder="1" applyAlignment="1" applyProtection="1">
      <alignment vertical="center" textRotation="255" wrapText="1"/>
    </xf>
    <xf numFmtId="0" fontId="13" fillId="2" borderId="36" xfId="0" applyNumberFormat="1" applyFont="1" applyFill="1" applyBorder="1" applyAlignment="1" applyProtection="1">
      <alignment horizontal="center" vertical="center" wrapText="1"/>
    </xf>
    <xf numFmtId="49" fontId="18" fillId="2" borderId="51" xfId="0" applyNumberFormat="1" applyFont="1" applyFill="1" applyBorder="1" applyAlignment="1" applyProtection="1">
      <alignment vertical="center"/>
    </xf>
    <xf numFmtId="0" fontId="18" fillId="2" borderId="30" xfId="0" applyNumberFormat="1" applyFont="1" applyFill="1" applyBorder="1" applyAlignment="1" applyProtection="1">
      <alignment horizontal="right" vertical="center" wrapText="1"/>
    </xf>
    <xf numFmtId="0" fontId="18" fillId="2" borderId="52" xfId="0" applyNumberFormat="1" applyFont="1" applyFill="1" applyBorder="1" applyAlignment="1" applyProtection="1">
      <alignment vertical="center" wrapText="1"/>
    </xf>
    <xf numFmtId="0" fontId="24" fillId="4" borderId="51" xfId="0" applyNumberFormat="1" applyFont="1" applyFill="1" applyBorder="1" applyAlignment="1" applyProtection="1">
      <alignment vertical="center" wrapText="1"/>
      <protection locked="0"/>
    </xf>
    <xf numFmtId="0" fontId="24" fillId="2" borderId="51" xfId="0" applyNumberFormat="1" applyFont="1" applyFill="1" applyBorder="1" applyAlignment="1" applyProtection="1">
      <alignment vertical="center" wrapText="1"/>
    </xf>
    <xf numFmtId="0" fontId="24" fillId="4" borderId="30" xfId="0" applyNumberFormat="1" applyFont="1" applyFill="1" applyBorder="1" applyAlignment="1" applyProtection="1">
      <alignment vertical="center" wrapText="1"/>
      <protection locked="0"/>
    </xf>
    <xf numFmtId="0" fontId="24" fillId="2" borderId="52" xfId="0" applyNumberFormat="1" applyFont="1" applyFill="1" applyBorder="1" applyAlignment="1" applyProtection="1">
      <alignment vertical="center" wrapText="1"/>
    </xf>
    <xf numFmtId="49" fontId="18" fillId="2" borderId="54" xfId="0" applyNumberFormat="1" applyFont="1" applyFill="1" applyBorder="1" applyAlignment="1" applyProtection="1">
      <alignment vertical="center"/>
    </xf>
    <xf numFmtId="0" fontId="18" fillId="2" borderId="37" xfId="0" applyNumberFormat="1" applyFont="1" applyFill="1" applyBorder="1" applyAlignment="1" applyProtection="1">
      <alignment vertical="center" wrapText="1"/>
    </xf>
    <xf numFmtId="0" fontId="18" fillId="2" borderId="54" xfId="0" applyNumberFormat="1" applyFont="1" applyFill="1" applyBorder="1" applyAlignment="1" applyProtection="1">
      <alignment vertical="center" wrapText="1"/>
    </xf>
    <xf numFmtId="0" fontId="18" fillId="2" borderId="19" xfId="0" applyNumberFormat="1" applyFont="1" applyFill="1" applyBorder="1" applyAlignment="1" applyProtection="1">
      <alignment vertical="center" wrapText="1"/>
    </xf>
    <xf numFmtId="184" fontId="13" fillId="6" borderId="0" xfId="0" applyNumberFormat="1" applyFont="1" applyFill="1" applyAlignment="1" applyProtection="1">
      <alignment horizontal="center" vertical="center"/>
      <protection locked="0"/>
    </xf>
    <xf numFmtId="0" fontId="20" fillId="2" borderId="9" xfId="0" applyNumberFormat="1" applyFont="1" applyFill="1" applyBorder="1" applyAlignment="1" applyProtection="1">
      <alignment vertical="center" wrapText="1"/>
    </xf>
    <xf numFmtId="0" fontId="20" fillId="2" borderId="40" xfId="0" applyNumberFormat="1" applyFont="1" applyFill="1" applyBorder="1" applyAlignment="1" applyProtection="1">
      <alignment vertical="center" wrapText="1"/>
    </xf>
    <xf numFmtId="189" fontId="8" fillId="2" borderId="13" xfId="0" applyNumberFormat="1" applyFont="1" applyFill="1" applyBorder="1" applyAlignment="1" applyProtection="1">
      <alignment horizontal="center" vertical="center" wrapText="1"/>
    </xf>
    <xf numFmtId="189" fontId="8" fillId="2" borderId="56" xfId="0" applyNumberFormat="1" applyFont="1" applyFill="1" applyBorder="1" applyAlignment="1" applyProtection="1">
      <alignment horizontal="center" vertical="center" wrapText="1"/>
    </xf>
    <xf numFmtId="0" fontId="20" fillId="2" borderId="15" xfId="0" applyNumberFormat="1" applyFont="1" applyFill="1" applyBorder="1" applyAlignment="1" applyProtection="1">
      <alignment vertical="center" wrapText="1"/>
    </xf>
    <xf numFmtId="0" fontId="13" fillId="2" borderId="7" xfId="0" applyNumberFormat="1" applyFont="1" applyFill="1" applyBorder="1" applyAlignment="1" applyProtection="1">
      <alignment horizontal="center" vertical="center" wrapText="1"/>
      <protection locked="0"/>
    </xf>
    <xf numFmtId="176" fontId="15" fillId="2" borderId="128" xfId="0" applyNumberFormat="1" applyFont="1" applyFill="1" applyBorder="1" applyAlignment="1" applyProtection="1">
      <alignment horizontal="center" vertical="center"/>
    </xf>
    <xf numFmtId="180" fontId="15" fillId="2" borderId="128" xfId="0" applyNumberFormat="1" applyFont="1" applyFill="1" applyBorder="1" applyAlignment="1" applyProtection="1">
      <alignment vertical="center"/>
    </xf>
    <xf numFmtId="0" fontId="15" fillId="2" borderId="128" xfId="0" applyFont="1" applyFill="1" applyBorder="1" applyAlignment="1" applyProtection="1">
      <alignment horizontal="center" vertical="center"/>
    </xf>
    <xf numFmtId="0" fontId="29" fillId="0" borderId="20" xfId="0" applyNumberFormat="1" applyFont="1" applyFill="1" applyBorder="1" applyAlignment="1" applyProtection="1">
      <alignment horizontal="center" vertical="center" wrapText="1"/>
      <protection locked="0"/>
    </xf>
    <xf numFmtId="0" fontId="29" fillId="2" borderId="32" xfId="0" applyNumberFormat="1" applyFont="1" applyFill="1" applyBorder="1" applyAlignment="1" applyProtection="1">
      <alignment horizontal="center" vertical="center" wrapText="1"/>
    </xf>
    <xf numFmtId="0" fontId="29" fillId="2" borderId="31" xfId="0" applyNumberFormat="1" applyFont="1" applyFill="1" applyBorder="1" applyAlignment="1" applyProtection="1">
      <alignment horizontal="center" vertical="center" wrapText="1"/>
    </xf>
    <xf numFmtId="0" fontId="8" fillId="0" borderId="5" xfId="0" applyNumberFormat="1" applyFont="1" applyFill="1" applyBorder="1" applyAlignment="1" applyProtection="1">
      <alignment horizontal="center" vertical="center" wrapText="1"/>
      <protection locked="0"/>
    </xf>
    <xf numFmtId="0" fontId="10" fillId="2" borderId="1" xfId="0" applyFont="1" applyFill="1" applyBorder="1" applyAlignment="1" applyProtection="1">
      <alignment horizontal="center" vertical="center" wrapText="1"/>
    </xf>
    <xf numFmtId="0" fontId="18" fillId="2" borderId="1" xfId="0" applyNumberFormat="1" applyFont="1" applyFill="1" applyBorder="1" applyAlignment="1" applyProtection="1">
      <alignment horizontal="center" vertical="center"/>
    </xf>
    <xf numFmtId="0" fontId="7" fillId="2" borderId="72" xfId="0" applyFont="1" applyFill="1" applyBorder="1" applyAlignment="1" applyProtection="1">
      <alignment horizontal="center" vertical="center"/>
    </xf>
    <xf numFmtId="0" fontId="13" fillId="2" borderId="66" xfId="0" applyNumberFormat="1" applyFont="1" applyFill="1" applyBorder="1" applyAlignment="1" applyProtection="1">
      <alignment horizontal="center" vertical="center" wrapText="1"/>
    </xf>
    <xf numFmtId="0" fontId="13" fillId="0" borderId="0" xfId="0" applyFont="1" applyFill="1" applyAlignment="1" applyProtection="1">
      <alignment horizontal="center" vertical="center"/>
    </xf>
    <xf numFmtId="0" fontId="13" fillId="2" borderId="71" xfId="0" applyNumberFormat="1" applyFont="1" applyFill="1" applyBorder="1" applyAlignment="1" applyProtection="1">
      <alignment horizontal="center" vertical="center" wrapText="1"/>
    </xf>
    <xf numFmtId="0" fontId="8" fillId="0" borderId="67" xfId="0" applyNumberFormat="1" applyFont="1" applyFill="1" applyBorder="1" applyAlignment="1" applyProtection="1">
      <alignment horizontal="left" vertical="center" wrapText="1"/>
      <protection locked="0"/>
    </xf>
    <xf numFmtId="0" fontId="8" fillId="0" borderId="71" xfId="0" applyNumberFormat="1" applyFont="1" applyFill="1" applyBorder="1" applyAlignment="1" applyProtection="1">
      <alignment horizontal="center" vertical="center" wrapText="1"/>
      <protection locked="0"/>
    </xf>
    <xf numFmtId="0" fontId="11" fillId="2" borderId="58" xfId="0" applyNumberFormat="1" applyFont="1" applyFill="1" applyBorder="1" applyAlignment="1" applyProtection="1">
      <alignment horizontal="center" vertical="center" wrapText="1"/>
    </xf>
    <xf numFmtId="0" fontId="11" fillId="2" borderId="58" xfId="0" applyNumberFormat="1" applyFont="1" applyFill="1" applyBorder="1" applyAlignment="1" applyProtection="1">
      <alignment horizontal="left" vertical="center" wrapText="1"/>
    </xf>
    <xf numFmtId="0" fontId="11" fillId="2" borderId="44" xfId="0" applyNumberFormat="1" applyFont="1" applyFill="1" applyBorder="1" applyAlignment="1" applyProtection="1">
      <alignment horizontal="center" vertical="center" wrapText="1"/>
    </xf>
    <xf numFmtId="0" fontId="13" fillId="6" borderId="0" xfId="0" applyFont="1" applyFill="1" applyBorder="1" applyAlignment="1" applyProtection="1">
      <alignment horizontal="center" vertical="center" wrapText="1"/>
      <protection locked="0"/>
    </xf>
    <xf numFmtId="176" fontId="13" fillId="0" borderId="0" xfId="0" applyNumberFormat="1" applyFont="1" applyFill="1" applyAlignment="1" applyProtection="1">
      <alignment horizontal="center" vertical="center"/>
    </xf>
    <xf numFmtId="180" fontId="13" fillId="0" borderId="0" xfId="0" applyNumberFormat="1" applyFont="1" applyFill="1" applyAlignment="1" applyProtection="1">
      <alignment horizontal="center" vertical="center"/>
    </xf>
    <xf numFmtId="9" fontId="13" fillId="6" borderId="0" xfId="0" applyNumberFormat="1" applyFont="1" applyFill="1" applyBorder="1" applyAlignment="1" applyProtection="1">
      <alignment horizontal="center" vertical="center" wrapText="1"/>
      <protection locked="0"/>
    </xf>
    <xf numFmtId="0" fontId="13" fillId="0" borderId="57" xfId="0" applyFont="1" applyFill="1" applyBorder="1" applyAlignment="1" applyProtection="1">
      <alignment horizontal="center" vertical="center"/>
      <protection locked="0"/>
    </xf>
    <xf numFmtId="0" fontId="15" fillId="2" borderId="128" xfId="0" applyFont="1" applyFill="1" applyBorder="1" applyAlignment="1" applyProtection="1">
      <alignment vertical="center"/>
      <protection locked="0"/>
    </xf>
    <xf numFmtId="0" fontId="16" fillId="2" borderId="128" xfId="0" applyFont="1" applyFill="1" applyBorder="1" applyAlignment="1" applyProtection="1">
      <alignment vertical="center"/>
      <protection locked="0"/>
    </xf>
    <xf numFmtId="0" fontId="20" fillId="2" borderId="130" xfId="0" applyFont="1" applyFill="1" applyBorder="1" applyAlignment="1" applyProtection="1">
      <alignment vertical="center" wrapText="1"/>
    </xf>
    <xf numFmtId="0" fontId="8" fillId="2" borderId="51" xfId="0" applyFont="1" applyFill="1" applyBorder="1" applyAlignment="1" applyProtection="1">
      <alignment horizontal="center" vertical="center" wrapText="1"/>
    </xf>
    <xf numFmtId="49" fontId="8" fillId="3" borderId="13" xfId="0" applyNumberFormat="1" applyFont="1" applyFill="1" applyBorder="1" applyAlignment="1" applyProtection="1">
      <alignment horizontal="center" vertical="center" wrapText="1"/>
      <protection locked="0"/>
    </xf>
    <xf numFmtId="0" fontId="21" fillId="2" borderId="131" xfId="0" applyFont="1" applyFill="1" applyBorder="1" applyAlignment="1" applyProtection="1">
      <alignment vertical="center" wrapText="1"/>
    </xf>
    <xf numFmtId="0" fontId="8" fillId="2" borderId="3" xfId="0" applyFont="1" applyFill="1" applyBorder="1" applyAlignment="1" applyProtection="1">
      <alignment horizontal="center" vertical="center" wrapText="1"/>
    </xf>
    <xf numFmtId="49" fontId="8" fillId="3" borderId="4" xfId="0" applyNumberFormat="1" applyFont="1" applyFill="1" applyBorder="1" applyAlignment="1" applyProtection="1">
      <alignment horizontal="center" vertical="center" wrapText="1"/>
      <protection locked="0"/>
    </xf>
    <xf numFmtId="0" fontId="18" fillId="2" borderId="131" xfId="0" applyFont="1" applyFill="1" applyBorder="1" applyAlignment="1" applyProtection="1">
      <alignment vertical="center" wrapText="1"/>
    </xf>
    <xf numFmtId="0" fontId="8" fillId="0" borderId="6" xfId="0" applyFont="1" applyFill="1" applyBorder="1" applyAlignment="1" applyProtection="1">
      <alignment horizontal="center" vertical="center" wrapText="1"/>
      <protection locked="0"/>
    </xf>
    <xf numFmtId="0" fontId="20" fillId="2" borderId="131" xfId="0" applyFont="1" applyFill="1" applyBorder="1" applyAlignment="1" applyProtection="1">
      <alignment vertical="center" wrapText="1"/>
    </xf>
    <xf numFmtId="0" fontId="18" fillId="2" borderId="132" xfId="0" applyFont="1" applyFill="1" applyBorder="1" applyAlignment="1" applyProtection="1">
      <alignment vertical="center" wrapText="1"/>
    </xf>
    <xf numFmtId="0" fontId="13" fillId="2" borderId="44" xfId="0" applyFont="1" applyFill="1" applyBorder="1" applyAlignment="1" applyProtection="1">
      <alignment horizontal="center" vertical="center"/>
    </xf>
    <xf numFmtId="0" fontId="8" fillId="0" borderId="21" xfId="0" applyFont="1" applyFill="1" applyBorder="1" applyAlignment="1" applyProtection="1">
      <alignment horizontal="center" vertical="center" wrapText="1"/>
      <protection locked="0"/>
    </xf>
    <xf numFmtId="0" fontId="8" fillId="0" borderId="38" xfId="0" applyFont="1" applyFill="1" applyBorder="1" applyAlignment="1" applyProtection="1">
      <alignment horizontal="center" vertical="center" wrapText="1"/>
      <protection locked="0"/>
    </xf>
    <xf numFmtId="0" fontId="8" fillId="2" borderId="69" xfId="0" applyNumberFormat="1" applyFont="1" applyFill="1" applyBorder="1" applyAlignment="1" applyProtection="1">
      <alignment horizontal="center" vertical="center" wrapText="1"/>
    </xf>
    <xf numFmtId="0" fontId="8" fillId="0" borderId="35" xfId="0" applyNumberFormat="1" applyFont="1" applyFill="1" applyBorder="1" applyAlignment="1" applyProtection="1">
      <alignment horizontal="center" vertical="center" wrapText="1"/>
      <protection locked="0"/>
    </xf>
    <xf numFmtId="0" fontId="8" fillId="2" borderId="68" xfId="0" applyNumberFormat="1" applyFont="1" applyFill="1" applyBorder="1" applyAlignment="1" applyProtection="1">
      <alignment horizontal="center" vertical="center" wrapText="1"/>
    </xf>
    <xf numFmtId="0" fontId="18" fillId="2" borderId="9" xfId="0" applyFont="1" applyFill="1" applyBorder="1" applyAlignment="1" applyProtection="1">
      <alignment vertical="center" textRotation="255" wrapText="1"/>
    </xf>
    <xf numFmtId="0" fontId="8" fillId="2" borderId="12" xfId="0" applyFont="1" applyFill="1" applyBorder="1" applyAlignment="1" applyProtection="1">
      <alignment horizontal="center" vertical="center" wrapText="1"/>
    </xf>
    <xf numFmtId="0" fontId="13" fillId="2" borderId="32" xfId="0" applyNumberFormat="1" applyFont="1" applyFill="1" applyBorder="1" applyAlignment="1" applyProtection="1">
      <alignment horizontal="center" vertical="center" wrapText="1"/>
    </xf>
    <xf numFmtId="0" fontId="22" fillId="2" borderId="15" xfId="0" applyFont="1" applyFill="1" applyBorder="1" applyAlignment="1" applyProtection="1">
      <alignment vertical="center" textRotation="255" wrapText="1"/>
    </xf>
    <xf numFmtId="49" fontId="8" fillId="0" borderId="34" xfId="0" applyNumberFormat="1" applyFont="1" applyFill="1" applyBorder="1" applyAlignment="1" applyProtection="1">
      <alignment horizontal="center" vertical="center" wrapText="1"/>
      <protection locked="0"/>
    </xf>
    <xf numFmtId="0" fontId="18" fillId="2" borderId="15" xfId="0" applyFont="1" applyFill="1" applyBorder="1" applyAlignment="1" applyProtection="1">
      <alignment vertical="center" textRotation="255" wrapText="1"/>
    </xf>
    <xf numFmtId="0" fontId="20" fillId="2" borderId="15" xfId="0" applyFont="1" applyFill="1" applyBorder="1" applyAlignment="1" applyProtection="1">
      <alignment vertical="center" textRotation="255" wrapText="1"/>
    </xf>
    <xf numFmtId="0" fontId="18" fillId="2" borderId="18" xfId="0" applyFont="1" applyFill="1" applyBorder="1" applyAlignment="1" applyProtection="1">
      <alignment vertical="center" textRotation="255" wrapText="1"/>
    </xf>
    <xf numFmtId="49" fontId="18" fillId="7" borderId="51" xfId="0" applyNumberFormat="1" applyFont="1" applyFill="1" applyBorder="1" applyAlignment="1" applyProtection="1">
      <alignment vertical="center"/>
      <protection locked="0"/>
    </xf>
    <xf numFmtId="0" fontId="27" fillId="2" borderId="0" xfId="0" applyFont="1" applyFill="1" applyBorder="1" applyAlignment="1" applyProtection="1">
      <protection locked="0"/>
    </xf>
    <xf numFmtId="0" fontId="13" fillId="2" borderId="0" xfId="0" applyFont="1" applyFill="1" applyBorder="1" applyAlignment="1" applyProtection="1">
      <alignment horizontal="center"/>
      <protection locked="0"/>
    </xf>
    <xf numFmtId="0" fontId="8" fillId="2" borderId="22" xfId="0" applyNumberFormat="1" applyFont="1" applyFill="1" applyBorder="1" applyAlignment="1" applyProtection="1">
      <alignment horizontal="center" vertical="center" wrapText="1"/>
      <protection locked="0"/>
    </xf>
    <xf numFmtId="176" fontId="15" fillId="2" borderId="128" xfId="0" applyNumberFormat="1" applyFont="1" applyFill="1" applyBorder="1" applyAlignment="1" applyProtection="1">
      <alignment horizontal="center" vertical="center"/>
      <protection locked="0"/>
    </xf>
    <xf numFmtId="180" fontId="15" fillId="2" borderId="128" xfId="0" applyNumberFormat="1" applyFont="1" applyFill="1" applyBorder="1" applyAlignment="1" applyProtection="1">
      <alignment vertical="center"/>
      <protection locked="0"/>
    </xf>
    <xf numFmtId="0" fontId="15" fillId="2" borderId="128" xfId="0" applyFont="1" applyFill="1" applyBorder="1" applyAlignment="1" applyProtection="1">
      <alignment horizontal="center" vertical="center"/>
      <protection locked="0"/>
    </xf>
    <xf numFmtId="0" fontId="15" fillId="2" borderId="133" xfId="0" applyFont="1" applyFill="1" applyBorder="1" applyAlignment="1" applyProtection="1">
      <alignment horizontal="center" vertical="center"/>
    </xf>
    <xf numFmtId="0" fontId="15" fillId="2" borderId="57" xfId="0" applyFont="1" applyFill="1" applyBorder="1" applyAlignment="1" applyProtection="1">
      <alignment horizontal="center" vertical="center"/>
    </xf>
    <xf numFmtId="176" fontId="13" fillId="4" borderId="4" xfId="0" applyNumberFormat="1" applyFont="1" applyFill="1" applyBorder="1" applyAlignment="1" applyProtection="1">
      <alignment horizontal="center" vertical="center"/>
      <protection locked="0"/>
    </xf>
    <xf numFmtId="176" fontId="13" fillId="4" borderId="1" xfId="0" applyNumberFormat="1" applyFont="1" applyFill="1" applyBorder="1" applyAlignment="1" applyProtection="1">
      <alignment horizontal="center" vertical="center" wrapText="1"/>
      <protection locked="0"/>
    </xf>
    <xf numFmtId="0" fontId="13" fillId="6" borderId="57" xfId="0" applyFont="1" applyFill="1" applyBorder="1" applyAlignment="1" applyProtection="1">
      <alignment horizontal="center" vertical="center"/>
      <protection locked="0"/>
    </xf>
    <xf numFmtId="0" fontId="11" fillId="6" borderId="57" xfId="0" applyFont="1" applyFill="1" applyBorder="1" applyAlignment="1" applyProtection="1">
      <alignment horizontal="center" vertical="center"/>
      <protection locked="0"/>
    </xf>
    <xf numFmtId="0" fontId="13" fillId="6" borderId="57" xfId="0" applyFont="1" applyFill="1" applyBorder="1" applyAlignment="1" applyProtection="1">
      <protection locked="0"/>
    </xf>
    <xf numFmtId="49" fontId="8" fillId="6" borderId="57" xfId="0" applyNumberFormat="1" applyFont="1" applyFill="1" applyBorder="1" applyAlignment="1" applyProtection="1">
      <alignment horizontal="center" vertical="center"/>
      <protection locked="0"/>
    </xf>
    <xf numFmtId="9" fontId="8" fillId="6" borderId="57" xfId="0" applyNumberFormat="1" applyFont="1" applyFill="1" applyBorder="1" applyAlignment="1" applyProtection="1">
      <alignment horizontal="center" vertical="center" wrapText="1"/>
      <protection locked="0"/>
    </xf>
    <xf numFmtId="0" fontId="23" fillId="6" borderId="57" xfId="0" applyFont="1" applyFill="1" applyBorder="1" applyAlignment="1" applyProtection="1">
      <alignment vertical="center"/>
      <protection locked="0"/>
    </xf>
    <xf numFmtId="0" fontId="8" fillId="6" borderId="57" xfId="0" applyFont="1" applyFill="1" applyBorder="1" applyAlignment="1" applyProtection="1">
      <alignment horizontal="center" vertical="center" wrapText="1"/>
      <protection locked="0"/>
    </xf>
    <xf numFmtId="0" fontId="10" fillId="6" borderId="57" xfId="0" applyFont="1" applyFill="1" applyBorder="1" applyAlignment="1" applyProtection="1">
      <alignment horizontal="center" vertical="center" wrapText="1"/>
      <protection locked="0"/>
    </xf>
    <xf numFmtId="0" fontId="10" fillId="6" borderId="57" xfId="0" applyFont="1" applyFill="1" applyBorder="1" applyAlignment="1" applyProtection="1">
      <alignment horizontal="center" vertical="center"/>
      <protection locked="0"/>
    </xf>
    <xf numFmtId="0" fontId="8" fillId="6" borderId="57" xfId="0" applyFont="1" applyFill="1" applyBorder="1" applyAlignment="1" applyProtection="1">
      <alignment vertical="center" wrapText="1"/>
      <protection locked="0"/>
    </xf>
    <xf numFmtId="49" fontId="13" fillId="0" borderId="56" xfId="0" applyNumberFormat="1" applyFont="1" applyFill="1" applyBorder="1" applyAlignment="1" applyProtection="1">
      <alignment horizontal="center" vertical="center" wrapText="1"/>
      <protection locked="0"/>
    </xf>
    <xf numFmtId="49" fontId="11" fillId="0" borderId="56" xfId="0" applyNumberFormat="1" applyFont="1" applyFill="1" applyBorder="1" applyAlignment="1" applyProtection="1">
      <alignment horizontal="center" vertical="center" wrapText="1"/>
      <protection locked="0"/>
    </xf>
    <xf numFmtId="49" fontId="11" fillId="0" borderId="56" xfId="0" applyNumberFormat="1" applyFont="1" applyFill="1" applyBorder="1" applyAlignment="1" applyProtection="1">
      <alignment horizontal="left" vertical="center" wrapText="1"/>
      <protection locked="0"/>
    </xf>
    <xf numFmtId="49" fontId="11" fillId="0" borderId="12" xfId="0" applyNumberFormat="1" applyFont="1" applyFill="1" applyBorder="1" applyAlignment="1" applyProtection="1">
      <alignment horizontal="center" vertical="center" wrapText="1"/>
      <protection locked="0"/>
    </xf>
    <xf numFmtId="0" fontId="13" fillId="0" borderId="58" xfId="0" applyNumberFormat="1" applyFont="1" applyFill="1" applyBorder="1" applyAlignment="1" applyProtection="1">
      <alignment horizontal="center" vertical="center" wrapText="1"/>
      <protection locked="0"/>
    </xf>
    <xf numFmtId="0" fontId="11" fillId="0" borderId="58" xfId="0" applyNumberFormat="1" applyFont="1" applyFill="1" applyBorder="1" applyAlignment="1" applyProtection="1">
      <alignment horizontal="center" vertical="center" wrapText="1"/>
      <protection locked="0"/>
    </xf>
    <xf numFmtId="0" fontId="11" fillId="0" borderId="58" xfId="0" applyNumberFormat="1" applyFont="1" applyFill="1" applyBorder="1" applyAlignment="1" applyProtection="1">
      <alignment horizontal="left" vertical="center" wrapText="1"/>
      <protection locked="0"/>
    </xf>
    <xf numFmtId="0" fontId="11" fillId="0" borderId="44" xfId="0" applyNumberFormat="1" applyFont="1" applyFill="1" applyBorder="1" applyAlignment="1" applyProtection="1">
      <alignment horizontal="center" vertical="center" wrapText="1"/>
      <protection locked="0"/>
    </xf>
    <xf numFmtId="0" fontId="13" fillId="6" borderId="57" xfId="0" applyFont="1" applyFill="1" applyBorder="1" applyAlignment="1" applyProtection="1">
      <alignment horizontal="center" vertical="center" wrapText="1"/>
      <protection locked="0"/>
    </xf>
    <xf numFmtId="0" fontId="15" fillId="2" borderId="128" xfId="0" applyFont="1" applyFill="1" applyBorder="1" applyAlignment="1" applyProtection="1">
      <alignment horizontal="right" vertical="center"/>
    </xf>
    <xf numFmtId="0" fontId="8" fillId="0" borderId="3" xfId="0" applyNumberFormat="1" applyFont="1" applyFill="1" applyBorder="1" applyAlignment="1" applyProtection="1">
      <alignment horizontal="center" vertical="center" wrapText="1"/>
      <protection locked="0"/>
    </xf>
    <xf numFmtId="0" fontId="8" fillId="2" borderId="42" xfId="0" applyNumberFormat="1" applyFont="1" applyFill="1" applyBorder="1" applyAlignment="1" applyProtection="1">
      <alignment horizontal="center" vertical="center" wrapText="1"/>
    </xf>
    <xf numFmtId="0" fontId="8" fillId="2" borderId="50" xfId="0" applyNumberFormat="1" applyFont="1" applyFill="1" applyBorder="1" applyAlignment="1" applyProtection="1">
      <alignment horizontal="center" vertical="center" wrapText="1"/>
    </xf>
    <xf numFmtId="180" fontId="15" fillId="2" borderId="0" xfId="0" applyNumberFormat="1" applyFont="1" applyFill="1" applyBorder="1" applyAlignment="1" applyProtection="1">
      <alignment vertical="center"/>
      <protection locked="0"/>
    </xf>
    <xf numFmtId="0" fontId="15" fillId="2" borderId="0" xfId="0" applyFont="1" applyFill="1" applyBorder="1" applyAlignment="1" applyProtection="1">
      <alignment horizontal="center" vertical="center"/>
      <protection locked="0"/>
    </xf>
    <xf numFmtId="180" fontId="8" fillId="2" borderId="0" xfId="0" applyNumberFormat="1" applyFont="1" applyFill="1" applyBorder="1" applyAlignment="1" applyProtection="1">
      <alignment vertical="center" wrapText="1"/>
      <protection locked="0"/>
    </xf>
    <xf numFmtId="0" fontId="13" fillId="2" borderId="0" xfId="0" applyFont="1" applyFill="1" applyBorder="1" applyAlignment="1" applyProtection="1">
      <alignment horizontal="center" vertical="center"/>
      <protection locked="0"/>
    </xf>
    <xf numFmtId="180" fontId="8" fillId="2" borderId="0" xfId="0" applyNumberFormat="1" applyFont="1" applyFill="1" applyBorder="1" applyAlignment="1" applyProtection="1">
      <alignment horizontal="center" vertical="center" wrapText="1"/>
      <protection locked="0"/>
    </xf>
    <xf numFmtId="0" fontId="8" fillId="2" borderId="0" xfId="0" applyFont="1" applyFill="1" applyBorder="1" applyAlignment="1" applyProtection="1">
      <alignment horizontal="center" vertical="center"/>
      <protection locked="0"/>
    </xf>
    <xf numFmtId="0" fontId="8" fillId="2" borderId="45" xfId="0" applyFont="1" applyFill="1" applyBorder="1" applyAlignment="1" applyProtection="1">
      <alignment horizontal="center" vertical="center"/>
      <protection locked="0"/>
    </xf>
    <xf numFmtId="180" fontId="9" fillId="2" borderId="0" xfId="0" applyNumberFormat="1" applyFont="1" applyFill="1" applyBorder="1" applyAlignment="1" applyProtection="1">
      <alignment horizontal="center" vertical="center" wrapText="1"/>
      <protection locked="0"/>
    </xf>
    <xf numFmtId="0" fontId="9" fillId="2" borderId="0" xfId="0" applyFont="1" applyFill="1" applyBorder="1" applyAlignment="1" applyProtection="1">
      <alignment horizontal="center" vertical="center"/>
      <protection locked="0"/>
    </xf>
    <xf numFmtId="0" fontId="9" fillId="2" borderId="45" xfId="0" applyFont="1" applyFill="1" applyBorder="1" applyAlignment="1" applyProtection="1">
      <alignment horizontal="center" vertical="center"/>
      <protection locked="0"/>
    </xf>
    <xf numFmtId="180" fontId="10" fillId="2" borderId="0" xfId="0" applyNumberFormat="1" applyFont="1" applyFill="1" applyBorder="1" applyAlignment="1" applyProtection="1">
      <alignment horizontal="center" vertical="center" wrapText="1"/>
      <protection locked="0"/>
    </xf>
    <xf numFmtId="0" fontId="13" fillId="2" borderId="45" xfId="0" applyFont="1" applyFill="1" applyBorder="1" applyAlignment="1" applyProtection="1">
      <alignment horizontal="center" vertical="center"/>
      <protection locked="0"/>
    </xf>
    <xf numFmtId="180" fontId="11" fillId="2" borderId="0" xfId="0" applyNumberFormat="1" applyFont="1" applyFill="1" applyBorder="1" applyAlignment="1" applyProtection="1">
      <alignment horizontal="center" vertical="center" wrapText="1"/>
      <protection locked="0"/>
    </xf>
    <xf numFmtId="0" fontId="10" fillId="2" borderId="0" xfId="0" applyFont="1" applyFill="1" applyBorder="1" applyAlignment="1" applyProtection="1">
      <alignment horizontal="center" vertical="center"/>
      <protection locked="0"/>
    </xf>
    <xf numFmtId="0" fontId="10" fillId="2" borderId="45" xfId="0" applyFont="1" applyFill="1" applyBorder="1" applyAlignment="1" applyProtection="1">
      <alignment horizontal="center" vertical="center"/>
      <protection locked="0"/>
    </xf>
    <xf numFmtId="0" fontId="13" fillId="2" borderId="60" xfId="0" applyFont="1" applyFill="1" applyBorder="1" applyAlignment="1" applyProtection="1">
      <alignment horizontal="center" vertical="center" textRotation="255" wrapText="1"/>
    </xf>
    <xf numFmtId="180" fontId="13" fillId="2" borderId="0" xfId="0" applyNumberFormat="1" applyFont="1" applyFill="1" applyBorder="1" applyAlignment="1" applyProtection="1">
      <alignment vertical="center" wrapText="1"/>
      <protection locked="0"/>
    </xf>
    <xf numFmtId="180" fontId="11" fillId="2" borderId="0" xfId="0" applyNumberFormat="1" applyFont="1" applyFill="1" applyAlignment="1" applyProtection="1">
      <alignment horizontal="center" vertical="center"/>
      <protection locked="0"/>
    </xf>
    <xf numFmtId="0" fontId="11" fillId="2" borderId="0" xfId="0" applyFont="1" applyFill="1" applyAlignment="1" applyProtection="1">
      <alignment horizontal="center" vertical="center"/>
      <protection locked="0"/>
    </xf>
    <xf numFmtId="0" fontId="13" fillId="0" borderId="0" xfId="0" applyFont="1" applyBorder="1" applyAlignment="1" applyProtection="1">
      <protection locked="0"/>
    </xf>
    <xf numFmtId="49" fontId="8" fillId="0" borderId="0" xfId="0" applyNumberFormat="1" applyFont="1" applyFill="1" applyBorder="1" applyAlignment="1" applyProtection="1">
      <alignment horizontal="center" vertical="center"/>
      <protection locked="0"/>
    </xf>
    <xf numFmtId="9" fontId="8" fillId="0" borderId="0" xfId="0" applyNumberFormat="1" applyFont="1" applyFill="1" applyBorder="1" applyAlignment="1" applyProtection="1">
      <alignment horizontal="center" vertical="center" wrapText="1"/>
      <protection locked="0"/>
    </xf>
    <xf numFmtId="0" fontId="8" fillId="0" borderId="62" xfId="0" applyNumberFormat="1" applyFont="1" applyFill="1" applyBorder="1" applyAlignment="1" applyProtection="1">
      <alignment horizontal="center" vertical="center" wrapText="1"/>
    </xf>
    <xf numFmtId="0" fontId="8" fillId="0" borderId="69" xfId="0" applyNumberFormat="1" applyFont="1" applyFill="1" applyBorder="1" applyAlignment="1" applyProtection="1">
      <alignment horizontal="center" vertical="center" wrapText="1"/>
    </xf>
    <xf numFmtId="0" fontId="8" fillId="2" borderId="0" xfId="0" applyNumberFormat="1" applyFont="1" applyFill="1" applyBorder="1" applyAlignment="1" applyProtection="1">
      <alignment horizontal="center" vertical="center" wrapText="1"/>
      <protection locked="0"/>
    </xf>
    <xf numFmtId="0" fontId="23" fillId="0" borderId="0" xfId="0" applyFont="1" applyFill="1" applyBorder="1" applyAlignment="1" applyProtection="1">
      <alignment vertical="center"/>
      <protection locked="0"/>
    </xf>
    <xf numFmtId="0" fontId="11" fillId="2" borderId="0" xfId="0" applyNumberFormat="1" applyFont="1" applyFill="1" applyBorder="1" applyAlignment="1" applyProtection="1">
      <alignment horizontal="center" vertical="center" wrapText="1"/>
      <protection locked="0"/>
    </xf>
    <xf numFmtId="0" fontId="8" fillId="0" borderId="0" xfId="0" applyFont="1" applyFill="1" applyBorder="1" applyAlignment="1" applyProtection="1">
      <alignment horizontal="center" vertical="center" wrapText="1"/>
      <protection locked="0"/>
    </xf>
    <xf numFmtId="0" fontId="13" fillId="2" borderId="0" xfId="0" applyNumberFormat="1" applyFont="1" applyFill="1" applyBorder="1" applyAlignment="1" applyProtection="1">
      <alignment horizontal="center" vertical="center" wrapText="1"/>
      <protection locked="0"/>
    </xf>
    <xf numFmtId="0" fontId="10" fillId="2" borderId="0" xfId="0" applyNumberFormat="1" applyFont="1" applyFill="1" applyBorder="1" applyAlignment="1" applyProtection="1">
      <alignment horizontal="center" vertical="center" wrapText="1"/>
      <protection locked="0"/>
    </xf>
    <xf numFmtId="0" fontId="10" fillId="0" borderId="0" xfId="0" applyFont="1" applyFill="1" applyBorder="1" applyAlignment="1" applyProtection="1">
      <alignment horizontal="center" vertical="center" wrapText="1"/>
      <protection locked="0"/>
    </xf>
    <xf numFmtId="0" fontId="18" fillId="5" borderId="1" xfId="0" applyNumberFormat="1" applyFont="1" applyFill="1" applyBorder="1" applyAlignment="1" applyProtection="1">
      <alignment horizontal="center" vertical="center"/>
    </xf>
    <xf numFmtId="9" fontId="10" fillId="0" borderId="0" xfId="0" applyNumberFormat="1" applyFont="1" applyFill="1" applyBorder="1" applyAlignment="1" applyProtection="1">
      <alignment horizontal="center" vertical="center" wrapText="1"/>
      <protection locked="0"/>
    </xf>
    <xf numFmtId="0" fontId="18" fillId="2" borderId="35" xfId="0" applyNumberFormat="1" applyFont="1" applyFill="1" applyBorder="1" applyAlignment="1" applyProtection="1">
      <alignment vertical="center" wrapText="1"/>
    </xf>
    <xf numFmtId="0" fontId="10" fillId="0" borderId="0" xfId="0" applyFont="1" applyFill="1" applyBorder="1" applyAlignment="1" applyProtection="1">
      <alignment horizontal="center" vertical="center"/>
      <protection locked="0"/>
    </xf>
    <xf numFmtId="0" fontId="10" fillId="0" borderId="0" xfId="0" applyFont="1" applyFill="1" applyBorder="1" applyAlignment="1" applyProtection="1">
      <alignment vertical="center" wrapText="1"/>
      <protection locked="0"/>
    </xf>
    <xf numFmtId="0" fontId="8" fillId="0" borderId="0" xfId="0" applyFont="1" applyFill="1" applyBorder="1" applyAlignment="1" applyProtection="1">
      <alignment vertical="center" wrapText="1"/>
      <protection locked="0"/>
    </xf>
    <xf numFmtId="0" fontId="13" fillId="0" borderId="0" xfId="0" applyFont="1" applyFill="1" applyBorder="1" applyAlignment="1" applyProtection="1">
      <alignment horizontal="center" vertical="center" wrapText="1"/>
      <protection locked="0"/>
    </xf>
    <xf numFmtId="9" fontId="10" fillId="0" borderId="0" xfId="0" applyNumberFormat="1" applyFont="1" applyFill="1" applyBorder="1" applyAlignment="1" applyProtection="1">
      <alignment horizontal="center" vertical="center"/>
      <protection locked="0"/>
    </xf>
    <xf numFmtId="9" fontId="13" fillId="0" borderId="0" xfId="0" applyNumberFormat="1" applyFont="1" applyFill="1" applyBorder="1" applyAlignment="1" applyProtection="1">
      <alignment horizontal="center" vertical="center" wrapText="1"/>
      <protection locked="0"/>
    </xf>
    <xf numFmtId="0" fontId="17" fillId="2" borderId="0" xfId="0" applyFont="1" applyFill="1" applyBorder="1" applyAlignment="1" applyProtection="1">
      <alignment vertical="center"/>
    </xf>
    <xf numFmtId="0" fontId="7" fillId="2" borderId="0" xfId="0" applyFont="1" applyFill="1" applyAlignment="1" applyProtection="1">
      <alignment horizontal="center" vertical="center"/>
      <protection locked="0"/>
    </xf>
    <xf numFmtId="0" fontId="8" fillId="0" borderId="43" xfId="0" applyNumberFormat="1" applyFont="1" applyFill="1" applyBorder="1" applyAlignment="1" applyProtection="1">
      <alignment horizontal="center" vertical="center" wrapText="1"/>
      <protection locked="0"/>
    </xf>
    <xf numFmtId="49" fontId="13" fillId="2" borderId="40" xfId="0" applyNumberFormat="1" applyFont="1" applyFill="1" applyBorder="1" applyAlignment="1" applyProtection="1">
      <alignment horizontal="center" vertical="center" wrapText="1"/>
    </xf>
    <xf numFmtId="0" fontId="13" fillId="2" borderId="22" xfId="0" applyNumberFormat="1" applyFont="1" applyFill="1" applyBorder="1" applyAlignment="1" applyProtection="1">
      <alignment horizontal="center" vertical="center" wrapText="1"/>
    </xf>
    <xf numFmtId="0" fontId="13" fillId="3" borderId="45" xfId="0" applyNumberFormat="1" applyFont="1" applyFill="1" applyBorder="1" applyAlignment="1" applyProtection="1">
      <alignment horizontal="center" vertical="center" wrapText="1"/>
      <protection locked="0"/>
    </xf>
    <xf numFmtId="0" fontId="13" fillId="0" borderId="3" xfId="0" applyNumberFormat="1" applyFont="1" applyFill="1" applyBorder="1" applyAlignment="1" applyProtection="1">
      <alignment horizontal="center" vertical="center" wrapText="1"/>
      <protection locked="0"/>
    </xf>
    <xf numFmtId="0" fontId="8" fillId="3" borderId="43" xfId="0" applyNumberFormat="1" applyFont="1" applyFill="1" applyBorder="1" applyAlignment="1" applyProtection="1">
      <alignment horizontal="center" vertical="center" wrapText="1"/>
      <protection locked="0"/>
    </xf>
    <xf numFmtId="0" fontId="8" fillId="3" borderId="32" xfId="0" applyNumberFormat="1" applyFont="1" applyFill="1" applyBorder="1" applyAlignment="1" applyProtection="1">
      <alignment horizontal="center" vertical="center" wrapText="1"/>
      <protection locked="0"/>
    </xf>
    <xf numFmtId="0" fontId="13" fillId="0" borderId="54" xfId="0" applyNumberFormat="1" applyFont="1" applyFill="1" applyBorder="1" applyAlignment="1" applyProtection="1">
      <alignment horizontal="center" vertical="center" wrapText="1"/>
      <protection locked="0"/>
    </xf>
    <xf numFmtId="0" fontId="8" fillId="0" borderId="22" xfId="0" applyNumberFormat="1" applyFont="1" applyFill="1" applyBorder="1" applyAlignment="1" applyProtection="1">
      <alignment horizontal="center" vertical="center" wrapText="1"/>
      <protection locked="0"/>
    </xf>
    <xf numFmtId="0" fontId="13" fillId="2" borderId="9" xfId="0" applyFont="1" applyFill="1" applyBorder="1" applyAlignment="1" applyProtection="1">
      <alignment horizontal="center" vertical="center" wrapText="1"/>
    </xf>
    <xf numFmtId="0" fontId="13" fillId="2" borderId="15" xfId="0" applyFont="1" applyFill="1" applyBorder="1" applyAlignment="1" applyProtection="1">
      <alignment horizontal="center" vertical="center" wrapText="1"/>
    </xf>
    <xf numFmtId="0" fontId="13" fillId="2" borderId="46" xfId="0" applyFont="1" applyFill="1" applyBorder="1" applyAlignment="1" applyProtection="1">
      <alignment horizontal="center" vertical="center" wrapText="1"/>
    </xf>
    <xf numFmtId="0" fontId="8" fillId="2" borderId="34" xfId="0" applyFont="1" applyFill="1" applyBorder="1" applyAlignment="1" applyProtection="1">
      <alignment horizontal="center" vertical="center"/>
    </xf>
    <xf numFmtId="0" fontId="13" fillId="2" borderId="20" xfId="0" applyFont="1" applyFill="1" applyBorder="1" applyAlignment="1" applyProtection="1">
      <alignment horizontal="center" vertical="center" wrapText="1"/>
    </xf>
    <xf numFmtId="0" fontId="13" fillId="2" borderId="31" xfId="0" applyFont="1" applyFill="1" applyBorder="1" applyAlignment="1" applyProtection="1">
      <alignment horizontal="center" vertical="center" wrapText="1"/>
    </xf>
    <xf numFmtId="0" fontId="13" fillId="2" borderId="20" xfId="0" applyFont="1" applyFill="1" applyBorder="1" applyAlignment="1" applyProtection="1">
      <alignment horizontal="center" vertical="center" textRotation="255" wrapText="1"/>
    </xf>
    <xf numFmtId="0" fontId="13" fillId="2" borderId="31" xfId="0" applyFont="1" applyFill="1" applyBorder="1" applyAlignment="1" applyProtection="1">
      <alignment horizontal="center" vertical="center" textRotation="255" wrapText="1"/>
    </xf>
    <xf numFmtId="0" fontId="13" fillId="2" borderId="32" xfId="0" applyFont="1" applyFill="1" applyBorder="1" applyAlignment="1" applyProtection="1">
      <alignment horizontal="center" vertical="center" textRotation="255" wrapText="1"/>
    </xf>
    <xf numFmtId="0" fontId="13" fillId="2" borderId="37" xfId="0" applyFont="1" applyFill="1" applyBorder="1" applyAlignment="1" applyProtection="1">
      <alignment horizontal="center" vertical="center" wrapText="1"/>
    </xf>
    <xf numFmtId="0" fontId="13" fillId="2" borderId="40" xfId="0" applyFont="1" applyFill="1" applyBorder="1" applyAlignment="1" applyProtection="1">
      <alignment horizontal="center" vertical="center" wrapText="1"/>
    </xf>
    <xf numFmtId="0" fontId="13" fillId="2" borderId="73" xfId="0" applyFont="1" applyFill="1" applyBorder="1" applyAlignment="1" applyProtection="1">
      <alignment horizontal="center" vertical="center"/>
    </xf>
    <xf numFmtId="0" fontId="13" fillId="2" borderId="40" xfId="0" applyFont="1" applyFill="1" applyBorder="1" applyAlignment="1" applyProtection="1">
      <alignment horizontal="center" vertical="center"/>
    </xf>
    <xf numFmtId="0" fontId="13" fillId="2" borderId="63" xfId="0" applyFont="1" applyFill="1" applyBorder="1" applyAlignment="1" applyProtection="1">
      <alignment horizontal="center" vertical="center"/>
    </xf>
    <xf numFmtId="0" fontId="13" fillId="2" borderId="49" xfId="0" applyFont="1" applyFill="1" applyBorder="1" applyAlignment="1" applyProtection="1">
      <alignment horizontal="center" vertical="center" wrapText="1"/>
    </xf>
    <xf numFmtId="0" fontId="18" fillId="2" borderId="8" xfId="0" applyNumberFormat="1" applyFont="1" applyFill="1" applyBorder="1" applyAlignment="1" applyProtection="1">
      <alignment horizontal="center" vertical="center"/>
    </xf>
    <xf numFmtId="0" fontId="13" fillId="2" borderId="19" xfId="0" applyFont="1" applyFill="1" applyBorder="1" applyAlignment="1" applyProtection="1">
      <alignment horizontal="center" vertical="center"/>
    </xf>
    <xf numFmtId="0" fontId="13" fillId="2" borderId="39" xfId="0" applyFont="1" applyFill="1" applyBorder="1" applyAlignment="1" applyProtection="1">
      <alignment horizontal="center" vertical="center"/>
    </xf>
    <xf numFmtId="0" fontId="13" fillId="2" borderId="42" xfId="0" applyFont="1" applyFill="1" applyBorder="1" applyAlignment="1" applyProtection="1">
      <alignment horizontal="center" vertical="center"/>
    </xf>
    <xf numFmtId="0" fontId="8" fillId="2" borderId="17" xfId="0" applyNumberFormat="1" applyFont="1" applyFill="1" applyBorder="1" applyAlignment="1" applyProtection="1">
      <alignment horizontal="center" vertical="center"/>
    </xf>
    <xf numFmtId="0" fontId="13" fillId="2" borderId="17" xfId="0" applyNumberFormat="1" applyFont="1" applyFill="1" applyBorder="1" applyAlignment="1" applyProtection="1">
      <alignment horizontal="center" vertical="center"/>
    </xf>
    <xf numFmtId="0" fontId="13" fillId="2" borderId="55" xfId="0" applyFont="1" applyFill="1" applyBorder="1" applyAlignment="1" applyProtection="1">
      <alignment horizontal="center" vertical="center"/>
    </xf>
    <xf numFmtId="0" fontId="8" fillId="0" borderId="134" xfId="0" applyNumberFormat="1" applyFont="1" applyFill="1" applyBorder="1" applyAlignment="1" applyProtection="1">
      <alignment horizontal="center" vertical="center"/>
      <protection locked="0"/>
    </xf>
    <xf numFmtId="0" fontId="10" fillId="6" borderId="57" xfId="0" applyFont="1" applyFill="1" applyBorder="1" applyAlignment="1" applyProtection="1">
      <alignment vertical="center" wrapText="1"/>
      <protection locked="0"/>
    </xf>
    <xf numFmtId="0" fontId="13" fillId="0" borderId="67" xfId="0" applyNumberFormat="1" applyFont="1" applyFill="1" applyBorder="1" applyAlignment="1" applyProtection="1">
      <alignment horizontal="left" vertical="center" wrapText="1"/>
      <protection locked="0"/>
    </xf>
    <xf numFmtId="0" fontId="13" fillId="0" borderId="71" xfId="0" applyNumberFormat="1" applyFont="1" applyFill="1" applyBorder="1" applyAlignment="1" applyProtection="1">
      <alignment horizontal="center" vertical="center" wrapText="1"/>
      <protection locked="0"/>
    </xf>
    <xf numFmtId="0" fontId="13" fillId="0" borderId="15" xfId="0" applyFont="1" applyFill="1" applyBorder="1" applyAlignment="1" applyProtection="1">
      <alignment horizontal="center" vertical="center"/>
      <protection locked="0"/>
    </xf>
    <xf numFmtId="0" fontId="15" fillId="2" borderId="127" xfId="0" applyFont="1" applyFill="1" applyBorder="1" applyAlignment="1" applyProtection="1">
      <alignment horizontal="right" vertical="center"/>
    </xf>
    <xf numFmtId="0" fontId="15" fillId="2" borderId="135" xfId="0" applyFont="1" applyFill="1" applyBorder="1" applyAlignment="1" applyProtection="1">
      <alignment vertical="center"/>
    </xf>
    <xf numFmtId="0" fontId="13" fillId="3" borderId="11" xfId="0" applyFont="1" applyFill="1" applyBorder="1" applyAlignment="1" applyProtection="1">
      <alignment horizontal="center" vertical="center" wrapText="1"/>
      <protection locked="0"/>
    </xf>
    <xf numFmtId="0" fontId="13" fillId="3" borderId="16" xfId="0" applyFont="1" applyFill="1" applyBorder="1" applyAlignment="1" applyProtection="1">
      <alignment horizontal="center" vertical="center" wrapText="1"/>
      <protection locked="0"/>
    </xf>
    <xf numFmtId="17" fontId="10" fillId="0" borderId="34" xfId="0" applyNumberFormat="1" applyFont="1" applyFill="1" applyBorder="1" applyAlignment="1" applyProtection="1">
      <alignment horizontal="center" vertical="center" wrapText="1"/>
      <protection locked="0"/>
    </xf>
    <xf numFmtId="0" fontId="10" fillId="0" borderId="34" xfId="0" applyNumberFormat="1" applyFont="1" applyFill="1" applyBorder="1" applyAlignment="1" applyProtection="1">
      <alignment horizontal="center" vertical="center" wrapText="1"/>
      <protection locked="0"/>
    </xf>
    <xf numFmtId="0" fontId="15" fillId="2" borderId="136" xfId="0" applyFont="1" applyFill="1" applyBorder="1" applyAlignment="1" applyProtection="1">
      <alignment horizontal="center" vertical="center"/>
      <protection locked="0"/>
    </xf>
    <xf numFmtId="0" fontId="15" fillId="2" borderId="15" xfId="0" applyFont="1" applyFill="1" applyBorder="1" applyAlignment="1" applyProtection="1">
      <alignment horizontal="center" vertical="center"/>
      <protection locked="0"/>
    </xf>
    <xf numFmtId="0" fontId="13" fillId="6" borderId="15" xfId="0" applyFont="1" applyFill="1" applyBorder="1" applyAlignment="1" applyProtection="1">
      <alignment horizontal="center" vertical="center"/>
      <protection locked="0"/>
    </xf>
    <xf numFmtId="0" fontId="11" fillId="6" borderId="15" xfId="0" applyFont="1" applyFill="1" applyBorder="1" applyAlignment="1" applyProtection="1">
      <alignment horizontal="center" vertical="center"/>
      <protection locked="0"/>
    </xf>
    <xf numFmtId="0" fontId="13" fillId="6" borderId="15" xfId="0" applyFont="1" applyFill="1" applyBorder="1" applyAlignment="1" applyProtection="1">
      <protection locked="0"/>
    </xf>
    <xf numFmtId="49" fontId="8" fillId="6" borderId="15" xfId="0" applyNumberFormat="1" applyFont="1" applyFill="1" applyBorder="1" applyAlignment="1" applyProtection="1">
      <alignment horizontal="center" vertical="center"/>
      <protection locked="0"/>
    </xf>
    <xf numFmtId="9" fontId="8" fillId="6" borderId="15" xfId="0" applyNumberFormat="1" applyFont="1" applyFill="1" applyBorder="1" applyAlignment="1" applyProtection="1">
      <alignment horizontal="center" vertical="center" wrapText="1"/>
      <protection locked="0"/>
    </xf>
    <xf numFmtId="0" fontId="23" fillId="6" borderId="15" xfId="0" applyFont="1" applyFill="1" applyBorder="1" applyAlignment="1" applyProtection="1">
      <alignment vertical="center"/>
      <protection locked="0"/>
    </xf>
    <xf numFmtId="0" fontId="8" fillId="6" borderId="15" xfId="0" applyFont="1" applyFill="1" applyBorder="1" applyAlignment="1" applyProtection="1">
      <alignment horizontal="center" vertical="center" wrapText="1"/>
      <protection locked="0"/>
    </xf>
    <xf numFmtId="0" fontId="15" fillId="2" borderId="72" xfId="0" applyFont="1" applyFill="1" applyBorder="1" applyAlignment="1" applyProtection="1">
      <alignment horizontal="center" vertical="center"/>
      <protection locked="0"/>
    </xf>
    <xf numFmtId="0" fontId="7" fillId="2" borderId="72" xfId="0" applyFont="1" applyFill="1" applyBorder="1" applyAlignment="1" applyProtection="1">
      <alignment horizontal="center" vertical="center"/>
      <protection locked="0"/>
    </xf>
    <xf numFmtId="0" fontId="7" fillId="2" borderId="0" xfId="0" applyFont="1" applyFill="1" applyBorder="1" applyAlignment="1" applyProtection="1">
      <alignment horizontal="center" vertical="center"/>
      <protection locked="0"/>
    </xf>
    <xf numFmtId="0" fontId="23" fillId="0" borderId="67" xfId="0" applyNumberFormat="1" applyFont="1" applyFill="1" applyBorder="1" applyAlignment="1" applyProtection="1">
      <alignment horizontal="center" vertical="center" wrapText="1"/>
      <protection locked="0"/>
    </xf>
    <xf numFmtId="0" fontId="10" fillId="6" borderId="15" xfId="0" applyFont="1" applyFill="1" applyBorder="1" applyAlignment="1" applyProtection="1">
      <alignment horizontal="center" vertical="center" wrapText="1"/>
      <protection locked="0"/>
    </xf>
    <xf numFmtId="0" fontId="10" fillId="6" borderId="15" xfId="0" applyFont="1" applyFill="1" applyBorder="1" applyAlignment="1" applyProtection="1">
      <alignment horizontal="center" vertical="center"/>
      <protection locked="0"/>
    </xf>
    <xf numFmtId="0" fontId="10" fillId="6" borderId="15" xfId="0" applyFont="1" applyFill="1" applyBorder="1" applyAlignment="1" applyProtection="1">
      <alignment vertical="center" wrapText="1"/>
      <protection locked="0"/>
    </xf>
    <xf numFmtId="0" fontId="8" fillId="6" borderId="15" xfId="0" applyFont="1" applyFill="1" applyBorder="1" applyAlignment="1" applyProtection="1">
      <alignment vertical="center" wrapText="1"/>
      <protection locked="0"/>
    </xf>
    <xf numFmtId="0" fontId="29" fillId="0" borderId="0" xfId="0" applyFont="1" applyFill="1" applyAlignment="1" applyProtection="1">
      <alignment horizontal="center" vertical="center"/>
      <protection locked="0"/>
    </xf>
    <xf numFmtId="0" fontId="15" fillId="2" borderId="135" xfId="0" applyFont="1" applyFill="1" applyBorder="1" applyAlignment="1" applyProtection="1">
      <alignment vertical="center"/>
      <protection locked="0"/>
    </xf>
    <xf numFmtId="0" fontId="83" fillId="2" borderId="0" xfId="0" applyFont="1" applyFill="1" applyBorder="1" applyAlignment="1" applyProtection="1">
      <alignment vertical="center"/>
      <protection locked="0"/>
    </xf>
    <xf numFmtId="49" fontId="8" fillId="3" borderId="27" xfId="0" applyNumberFormat="1" applyFont="1" applyFill="1" applyBorder="1" applyAlignment="1" applyProtection="1">
      <alignment horizontal="center" vertical="center" wrapText="1"/>
      <protection locked="0"/>
    </xf>
    <xf numFmtId="49" fontId="13" fillId="3" borderId="4" xfId="0" applyNumberFormat="1" applyFont="1" applyFill="1" applyBorder="1" applyAlignment="1" applyProtection="1">
      <alignment horizontal="center" vertical="center" wrapText="1"/>
      <protection locked="0"/>
    </xf>
    <xf numFmtId="0" fontId="13" fillId="3" borderId="13" xfId="0" applyFont="1" applyFill="1" applyBorder="1" applyAlignment="1" applyProtection="1">
      <alignment horizontal="center" vertical="center" wrapText="1"/>
      <protection locked="0"/>
    </xf>
    <xf numFmtId="0" fontId="13" fillId="3" borderId="4" xfId="0" applyFont="1" applyFill="1" applyBorder="1" applyAlignment="1" applyProtection="1">
      <alignment horizontal="center" vertical="center" wrapText="1"/>
      <protection locked="0"/>
    </xf>
    <xf numFmtId="0" fontId="18" fillId="2" borderId="19" xfId="0" applyNumberFormat="1" applyFont="1" applyFill="1" applyBorder="1" applyAlignment="1" applyProtection="1">
      <alignment vertical="center" wrapText="1"/>
      <protection locked="0"/>
    </xf>
    <xf numFmtId="189" fontId="8" fillId="2" borderId="40" xfId="0" applyNumberFormat="1" applyFont="1" applyFill="1" applyBorder="1" applyAlignment="1" applyProtection="1">
      <alignment horizontal="center" vertical="center" wrapText="1"/>
    </xf>
    <xf numFmtId="0" fontId="20" fillId="2" borderId="0" xfId="0" applyNumberFormat="1" applyFont="1" applyFill="1" applyBorder="1" applyAlignment="1" applyProtection="1">
      <alignment vertical="center" wrapText="1"/>
    </xf>
    <xf numFmtId="0" fontId="15" fillId="2" borderId="136" xfId="0" applyFont="1" applyFill="1" applyBorder="1" applyAlignment="1" applyProtection="1">
      <alignment horizontal="center" vertical="center"/>
    </xf>
    <xf numFmtId="176" fontId="17" fillId="2" borderId="0" xfId="0" applyNumberFormat="1" applyFont="1" applyFill="1" applyBorder="1" applyAlignment="1" applyProtection="1">
      <alignment horizontal="center" vertical="center"/>
      <protection locked="0"/>
    </xf>
    <xf numFmtId="180" fontId="17" fillId="6" borderId="0" xfId="0" applyNumberFormat="1" applyFont="1" applyFill="1" applyBorder="1" applyAlignment="1" applyProtection="1">
      <alignment vertical="center"/>
      <protection locked="0"/>
    </xf>
    <xf numFmtId="0" fontId="17" fillId="6" borderId="0" xfId="0" applyFont="1" applyFill="1" applyBorder="1" applyAlignment="1" applyProtection="1">
      <alignment horizontal="center" vertical="center"/>
      <protection locked="0"/>
    </xf>
    <xf numFmtId="0" fontId="17" fillId="2" borderId="15" xfId="0" applyFont="1" applyFill="1" applyBorder="1" applyAlignment="1" applyProtection="1">
      <alignment horizontal="center" vertical="center"/>
    </xf>
    <xf numFmtId="176" fontId="8" fillId="2" borderId="52" xfId="0" applyNumberFormat="1" applyFont="1" applyFill="1" applyBorder="1" applyAlignment="1" applyProtection="1">
      <alignment horizontal="center" vertical="center" wrapText="1"/>
    </xf>
    <xf numFmtId="176" fontId="8" fillId="2" borderId="59" xfId="0" applyNumberFormat="1" applyFont="1" applyFill="1" applyBorder="1" applyAlignment="1" applyProtection="1">
      <alignment horizontal="center" vertical="center" wrapText="1"/>
    </xf>
    <xf numFmtId="0" fontId="8" fillId="2" borderId="59" xfId="0" applyNumberFormat="1" applyFont="1" applyFill="1" applyBorder="1" applyAlignment="1" applyProtection="1">
      <alignment horizontal="center" vertical="center" wrapText="1"/>
    </xf>
    <xf numFmtId="0" fontId="29" fillId="0" borderId="59" xfId="0" applyNumberFormat="1" applyFont="1" applyFill="1" applyBorder="1" applyAlignment="1" applyProtection="1">
      <alignment horizontal="center" vertical="center" wrapText="1"/>
      <protection locked="0"/>
    </xf>
    <xf numFmtId="0" fontId="29" fillId="2" borderId="59" xfId="0" applyNumberFormat="1" applyFont="1" applyFill="1" applyBorder="1" applyAlignment="1" applyProtection="1">
      <alignment horizontal="center" vertical="center" wrapText="1"/>
    </xf>
    <xf numFmtId="0" fontId="29" fillId="0" borderId="137" xfId="0" applyNumberFormat="1" applyFont="1" applyFill="1" applyBorder="1" applyAlignment="1" applyProtection="1">
      <alignment horizontal="center" vertical="center" wrapText="1"/>
      <protection locked="0"/>
    </xf>
    <xf numFmtId="0" fontId="29" fillId="2" borderId="138" xfId="0" applyNumberFormat="1" applyFont="1" applyFill="1" applyBorder="1" applyAlignment="1" applyProtection="1">
      <alignment horizontal="center" vertical="center" wrapText="1"/>
    </xf>
    <xf numFmtId="0" fontId="29" fillId="2" borderId="131" xfId="0" applyNumberFormat="1" applyFont="1" applyFill="1" applyBorder="1" applyAlignment="1" applyProtection="1">
      <alignment horizontal="center" vertical="center" wrapText="1"/>
    </xf>
    <xf numFmtId="176" fontId="13" fillId="2" borderId="59" xfId="0" applyNumberFormat="1" applyFont="1" applyFill="1" applyBorder="1" applyAlignment="1" applyProtection="1">
      <alignment horizontal="center" vertical="center"/>
    </xf>
    <xf numFmtId="184" fontId="13" fillId="5" borderId="59" xfId="0" applyNumberFormat="1" applyFont="1" applyFill="1" applyBorder="1" applyAlignment="1" applyProtection="1">
      <alignment horizontal="left" vertical="center" wrapText="1"/>
    </xf>
    <xf numFmtId="176" fontId="13" fillId="2" borderId="38" xfId="0" applyNumberFormat="1" applyFont="1" applyFill="1" applyBorder="1" applyAlignment="1" applyProtection="1">
      <alignment horizontal="center" vertical="center" wrapText="1"/>
    </xf>
    <xf numFmtId="0" fontId="11" fillId="0" borderId="15" xfId="0" applyFont="1" applyFill="1" applyBorder="1" applyAlignment="1" applyProtection="1">
      <alignment horizontal="center" vertical="center"/>
      <protection locked="0"/>
    </xf>
    <xf numFmtId="0" fontId="13" fillId="0" borderId="15" xfId="0" applyFont="1" applyBorder="1" applyAlignment="1" applyProtection="1">
      <protection locked="0"/>
    </xf>
    <xf numFmtId="49" fontId="8" fillId="0" borderId="15" xfId="0" applyNumberFormat="1" applyFont="1" applyFill="1" applyBorder="1" applyAlignment="1" applyProtection="1">
      <alignment horizontal="center" vertical="center"/>
      <protection locked="0"/>
    </xf>
    <xf numFmtId="9" fontId="8" fillId="0" borderId="15" xfId="0" applyNumberFormat="1" applyFont="1" applyFill="1" applyBorder="1" applyAlignment="1" applyProtection="1">
      <alignment horizontal="center" vertical="center" wrapText="1"/>
      <protection locked="0"/>
    </xf>
    <xf numFmtId="0" fontId="23" fillId="0" borderId="15" xfId="0" applyFont="1" applyFill="1" applyBorder="1" applyAlignment="1" applyProtection="1">
      <alignment vertical="center"/>
      <protection locked="0"/>
    </xf>
    <xf numFmtId="0" fontId="8" fillId="0" borderId="15" xfId="0" applyFont="1" applyFill="1" applyBorder="1" applyAlignment="1" applyProtection="1">
      <alignment horizontal="center" vertical="center" wrapText="1"/>
      <protection locked="0"/>
    </xf>
    <xf numFmtId="0" fontId="17" fillId="2" borderId="0" xfId="0" applyFont="1" applyFill="1" applyBorder="1" applyAlignment="1" applyProtection="1">
      <alignment horizontal="center" vertical="center"/>
    </xf>
    <xf numFmtId="0" fontId="29" fillId="2" borderId="0"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10" fillId="0" borderId="15" xfId="0" applyFont="1" applyFill="1" applyBorder="1" applyAlignment="1" applyProtection="1">
      <alignment horizontal="center" vertical="center" wrapText="1"/>
      <protection locked="0"/>
    </xf>
    <xf numFmtId="0" fontId="10" fillId="0" borderId="15" xfId="0" applyFont="1" applyFill="1" applyBorder="1" applyAlignment="1" applyProtection="1">
      <alignment horizontal="center" vertical="center"/>
      <protection locked="0"/>
    </xf>
    <xf numFmtId="0" fontId="10" fillId="0" borderId="15" xfId="0" applyFont="1" applyFill="1" applyBorder="1" applyAlignment="1" applyProtection="1">
      <alignment vertical="center" wrapText="1"/>
      <protection locked="0"/>
    </xf>
    <xf numFmtId="0" fontId="8" fillId="0" borderId="15" xfId="0" applyFont="1" applyFill="1" applyBorder="1" applyAlignment="1" applyProtection="1">
      <alignment vertical="center" wrapText="1"/>
      <protection locked="0"/>
    </xf>
    <xf numFmtId="0" fontId="10" fillId="2" borderId="1" xfId="0" applyNumberFormat="1" applyFont="1" applyFill="1" applyBorder="1" applyAlignment="1" applyProtection="1">
      <alignment horizontal="center" vertical="center" wrapText="1"/>
    </xf>
    <xf numFmtId="0" fontId="10" fillId="2" borderId="1" xfId="0" applyNumberFormat="1" applyFont="1" applyFill="1" applyBorder="1" applyAlignment="1" applyProtection="1">
      <alignment horizontal="left" vertical="center" wrapText="1"/>
    </xf>
    <xf numFmtId="0" fontId="10" fillId="2" borderId="17" xfId="0" applyNumberFormat="1" applyFont="1" applyFill="1" applyBorder="1" applyAlignment="1" applyProtection="1">
      <alignment horizontal="center" vertical="center" wrapText="1"/>
    </xf>
    <xf numFmtId="0" fontId="31" fillId="0" borderId="0" xfId="0" applyFont="1" applyFill="1" applyAlignment="1" applyProtection="1">
      <alignment horizontal="left" vertical="center"/>
      <protection locked="0"/>
    </xf>
    <xf numFmtId="0" fontId="23" fillId="2" borderId="9" xfId="0" applyFont="1" applyFill="1" applyBorder="1" applyAlignment="1" applyProtection="1">
      <alignment horizontal="center" vertical="center"/>
    </xf>
    <xf numFmtId="0" fontId="29" fillId="2" borderId="10" xfId="0" applyFont="1" applyFill="1" applyBorder="1" applyAlignment="1" applyProtection="1">
      <alignment horizontal="center" vertical="center"/>
    </xf>
    <xf numFmtId="0" fontId="13" fillId="2" borderId="10" xfId="0" applyFont="1" applyFill="1" applyBorder="1" applyAlignment="1" applyProtection="1">
      <alignment horizontal="center" vertical="center"/>
    </xf>
    <xf numFmtId="0" fontId="13" fillId="2" borderId="75" xfId="0" applyFont="1" applyFill="1" applyBorder="1" applyAlignment="1" applyProtection="1">
      <alignment horizontal="center" vertical="center"/>
    </xf>
    <xf numFmtId="0" fontId="29" fillId="2" borderId="46" xfId="0" applyFont="1" applyFill="1" applyBorder="1" applyProtection="1">
      <alignment vertical="center"/>
    </xf>
    <xf numFmtId="0" fontId="23" fillId="2" borderId="1" xfId="0" applyFont="1" applyFill="1" applyBorder="1" applyAlignment="1" applyProtection="1">
      <alignment horizontal="center" vertical="center"/>
    </xf>
    <xf numFmtId="0" fontId="23" fillId="2" borderId="2" xfId="0" applyFont="1" applyFill="1" applyBorder="1" applyAlignment="1" applyProtection="1">
      <alignment horizontal="center" vertical="center"/>
    </xf>
    <xf numFmtId="0" fontId="23" fillId="2" borderId="139" xfId="0" applyFont="1" applyFill="1" applyBorder="1" applyAlignment="1" applyProtection="1">
      <alignment horizontal="center" vertical="center"/>
    </xf>
    <xf numFmtId="0" fontId="23" fillId="2" borderId="17" xfId="0" applyFont="1" applyFill="1" applyBorder="1" applyAlignment="1" applyProtection="1">
      <alignment horizontal="center" vertical="center"/>
    </xf>
    <xf numFmtId="0" fontId="29" fillId="2" borderId="32" xfId="0" applyFont="1" applyFill="1" applyBorder="1" applyAlignment="1" applyProtection="1">
      <alignment horizontal="center" vertical="center"/>
    </xf>
    <xf numFmtId="0" fontId="29" fillId="0" borderId="60" xfId="0" applyFont="1" applyBorder="1" applyAlignment="1" applyProtection="1">
      <alignment horizontal="center" vertical="center"/>
      <protection locked="0"/>
    </xf>
    <xf numFmtId="0" fontId="23" fillId="0" borderId="60" xfId="0" applyFont="1" applyBorder="1" applyAlignment="1" applyProtection="1">
      <alignment horizontal="center" vertical="center"/>
      <protection locked="0"/>
    </xf>
    <xf numFmtId="0" fontId="29" fillId="0" borderId="50" xfId="0" applyFont="1" applyBorder="1" applyAlignment="1" applyProtection="1">
      <alignment horizontal="center" vertical="center"/>
      <protection locked="0"/>
    </xf>
    <xf numFmtId="0" fontId="29" fillId="0" borderId="140" xfId="0" applyFont="1" applyFill="1" applyBorder="1" applyAlignment="1" applyProtection="1">
      <alignment horizontal="center" vertical="center"/>
      <protection locked="0"/>
    </xf>
    <xf numFmtId="0" fontId="29" fillId="0" borderId="42" xfId="0" applyFont="1" applyBorder="1" applyAlignment="1" applyProtection="1">
      <alignment horizontal="center" vertical="center"/>
      <protection locked="0"/>
    </xf>
    <xf numFmtId="0" fontId="29" fillId="2" borderId="16" xfId="0" applyFont="1" applyFill="1" applyBorder="1" applyAlignment="1" applyProtection="1">
      <alignment horizontal="center" vertical="center"/>
    </xf>
    <xf numFmtId="0" fontId="29" fillId="0" borderId="1" xfId="0" applyFont="1" applyBorder="1" applyAlignment="1" applyProtection="1">
      <alignment horizontal="center" vertical="center"/>
      <protection locked="0"/>
    </xf>
    <xf numFmtId="0" fontId="29" fillId="0" borderId="2" xfId="0" applyFont="1" applyBorder="1" applyAlignment="1" applyProtection="1">
      <alignment horizontal="center" vertical="center"/>
      <protection locked="0"/>
    </xf>
    <xf numFmtId="0" fontId="29" fillId="0" borderId="139" xfId="0" applyFont="1" applyFill="1" applyBorder="1" applyAlignment="1" applyProtection="1">
      <alignment horizontal="center" vertical="center"/>
      <protection locked="0"/>
    </xf>
    <xf numFmtId="0" fontId="29" fillId="0" borderId="17" xfId="0" applyFont="1" applyBorder="1" applyAlignment="1" applyProtection="1">
      <alignment horizontal="center" vertical="center"/>
      <protection locked="0"/>
    </xf>
    <xf numFmtId="0" fontId="23" fillId="0" borderId="1" xfId="0" applyFont="1" applyBorder="1" applyAlignment="1" applyProtection="1">
      <alignment horizontal="center" vertical="center"/>
      <protection locked="0"/>
    </xf>
    <xf numFmtId="0" fontId="23" fillId="0" borderId="139" xfId="0" applyFont="1" applyFill="1" applyBorder="1" applyAlignment="1" applyProtection="1">
      <alignment horizontal="center" vertical="center"/>
      <protection locked="0"/>
    </xf>
    <xf numFmtId="0" fontId="23" fillId="2" borderId="48" xfId="0" applyFont="1" applyFill="1" applyBorder="1" applyAlignment="1" applyProtection="1">
      <alignment horizontal="center" vertical="center"/>
    </xf>
    <xf numFmtId="0" fontId="29" fillId="2" borderId="8" xfId="0" applyFont="1" applyFill="1" applyBorder="1" applyAlignment="1" applyProtection="1">
      <alignment horizontal="center" vertical="center"/>
    </xf>
    <xf numFmtId="0" fontId="29" fillId="2" borderId="19" xfId="0" applyFont="1" applyFill="1" applyBorder="1" applyAlignment="1" applyProtection="1">
      <alignment horizontal="center" vertical="center"/>
    </xf>
    <xf numFmtId="0" fontId="29" fillId="2" borderId="141" xfId="0" applyFont="1" applyFill="1" applyBorder="1" applyAlignment="1" applyProtection="1">
      <alignment horizontal="left" vertical="center"/>
    </xf>
    <xf numFmtId="0" fontId="23" fillId="2" borderId="10" xfId="0" applyFont="1" applyFill="1" applyBorder="1" applyAlignment="1" applyProtection="1">
      <alignment horizontal="center" vertical="center"/>
    </xf>
    <xf numFmtId="0" fontId="29" fillId="2" borderId="75" xfId="0" applyFont="1" applyFill="1" applyBorder="1" applyAlignment="1" applyProtection="1">
      <alignment horizontal="center" vertical="center"/>
    </xf>
    <xf numFmtId="0" fontId="29" fillId="2" borderId="47" xfId="0" applyFont="1" applyFill="1" applyBorder="1" applyAlignment="1" applyProtection="1">
      <alignment horizontal="center" vertical="center"/>
    </xf>
    <xf numFmtId="0" fontId="23" fillId="2" borderId="43" xfId="0" applyFont="1" applyFill="1" applyBorder="1" applyAlignment="1" applyProtection="1">
      <alignment horizontal="center" vertical="center"/>
    </xf>
    <xf numFmtId="188" fontId="29" fillId="2" borderId="42" xfId="0" applyNumberFormat="1" applyFont="1" applyFill="1" applyBorder="1" applyAlignment="1" applyProtection="1">
      <alignment horizontal="center" vertical="center"/>
    </xf>
    <xf numFmtId="0" fontId="23" fillId="2" borderId="4" xfId="0" applyFont="1" applyFill="1" applyBorder="1" applyAlignment="1" applyProtection="1">
      <alignment horizontal="center" vertical="center"/>
    </xf>
    <xf numFmtId="0" fontId="29" fillId="2" borderId="17" xfId="0" applyFont="1" applyFill="1" applyBorder="1" applyAlignment="1" applyProtection="1">
      <alignment horizontal="center" vertical="center"/>
    </xf>
    <xf numFmtId="186" fontId="29" fillId="2" borderId="17" xfId="0" applyNumberFormat="1" applyFont="1" applyFill="1" applyBorder="1" applyAlignment="1" applyProtection="1">
      <alignment horizontal="center" vertical="center"/>
    </xf>
    <xf numFmtId="186" fontId="29" fillId="0" borderId="17" xfId="0" applyNumberFormat="1" applyFont="1" applyBorder="1" applyAlignment="1" applyProtection="1">
      <alignment horizontal="center" vertical="center"/>
      <protection locked="0"/>
    </xf>
    <xf numFmtId="0" fontId="23" fillId="2" borderId="49" xfId="0" applyFont="1" applyFill="1" applyBorder="1" applyAlignment="1" applyProtection="1">
      <alignment horizontal="center" vertical="center"/>
    </xf>
    <xf numFmtId="0" fontId="29" fillId="0" borderId="8" xfId="0" applyFont="1" applyBorder="1" applyAlignment="1" applyProtection="1">
      <alignment horizontal="center" vertical="center"/>
      <protection locked="0"/>
    </xf>
    <xf numFmtId="186" fontId="29" fillId="2" borderId="38" xfId="0" applyNumberFormat="1" applyFont="1" applyFill="1" applyBorder="1" applyAlignment="1" applyProtection="1">
      <alignment horizontal="center" vertical="center"/>
    </xf>
    <xf numFmtId="0" fontId="23" fillId="2" borderId="10" xfId="0" applyFont="1" applyFill="1" applyBorder="1">
      <alignment vertical="center"/>
    </xf>
    <xf numFmtId="0" fontId="23" fillId="2" borderId="75" xfId="0" applyFont="1" applyFill="1" applyBorder="1">
      <alignment vertical="center"/>
    </xf>
    <xf numFmtId="0" fontId="23" fillId="6" borderId="0" xfId="0" applyFont="1" applyFill="1">
      <alignment vertical="center"/>
    </xf>
    <xf numFmtId="0" fontId="23" fillId="0" borderId="0" xfId="0" applyFont="1" applyProtection="1">
      <alignment vertical="center"/>
      <protection locked="0"/>
    </xf>
    <xf numFmtId="0" fontId="17" fillId="2" borderId="16" xfId="59" applyFont="1" applyFill="1" applyBorder="1" applyAlignment="1" applyProtection="1">
      <alignment vertical="center"/>
    </xf>
    <xf numFmtId="0" fontId="23" fillId="2" borderId="2" xfId="0" applyFont="1" applyFill="1" applyBorder="1">
      <alignment vertical="center"/>
    </xf>
    <xf numFmtId="0" fontId="23" fillId="2" borderId="4" xfId="0" applyFont="1" applyFill="1" applyBorder="1">
      <alignment vertical="center"/>
    </xf>
    <xf numFmtId="0" fontId="81" fillId="2" borderId="1" xfId="0" applyFont="1" applyFill="1" applyBorder="1">
      <alignment vertical="center"/>
    </xf>
    <xf numFmtId="0" fontId="23" fillId="2" borderId="17" xfId="0" applyFont="1" applyFill="1" applyBorder="1" applyAlignment="1" applyProtection="1">
      <alignment horizontal="left" vertical="center"/>
    </xf>
    <xf numFmtId="0" fontId="23" fillId="2" borderId="2" xfId="0" applyFont="1" applyFill="1" applyBorder="1" applyAlignment="1">
      <alignment horizontal="right" vertical="center"/>
    </xf>
    <xf numFmtId="0" fontId="23" fillId="6" borderId="0" xfId="0" applyFont="1" applyFill="1" applyBorder="1">
      <alignment vertical="center"/>
    </xf>
    <xf numFmtId="0" fontId="23" fillId="6" borderId="41" xfId="0" applyFont="1" applyFill="1" applyBorder="1" applyProtection="1">
      <alignment vertical="center"/>
    </xf>
    <xf numFmtId="0" fontId="17" fillId="6" borderId="15" xfId="59" applyFont="1" applyFill="1" applyBorder="1" applyAlignment="1" applyProtection="1">
      <alignment vertical="center"/>
    </xf>
    <xf numFmtId="0" fontId="81" fillId="2" borderId="16" xfId="0" applyFont="1" applyFill="1" applyBorder="1" applyAlignment="1">
      <alignment horizontal="left" vertical="center"/>
    </xf>
    <xf numFmtId="0" fontId="81" fillId="2" borderId="2" xfId="0" applyFont="1" applyFill="1" applyBorder="1" applyAlignment="1">
      <alignment horizontal="center" vertical="center"/>
    </xf>
    <xf numFmtId="0" fontId="81" fillId="2" borderId="4" xfId="0" applyFont="1" applyFill="1" applyBorder="1" applyAlignment="1">
      <alignment horizontal="center" vertical="center"/>
    </xf>
    <xf numFmtId="0" fontId="81" fillId="6" borderId="0" xfId="0" applyFont="1" applyFill="1" applyBorder="1">
      <alignment vertical="center"/>
    </xf>
    <xf numFmtId="0" fontId="81" fillId="2" borderId="2" xfId="0" applyFont="1" applyFill="1" applyBorder="1" applyAlignment="1" applyProtection="1">
      <alignment horizontal="center" vertical="center"/>
    </xf>
    <xf numFmtId="0" fontId="23" fillId="2" borderId="1" xfId="0" applyFont="1" applyFill="1" applyBorder="1" applyAlignment="1">
      <alignment horizontal="center" vertical="center"/>
    </xf>
    <xf numFmtId="0" fontId="23" fillId="2" borderId="16" xfId="0" applyFont="1" applyFill="1" applyBorder="1" applyAlignment="1">
      <alignment horizontal="left" vertical="center"/>
    </xf>
    <xf numFmtId="0" fontId="23" fillId="2" borderId="2" xfId="0" applyFont="1" applyFill="1" applyBorder="1" applyAlignment="1" applyProtection="1">
      <alignment horizontal="left" vertical="center"/>
    </xf>
    <xf numFmtId="0" fontId="23" fillId="7" borderId="1" xfId="0" applyFont="1" applyFill="1" applyBorder="1" applyAlignment="1" applyProtection="1">
      <alignment horizontal="center" vertical="center"/>
      <protection locked="0"/>
    </xf>
    <xf numFmtId="0" fontId="23" fillId="2" borderId="48" xfId="0" applyFont="1" applyFill="1" applyBorder="1" applyAlignment="1">
      <alignment horizontal="left" vertical="center"/>
    </xf>
    <xf numFmtId="0" fontId="23" fillId="2" borderId="49" xfId="0" applyFont="1" applyFill="1" applyBorder="1">
      <alignment vertical="center"/>
    </xf>
    <xf numFmtId="0" fontId="23" fillId="6" borderId="19" xfId="0" applyFont="1" applyFill="1" applyBorder="1">
      <alignment vertical="center"/>
    </xf>
    <xf numFmtId="0" fontId="37" fillId="0" borderId="0" xfId="61" applyFont="1" applyAlignment="1">
      <alignment horizontal="left"/>
    </xf>
    <xf numFmtId="0" fontId="37" fillId="0" borderId="0" xfId="61" applyFont="1" applyAlignment="1">
      <alignment horizontal="right"/>
    </xf>
    <xf numFmtId="0" fontId="84" fillId="0" borderId="0" xfId="61" applyFont="1" applyAlignment="1">
      <alignment horizontal="left"/>
    </xf>
    <xf numFmtId="0" fontId="84" fillId="0" borderId="0" xfId="61" applyFont="1" applyFill="1" applyAlignment="1" applyProtection="1">
      <alignment horizontal="left"/>
      <protection locked="0"/>
    </xf>
    <xf numFmtId="0" fontId="84" fillId="0" borderId="0" xfId="61" applyFont="1" applyAlignment="1" applyProtection="1">
      <alignment horizontal="left"/>
      <protection locked="0"/>
    </xf>
    <xf numFmtId="0" fontId="85" fillId="0" borderId="0" xfId="61" applyFont="1" applyAlignment="1" applyProtection="1">
      <alignment horizontal="left"/>
      <protection locked="0"/>
    </xf>
    <xf numFmtId="0" fontId="85" fillId="0" borderId="0" xfId="61" applyFont="1" applyAlignment="1" applyProtection="1">
      <alignment horizontal="left" vertical="center"/>
      <protection locked="0"/>
    </xf>
    <xf numFmtId="49" fontId="86" fillId="2" borderId="47" xfId="61" applyNumberFormat="1" applyFont="1" applyFill="1" applyBorder="1" applyAlignment="1" applyProtection="1"/>
    <xf numFmtId="0" fontId="7" fillId="2" borderId="0" xfId="61" applyFont="1" applyFill="1" applyAlignment="1" applyProtection="1">
      <alignment horizontal="center" vertical="center"/>
    </xf>
    <xf numFmtId="0" fontId="26" fillId="2" borderId="0" xfId="61" applyFont="1" applyFill="1" applyBorder="1" applyAlignment="1" applyProtection="1">
      <alignment vertical="center"/>
    </xf>
    <xf numFmtId="49" fontId="29" fillId="2" borderId="0" xfId="61" applyNumberFormat="1" applyFont="1" applyFill="1" applyBorder="1" applyAlignment="1" applyProtection="1">
      <alignment horizontal="center"/>
    </xf>
    <xf numFmtId="0" fontId="29" fillId="2" borderId="0" xfId="61" applyNumberFormat="1" applyFont="1" applyFill="1" applyBorder="1" applyAlignment="1" applyProtection="1">
      <alignment horizontal="center"/>
    </xf>
    <xf numFmtId="0" fontId="29" fillId="0" borderId="0" xfId="61" applyNumberFormat="1" applyFont="1" applyFill="1" applyBorder="1" applyAlignment="1" applyProtection="1">
      <alignment horizontal="center"/>
      <protection locked="0"/>
    </xf>
    <xf numFmtId="0" fontId="25" fillId="2" borderId="1" xfId="59" applyFont="1" applyFill="1" applyBorder="1" applyAlignment="1" applyProtection="1">
      <alignment vertical="center"/>
    </xf>
    <xf numFmtId="182" fontId="62" fillId="2" borderId="1" xfId="61" applyNumberFormat="1" applyFont="1" applyFill="1" applyBorder="1" applyAlignment="1" applyProtection="1">
      <alignment horizontal="right" vertical="center"/>
    </xf>
    <xf numFmtId="49" fontId="26" fillId="2" borderId="0" xfId="61" applyNumberFormat="1" applyFont="1" applyFill="1" applyBorder="1" applyAlignment="1" applyProtection="1"/>
    <xf numFmtId="49" fontId="25" fillId="2" borderId="0" xfId="61" applyNumberFormat="1" applyFont="1" applyFill="1" applyBorder="1" applyAlignment="1" applyProtection="1"/>
    <xf numFmtId="49" fontId="25" fillId="0" borderId="0" xfId="61" applyNumberFormat="1" applyFont="1" applyFill="1" applyBorder="1" applyAlignment="1" applyProtection="1">
      <protection locked="0"/>
    </xf>
    <xf numFmtId="0" fontId="37" fillId="0" borderId="0" xfId="61" applyFont="1" applyAlignment="1" applyProtection="1">
      <alignment horizontal="left"/>
      <protection locked="0"/>
    </xf>
    <xf numFmtId="0" fontId="25" fillId="2" borderId="7" xfId="59" applyFont="1" applyFill="1" applyBorder="1" applyAlignment="1" applyProtection="1">
      <alignment vertical="center"/>
    </xf>
    <xf numFmtId="0" fontId="62" fillId="2" borderId="7" xfId="61" applyFont="1" applyFill="1" applyBorder="1" applyAlignment="1" applyProtection="1">
      <alignment horizontal="right" vertical="center"/>
    </xf>
    <xf numFmtId="0" fontId="37" fillId="2" borderId="1" xfId="61" applyFont="1" applyFill="1" applyBorder="1" applyAlignment="1" applyProtection="1">
      <alignment vertical="center"/>
    </xf>
    <xf numFmtId="0" fontId="26" fillId="0" borderId="1" xfId="61" applyFont="1" applyFill="1" applyBorder="1" applyAlignment="1" applyProtection="1">
      <alignment horizontal="left" vertical="center"/>
      <protection locked="0"/>
    </xf>
    <xf numFmtId="0" fontId="41" fillId="2" borderId="0" xfId="59" applyFont="1" applyFill="1" applyBorder="1" applyAlignment="1" applyProtection="1">
      <alignment vertical="center"/>
    </xf>
    <xf numFmtId="0" fontId="60" fillId="0" borderId="8" xfId="61" applyFont="1" applyFill="1" applyBorder="1" applyAlignment="1" applyProtection="1">
      <alignment horizontal="left" vertical="center"/>
      <protection locked="0"/>
    </xf>
    <xf numFmtId="0" fontId="37" fillId="2" borderId="57" xfId="61" applyFont="1" applyFill="1" applyBorder="1" applyAlignment="1" applyProtection="1">
      <alignment vertical="center"/>
    </xf>
    <xf numFmtId="0" fontId="65" fillId="2" borderId="23" xfId="61" applyFont="1" applyFill="1" applyBorder="1" applyAlignment="1">
      <alignment horizontal="left" vertical="center"/>
    </xf>
    <xf numFmtId="0" fontId="65" fillId="2" borderId="24" xfId="61" applyFont="1" applyFill="1" applyBorder="1" applyAlignment="1">
      <alignment horizontal="left" vertical="center"/>
    </xf>
    <xf numFmtId="0" fontId="65" fillId="2" borderId="27" xfId="61" applyFont="1" applyFill="1" applyBorder="1" applyAlignment="1">
      <alignment horizontal="left" vertical="center"/>
    </xf>
    <xf numFmtId="0" fontId="25" fillId="0" borderId="28" xfId="61" applyFont="1" applyFill="1" applyBorder="1" applyAlignment="1" applyProtection="1">
      <alignment horizontal="left" vertical="center"/>
      <protection locked="0"/>
    </xf>
    <xf numFmtId="0" fontId="25" fillId="2" borderId="24" xfId="61" applyFont="1" applyFill="1" applyBorder="1" applyAlignment="1">
      <alignment vertical="center"/>
    </xf>
    <xf numFmtId="0" fontId="25" fillId="2" borderId="125" xfId="61" applyFont="1" applyFill="1" applyBorder="1" applyAlignment="1">
      <alignment vertical="center"/>
    </xf>
    <xf numFmtId="0" fontId="25" fillId="0" borderId="0" xfId="61" applyFont="1" applyFill="1" applyBorder="1" applyAlignment="1" applyProtection="1">
      <alignment vertical="center"/>
      <protection locked="0"/>
    </xf>
    <xf numFmtId="0" fontId="25" fillId="2" borderId="46" xfId="61" applyFont="1" applyFill="1" applyBorder="1" applyAlignment="1">
      <alignment horizontal="left" vertical="center"/>
    </xf>
    <xf numFmtId="0" fontId="25" fillId="2" borderId="47" xfId="61" applyFont="1" applyFill="1" applyBorder="1" applyAlignment="1">
      <alignment horizontal="left" vertical="center"/>
    </xf>
    <xf numFmtId="0" fontId="25" fillId="2" borderId="43" xfId="61" applyFont="1" applyFill="1" applyBorder="1" applyAlignment="1">
      <alignment horizontal="left" vertical="center"/>
    </xf>
    <xf numFmtId="182" fontId="25" fillId="2" borderId="50" xfId="61" applyNumberFormat="1" applyFont="1" applyFill="1" applyBorder="1" applyAlignment="1">
      <alignment horizontal="left" vertical="center"/>
    </xf>
    <xf numFmtId="10" fontId="25" fillId="2" borderId="47" xfId="61" applyNumberFormat="1" applyFont="1" applyFill="1" applyBorder="1" applyAlignment="1">
      <alignment horizontal="left" vertical="center"/>
    </xf>
    <xf numFmtId="182" fontId="25" fillId="2" borderId="33" xfId="61" applyNumberFormat="1" applyFont="1" applyFill="1" applyBorder="1" applyAlignment="1">
      <alignment horizontal="left" vertical="center"/>
    </xf>
    <xf numFmtId="182" fontId="25" fillId="0" borderId="0" xfId="61" applyNumberFormat="1" applyFont="1" applyFill="1" applyBorder="1" applyAlignment="1" applyProtection="1">
      <alignment horizontal="left" vertical="center"/>
      <protection locked="0"/>
    </xf>
    <xf numFmtId="0" fontId="25" fillId="2" borderId="16" xfId="61" applyFont="1" applyFill="1" applyBorder="1" applyAlignment="1">
      <alignment horizontal="left" vertical="center"/>
    </xf>
    <xf numFmtId="0" fontId="25" fillId="2" borderId="2" xfId="61" applyFont="1" applyFill="1" applyBorder="1" applyAlignment="1">
      <alignment horizontal="left" vertical="center"/>
    </xf>
    <xf numFmtId="0" fontId="25" fillId="2" borderId="4" xfId="61" applyFont="1" applyFill="1" applyBorder="1" applyAlignment="1">
      <alignment horizontal="left" vertical="center"/>
    </xf>
    <xf numFmtId="182" fontId="25" fillId="2" borderId="1" xfId="61" applyNumberFormat="1" applyFont="1" applyFill="1" applyBorder="1" applyAlignment="1">
      <alignment horizontal="left" vertical="center"/>
    </xf>
    <xf numFmtId="0" fontId="25" fillId="2" borderId="1" xfId="61" applyFont="1" applyFill="1" applyBorder="1" applyAlignment="1">
      <alignment horizontal="left" vertical="center"/>
    </xf>
    <xf numFmtId="0" fontId="25" fillId="2" borderId="17" xfId="61" applyFont="1" applyFill="1" applyBorder="1" applyAlignment="1">
      <alignment horizontal="left" vertical="center"/>
    </xf>
    <xf numFmtId="0" fontId="25" fillId="0" borderId="0" xfId="61" applyFont="1" applyFill="1" applyBorder="1" applyAlignment="1" applyProtection="1">
      <alignment horizontal="left" vertical="center"/>
      <protection locked="0"/>
    </xf>
    <xf numFmtId="9" fontId="25" fillId="0" borderId="1" xfId="61" applyNumberFormat="1" applyFont="1" applyFill="1" applyBorder="1" applyAlignment="1" applyProtection="1">
      <alignment horizontal="left" vertical="center"/>
      <protection locked="0"/>
    </xf>
    <xf numFmtId="0" fontId="25" fillId="2" borderId="17" xfId="61" applyFont="1" applyFill="1" applyBorder="1" applyAlignment="1">
      <alignment vertical="center"/>
    </xf>
    <xf numFmtId="180" fontId="25" fillId="2" borderId="1" xfId="61" applyNumberFormat="1" applyFont="1" applyFill="1" applyBorder="1" applyAlignment="1">
      <alignment horizontal="left" vertical="center"/>
    </xf>
    <xf numFmtId="49" fontId="26" fillId="2" borderId="16" xfId="61" applyNumberFormat="1" applyFont="1" applyFill="1" applyBorder="1" applyAlignment="1">
      <alignment horizontal="left" vertical="center"/>
    </xf>
    <xf numFmtId="0" fontId="26" fillId="2" borderId="2" xfId="61" applyFont="1" applyFill="1" applyBorder="1" applyAlignment="1">
      <alignment horizontal="left" vertical="center"/>
    </xf>
    <xf numFmtId="0" fontId="26" fillId="2" borderId="4" xfId="61" applyFont="1" applyFill="1" applyBorder="1" applyAlignment="1">
      <alignment horizontal="left" vertical="center"/>
    </xf>
    <xf numFmtId="182" fontId="26" fillId="2" borderId="1" xfId="61" applyNumberFormat="1" applyFont="1" applyFill="1" applyBorder="1" applyAlignment="1">
      <alignment horizontal="left" vertical="center"/>
    </xf>
    <xf numFmtId="180" fontId="26" fillId="2" borderId="1" xfId="61" applyNumberFormat="1" applyFont="1" applyFill="1" applyBorder="1" applyAlignment="1">
      <alignment horizontal="left" vertical="center"/>
    </xf>
    <xf numFmtId="0" fontId="37" fillId="2" borderId="4" xfId="61" applyFont="1" applyFill="1" applyBorder="1" applyAlignment="1">
      <alignment horizontal="right" vertical="center"/>
    </xf>
    <xf numFmtId="184" fontId="26" fillId="0" borderId="1" xfId="61" applyNumberFormat="1" applyFont="1" applyFill="1" applyBorder="1" applyAlignment="1" applyProtection="1">
      <alignment horizontal="left" vertical="center"/>
      <protection locked="0"/>
    </xf>
    <xf numFmtId="180" fontId="26" fillId="2" borderId="4" xfId="61" applyNumberFormat="1" applyFont="1" applyFill="1" applyBorder="1" applyAlignment="1">
      <alignment horizontal="right" vertical="center"/>
    </xf>
    <xf numFmtId="181" fontId="26" fillId="0" borderId="1" xfId="61" applyNumberFormat="1" applyFont="1" applyFill="1" applyBorder="1" applyAlignment="1" applyProtection="1">
      <alignment horizontal="left" vertical="center"/>
      <protection locked="0"/>
    </xf>
    <xf numFmtId="182" fontId="26" fillId="0" borderId="1" xfId="61" applyNumberFormat="1" applyFont="1" applyFill="1" applyBorder="1" applyAlignment="1" applyProtection="1">
      <alignment horizontal="left" vertical="center"/>
      <protection locked="0"/>
    </xf>
    <xf numFmtId="180" fontId="26" fillId="0" borderId="1" xfId="61" applyNumberFormat="1" applyFont="1" applyFill="1" applyBorder="1" applyAlignment="1" applyProtection="1">
      <alignment horizontal="left" vertical="center"/>
      <protection locked="0"/>
    </xf>
    <xf numFmtId="0" fontId="25" fillId="2" borderId="48" xfId="61" applyFont="1" applyFill="1" applyBorder="1" applyAlignment="1">
      <alignment horizontal="left" vertical="center"/>
    </xf>
    <xf numFmtId="0" fontId="25" fillId="2" borderId="36" xfId="61" applyFont="1" applyFill="1" applyBorder="1" applyAlignment="1">
      <alignment horizontal="left" vertical="center"/>
    </xf>
    <xf numFmtId="0" fontId="25" fillId="2" borderId="49" xfId="61" applyFont="1" applyFill="1" applyBorder="1" applyAlignment="1">
      <alignment horizontal="left" vertical="center"/>
    </xf>
    <xf numFmtId="182" fontId="25" fillId="2" borderId="8" xfId="61" applyNumberFormat="1" applyFont="1" applyFill="1" applyBorder="1" applyAlignment="1">
      <alignment horizontal="left" vertical="center"/>
    </xf>
    <xf numFmtId="180" fontId="25" fillId="0" borderId="8" xfId="61" applyNumberFormat="1" applyFont="1" applyFill="1" applyBorder="1" applyAlignment="1" applyProtection="1">
      <alignment horizontal="left" vertical="center"/>
      <protection locked="0"/>
    </xf>
    <xf numFmtId="0" fontId="25" fillId="2" borderId="38" xfId="61" applyFont="1" applyFill="1" applyBorder="1" applyAlignment="1">
      <alignment vertical="center"/>
    </xf>
    <xf numFmtId="182" fontId="25" fillId="2" borderId="47" xfId="61" applyNumberFormat="1" applyFont="1" applyFill="1" applyBorder="1" applyAlignment="1">
      <alignment horizontal="left" vertical="center"/>
    </xf>
    <xf numFmtId="180" fontId="25" fillId="0" borderId="47" xfId="61" applyNumberFormat="1" applyFont="1" applyFill="1" applyBorder="1" applyAlignment="1" applyProtection="1">
      <alignment horizontal="left" vertical="center"/>
      <protection locked="0"/>
    </xf>
    <xf numFmtId="0" fontId="25" fillId="2" borderId="41" xfId="61" applyFont="1" applyFill="1" applyBorder="1" applyAlignment="1">
      <alignment vertical="center"/>
    </xf>
    <xf numFmtId="0" fontId="25" fillId="2" borderId="23" xfId="61" applyFont="1" applyFill="1" applyBorder="1" applyAlignment="1">
      <alignment vertical="center"/>
    </xf>
    <xf numFmtId="0" fontId="25" fillId="2" borderId="33" xfId="61" applyFont="1" applyFill="1" applyBorder="1" applyAlignment="1">
      <alignment horizontal="left" vertical="center"/>
    </xf>
    <xf numFmtId="0" fontId="25" fillId="2" borderId="142" xfId="61" applyFont="1" applyFill="1" applyBorder="1" applyAlignment="1">
      <alignment horizontal="left" vertical="center"/>
    </xf>
    <xf numFmtId="0" fontId="87" fillId="0" borderId="2" xfId="61" applyFont="1" applyFill="1" applyBorder="1" applyAlignment="1" applyProtection="1">
      <alignment horizontal="left" vertical="center"/>
      <protection locked="0"/>
    </xf>
    <xf numFmtId="0" fontId="87" fillId="0" borderId="142" xfId="61" applyFont="1" applyFill="1" applyBorder="1" applyAlignment="1" applyProtection="1">
      <alignment horizontal="left" vertical="center"/>
      <protection locked="0"/>
    </xf>
    <xf numFmtId="0" fontId="87" fillId="0" borderId="4" xfId="61" applyFont="1" applyFill="1" applyBorder="1" applyAlignment="1" applyProtection="1">
      <alignment horizontal="left" vertical="center"/>
      <protection locked="0"/>
    </xf>
    <xf numFmtId="0" fontId="26" fillId="0" borderId="0" xfId="61" applyFont="1" applyFill="1" applyBorder="1" applyAlignment="1" applyProtection="1">
      <alignment horizontal="left" vertical="center"/>
      <protection locked="0"/>
    </xf>
    <xf numFmtId="0" fontId="26" fillId="2" borderId="34" xfId="61" applyFont="1" applyFill="1" applyBorder="1" applyAlignment="1">
      <alignment horizontal="left" vertical="center"/>
    </xf>
    <xf numFmtId="0" fontId="26" fillId="2" borderId="1" xfId="61" applyFont="1" applyFill="1" applyBorder="1" applyAlignment="1">
      <alignment horizontal="left" vertical="center"/>
    </xf>
    <xf numFmtId="182" fontId="26" fillId="2" borderId="2" xfId="61" applyNumberFormat="1" applyFont="1" applyFill="1" applyBorder="1" applyAlignment="1">
      <alignment horizontal="left" vertical="center"/>
    </xf>
    <xf numFmtId="182" fontId="26" fillId="2" borderId="142" xfId="61" applyNumberFormat="1" applyFont="1" applyFill="1" applyBorder="1" applyAlignment="1">
      <alignment horizontal="left" vertical="center"/>
    </xf>
    <xf numFmtId="182" fontId="26" fillId="2" borderId="4" xfId="61" applyNumberFormat="1" applyFont="1" applyFill="1" applyBorder="1" applyAlignment="1">
      <alignment horizontal="left" vertical="center"/>
    </xf>
    <xf numFmtId="0" fontId="26" fillId="2" borderId="17" xfId="61" applyFont="1" applyFill="1" applyBorder="1" applyAlignment="1">
      <alignment horizontal="left" vertical="center"/>
    </xf>
    <xf numFmtId="0" fontId="26" fillId="0" borderId="0" xfId="61" applyFont="1" applyFill="1" applyBorder="1" applyAlignment="1" applyProtection="1">
      <alignment horizontal="right" vertical="center"/>
      <protection locked="0"/>
    </xf>
    <xf numFmtId="0" fontId="26" fillId="2" borderId="34" xfId="61" applyFont="1" applyFill="1" applyBorder="1" applyAlignment="1">
      <alignment horizontal="right" vertical="center"/>
    </xf>
    <xf numFmtId="0" fontId="26" fillId="2" borderId="1" xfId="61" applyFont="1" applyFill="1" applyBorder="1" applyAlignment="1">
      <alignment horizontal="right" vertical="center"/>
    </xf>
    <xf numFmtId="182" fontId="26" fillId="2" borderId="2" xfId="61" applyNumberFormat="1" applyFont="1" applyFill="1" applyBorder="1" applyAlignment="1">
      <alignment horizontal="right" vertical="center"/>
    </xf>
    <xf numFmtId="180" fontId="26" fillId="0" borderId="142" xfId="61" applyNumberFormat="1" applyFont="1" applyFill="1" applyBorder="1" applyAlignment="1" applyProtection="1">
      <alignment horizontal="right" vertical="center"/>
      <protection locked="0"/>
    </xf>
    <xf numFmtId="180" fontId="26" fillId="0" borderId="4" xfId="61" applyNumberFormat="1" applyFont="1" applyFill="1" applyBorder="1" applyAlignment="1" applyProtection="1">
      <alignment horizontal="right" vertical="center"/>
      <protection locked="0"/>
    </xf>
    <xf numFmtId="0" fontId="26" fillId="2" borderId="17" xfId="61" applyFont="1" applyFill="1" applyBorder="1" applyAlignment="1">
      <alignment horizontal="right" vertical="center"/>
    </xf>
    <xf numFmtId="180" fontId="26" fillId="2" borderId="2" xfId="61" applyNumberFormat="1" applyFont="1" applyFill="1" applyBorder="1" applyAlignment="1">
      <alignment horizontal="right" vertical="center"/>
    </xf>
    <xf numFmtId="0" fontId="37" fillId="0" borderId="0" xfId="61" applyFont="1" applyAlignment="1" applyProtection="1">
      <alignment horizontal="right"/>
      <protection locked="0"/>
    </xf>
    <xf numFmtId="180" fontId="26" fillId="2" borderId="142" xfId="61" applyNumberFormat="1" applyFont="1" applyFill="1" applyBorder="1" applyAlignment="1">
      <alignment horizontal="right" vertical="center"/>
    </xf>
    <xf numFmtId="180" fontId="26" fillId="0" borderId="2" xfId="61" applyNumberFormat="1" applyFont="1" applyFill="1" applyBorder="1" applyAlignment="1" applyProtection="1">
      <alignment horizontal="right" vertical="center"/>
      <protection locked="0"/>
    </xf>
    <xf numFmtId="0" fontId="26" fillId="2" borderId="142" xfId="61" applyFont="1" applyFill="1" applyBorder="1" applyAlignment="1">
      <alignment horizontal="left" vertical="center"/>
    </xf>
    <xf numFmtId="10" fontId="26" fillId="0" borderId="2" xfId="61" applyNumberFormat="1" applyFont="1" applyFill="1" applyBorder="1" applyAlignment="1" applyProtection="1">
      <alignment horizontal="left" vertical="center"/>
      <protection locked="0"/>
    </xf>
    <xf numFmtId="10" fontId="26" fillId="0" borderId="142" xfId="61" applyNumberFormat="1" applyFont="1" applyFill="1" applyBorder="1" applyAlignment="1" applyProtection="1">
      <alignment horizontal="left" vertical="center"/>
      <protection locked="0"/>
    </xf>
    <xf numFmtId="10" fontId="26" fillId="0" borderId="4" xfId="61" applyNumberFormat="1" applyFont="1" applyFill="1" applyBorder="1" applyAlignment="1" applyProtection="1">
      <alignment horizontal="left" vertical="center"/>
      <protection locked="0"/>
    </xf>
    <xf numFmtId="180" fontId="26" fillId="0" borderId="2" xfId="61" applyNumberFormat="1" applyFont="1" applyFill="1" applyBorder="1" applyAlignment="1" applyProtection="1">
      <alignment horizontal="left" vertical="center"/>
      <protection locked="0"/>
    </xf>
    <xf numFmtId="180" fontId="26" fillId="0" borderId="142" xfId="61" applyNumberFormat="1" applyFont="1" applyFill="1" applyBorder="1" applyAlignment="1" applyProtection="1">
      <alignment horizontal="left" vertical="center"/>
      <protection locked="0"/>
    </xf>
    <xf numFmtId="180" fontId="26" fillId="0" borderId="4" xfId="61" applyNumberFormat="1" applyFont="1" applyFill="1" applyBorder="1" applyAlignment="1" applyProtection="1">
      <alignment horizontal="left" vertical="center"/>
      <protection locked="0"/>
    </xf>
    <xf numFmtId="184" fontId="26" fillId="0" borderId="0" xfId="61" applyNumberFormat="1" applyFont="1" applyFill="1" applyBorder="1" applyAlignment="1" applyProtection="1">
      <alignment horizontal="left" vertical="center"/>
      <protection locked="0"/>
    </xf>
    <xf numFmtId="0" fontId="26" fillId="2" borderId="8" xfId="61" applyFont="1" applyFill="1" applyBorder="1" applyAlignment="1">
      <alignment horizontal="left" vertical="center"/>
    </xf>
    <xf numFmtId="184" fontId="26" fillId="0" borderId="36" xfId="61" applyNumberFormat="1" applyFont="1" applyFill="1" applyBorder="1" applyAlignment="1" applyProtection="1">
      <alignment horizontal="left" vertical="center"/>
      <protection locked="0"/>
    </xf>
    <xf numFmtId="184" fontId="26" fillId="0" borderId="143" xfId="61" applyNumberFormat="1" applyFont="1" applyFill="1" applyBorder="1" applyAlignment="1" applyProtection="1">
      <alignment horizontal="left" vertical="center"/>
      <protection locked="0"/>
    </xf>
    <xf numFmtId="184" fontId="26" fillId="0" borderId="49" xfId="61" applyNumberFormat="1" applyFont="1" applyFill="1" applyBorder="1" applyAlignment="1" applyProtection="1">
      <alignment horizontal="left" vertical="center"/>
      <protection locked="0"/>
    </xf>
    <xf numFmtId="184" fontId="26" fillId="2" borderId="17" xfId="61" applyNumberFormat="1" applyFont="1" applyFill="1" applyBorder="1" applyAlignment="1">
      <alignment horizontal="left" vertical="center"/>
    </xf>
    <xf numFmtId="0" fontId="26" fillId="0" borderId="0" xfId="61" applyFont="1" applyFill="1" applyBorder="1" applyAlignment="1" applyProtection="1">
      <alignment horizontal="left"/>
      <protection locked="0"/>
    </xf>
    <xf numFmtId="0" fontId="26" fillId="2" borderId="16" xfId="61" applyFont="1" applyFill="1" applyBorder="1" applyAlignment="1">
      <alignment horizontal="left" vertical="center"/>
    </xf>
    <xf numFmtId="182" fontId="26" fillId="2" borderId="1" xfId="61" applyNumberFormat="1" applyFont="1" applyFill="1" applyBorder="1" applyAlignment="1">
      <alignment horizontal="left"/>
    </xf>
    <xf numFmtId="0" fontId="26" fillId="2" borderId="1" xfId="61" applyFont="1" applyFill="1" applyBorder="1" applyAlignment="1">
      <alignment horizontal="left"/>
    </xf>
    <xf numFmtId="0" fontId="26" fillId="2" borderId="17" xfId="61" applyFont="1" applyFill="1" applyBorder="1" applyAlignment="1">
      <alignment horizontal="left"/>
    </xf>
    <xf numFmtId="0" fontId="26" fillId="2" borderId="48" xfId="61" applyFont="1" applyFill="1" applyBorder="1" applyAlignment="1">
      <alignment horizontal="left" vertical="center"/>
    </xf>
    <xf numFmtId="182" fontId="26" fillId="2" borderId="8" xfId="61" applyNumberFormat="1" applyFont="1" applyFill="1" applyBorder="1" applyAlignment="1">
      <alignment horizontal="left" vertical="center"/>
    </xf>
    <xf numFmtId="0" fontId="26" fillId="2" borderId="8" xfId="61" applyFont="1" applyFill="1" applyBorder="1" applyAlignment="1">
      <alignment horizontal="left"/>
    </xf>
    <xf numFmtId="0" fontId="26" fillId="2" borderId="38" xfId="61" applyFont="1" applyFill="1" applyBorder="1" applyAlignment="1">
      <alignment horizontal="left" vertical="center"/>
    </xf>
    <xf numFmtId="0" fontId="37" fillId="0" borderId="0" xfId="61" applyFont="1" applyFill="1" applyAlignment="1" applyProtection="1">
      <alignment horizontal="left"/>
      <protection locked="0"/>
    </xf>
    <xf numFmtId="0" fontId="25" fillId="7" borderId="9" xfId="61" applyFont="1" applyFill="1" applyBorder="1" applyAlignment="1" applyProtection="1">
      <alignment vertical="center"/>
      <protection locked="0"/>
    </xf>
    <xf numFmtId="0" fontId="25" fillId="7" borderId="10" xfId="61" applyFont="1" applyFill="1" applyBorder="1" applyAlignment="1" applyProtection="1">
      <alignment vertical="center"/>
      <protection locked="0"/>
    </xf>
    <xf numFmtId="0" fontId="26" fillId="0" borderId="0" xfId="61" applyFont="1" applyAlignment="1" applyProtection="1">
      <alignment horizontal="left"/>
      <protection locked="0"/>
    </xf>
    <xf numFmtId="0" fontId="25" fillId="17" borderId="46" xfId="61" applyFont="1" applyFill="1" applyBorder="1" applyAlignment="1" applyProtection="1">
      <alignment vertical="center"/>
      <protection locked="0"/>
    </xf>
    <xf numFmtId="0" fontId="25" fillId="17" borderId="43" xfId="61" applyFont="1" applyFill="1" applyBorder="1" applyAlignment="1" applyProtection="1">
      <alignment vertical="center"/>
      <protection locked="0"/>
    </xf>
    <xf numFmtId="0" fontId="25" fillId="0" borderId="1" xfId="61" applyFont="1" applyFill="1" applyBorder="1" applyAlignment="1" applyProtection="1">
      <alignment horizontal="left" vertical="center"/>
      <protection locked="0"/>
    </xf>
    <xf numFmtId="0" fontId="25" fillId="2" borderId="34" xfId="61" applyFont="1" applyFill="1" applyBorder="1" applyAlignment="1" applyProtection="1">
      <alignment horizontal="left" vertical="center"/>
      <protection locked="0"/>
    </xf>
    <xf numFmtId="0" fontId="25" fillId="2" borderId="4" xfId="61" applyFont="1" applyFill="1" applyBorder="1" applyAlignment="1" applyProtection="1">
      <alignment horizontal="left" vertical="center"/>
      <protection locked="0"/>
    </xf>
    <xf numFmtId="181" fontId="6" fillId="0" borderId="1" xfId="59" applyNumberFormat="1" applyFont="1" applyBorder="1" applyAlignment="1" applyProtection="1">
      <alignment horizontal="left" vertical="center"/>
      <protection locked="0" hidden="1"/>
    </xf>
    <xf numFmtId="0" fontId="26" fillId="0" borderId="7" xfId="61" applyFont="1" applyFill="1" applyBorder="1" applyAlignment="1" applyProtection="1">
      <alignment horizontal="left" vertical="center"/>
      <protection locked="0"/>
    </xf>
    <xf numFmtId="0" fontId="65" fillId="2" borderId="34" xfId="61" applyFont="1" applyFill="1" applyBorder="1" applyAlignment="1" applyProtection="1">
      <alignment vertical="center"/>
      <protection locked="0"/>
    </xf>
    <xf numFmtId="0" fontId="65" fillId="2" borderId="3" xfId="61" applyFont="1" applyFill="1" applyBorder="1" applyAlignment="1" applyProtection="1">
      <alignment vertical="center"/>
      <protection locked="0"/>
    </xf>
    <xf numFmtId="0" fontId="25" fillId="2" borderId="3" xfId="61" applyFont="1" applyFill="1" applyBorder="1" applyAlignment="1" applyProtection="1">
      <alignment vertical="center"/>
      <protection locked="0"/>
    </xf>
    <xf numFmtId="0" fontId="25" fillId="2" borderId="16" xfId="61" applyFont="1" applyFill="1" applyBorder="1" applyAlignment="1" applyProtection="1">
      <alignment horizontal="left" vertical="center" wrapText="1"/>
      <protection locked="0"/>
    </xf>
    <xf numFmtId="0" fontId="25" fillId="2" borderId="7" xfId="61" applyFont="1" applyFill="1" applyBorder="1" applyAlignment="1" applyProtection="1">
      <alignment horizontal="left" vertical="center" wrapText="1"/>
      <protection locked="0"/>
    </xf>
    <xf numFmtId="0" fontId="26" fillId="2" borderId="2" xfId="61" applyFont="1" applyFill="1" applyBorder="1" applyAlignment="1" applyProtection="1">
      <alignment vertical="center"/>
      <protection locked="0"/>
    </xf>
    <xf numFmtId="0" fontId="26" fillId="2" borderId="1" xfId="61" applyFont="1" applyFill="1" applyBorder="1" applyAlignment="1" applyProtection="1">
      <alignment horizontal="left" vertical="center"/>
      <protection locked="0"/>
    </xf>
    <xf numFmtId="0" fontId="25" fillId="2" borderId="58" xfId="61" applyFont="1" applyFill="1" applyBorder="1" applyAlignment="1" applyProtection="1">
      <alignment horizontal="left" vertical="center" wrapText="1"/>
      <protection locked="0"/>
    </xf>
    <xf numFmtId="0" fontId="26" fillId="0" borderId="2" xfId="61" applyFont="1" applyFill="1" applyBorder="1" applyAlignment="1" applyProtection="1">
      <alignment vertical="center"/>
      <protection locked="0"/>
    </xf>
    <xf numFmtId="0" fontId="6" fillId="0" borderId="1" xfId="61" applyFont="1" applyFill="1" applyBorder="1" applyAlignment="1" applyProtection="1">
      <alignment horizontal="left" vertical="center"/>
      <protection locked="0"/>
    </xf>
    <xf numFmtId="9" fontId="26" fillId="0" borderId="1" xfId="61" applyNumberFormat="1" applyFont="1" applyFill="1" applyBorder="1" applyAlignment="1" applyProtection="1">
      <alignment horizontal="left" vertical="center"/>
      <protection locked="0"/>
    </xf>
    <xf numFmtId="0" fontId="25" fillId="2" borderId="60" xfId="61" applyFont="1" applyFill="1" applyBorder="1" applyAlignment="1" applyProtection="1">
      <alignment horizontal="left" vertical="center" wrapText="1"/>
      <protection locked="0"/>
    </xf>
    <xf numFmtId="0" fontId="25" fillId="2" borderId="2" xfId="61" applyFont="1" applyFill="1" applyBorder="1" applyAlignment="1" applyProtection="1">
      <alignment vertical="center"/>
      <protection locked="0"/>
    </xf>
    <xf numFmtId="0" fontId="65" fillId="2" borderId="1" xfId="61" applyFont="1" applyFill="1" applyBorder="1" applyAlignment="1" applyProtection="1">
      <alignment horizontal="left" vertical="center"/>
      <protection locked="0"/>
    </xf>
    <xf numFmtId="9" fontId="25" fillId="2" borderId="1" xfId="61" applyNumberFormat="1" applyFont="1" applyFill="1" applyBorder="1" applyAlignment="1" applyProtection="1">
      <alignment horizontal="left" vertical="center"/>
      <protection locked="0"/>
    </xf>
    <xf numFmtId="181" fontId="26" fillId="7" borderId="1" xfId="61" applyNumberFormat="1" applyFont="1" applyFill="1" applyBorder="1" applyAlignment="1" applyProtection="1">
      <alignment horizontal="left" vertical="center"/>
      <protection locked="0"/>
    </xf>
    <xf numFmtId="0" fontId="6" fillId="0" borderId="1" xfId="61" applyFont="1" applyFill="1" applyBorder="1" applyAlignment="1" applyProtection="1">
      <alignment horizontal="left" vertical="center" wrapText="1"/>
      <protection locked="0"/>
    </xf>
    <xf numFmtId="0" fontId="25" fillId="2" borderId="2" xfId="61" applyFont="1" applyFill="1" applyBorder="1" applyAlignment="1" applyProtection="1">
      <alignment vertical="center" wrapText="1"/>
      <protection locked="0"/>
    </xf>
    <xf numFmtId="0" fontId="25" fillId="2" borderId="3" xfId="61" applyFont="1" applyFill="1" applyBorder="1" applyAlignment="1" applyProtection="1">
      <alignment vertical="center" wrapText="1"/>
      <protection locked="0"/>
    </xf>
    <xf numFmtId="0" fontId="25" fillId="2" borderId="4" xfId="61" applyFont="1" applyFill="1" applyBorder="1" applyAlignment="1" applyProtection="1">
      <alignment vertical="center" wrapText="1"/>
      <protection locked="0"/>
    </xf>
    <xf numFmtId="0" fontId="65" fillId="2" borderId="20" xfId="61" applyFont="1" applyFill="1" applyBorder="1" applyAlignment="1" applyProtection="1">
      <alignment horizontal="left" vertical="center"/>
      <protection locked="0"/>
    </xf>
    <xf numFmtId="0" fontId="65" fillId="2" borderId="5" xfId="61" applyFont="1" applyFill="1" applyBorder="1" applyAlignment="1" applyProtection="1">
      <alignment vertical="center"/>
      <protection locked="0"/>
    </xf>
    <xf numFmtId="0" fontId="65" fillId="2" borderId="6" xfId="61" applyFont="1" applyFill="1" applyBorder="1" applyAlignment="1" applyProtection="1">
      <alignment vertical="center"/>
      <protection locked="0"/>
    </xf>
    <xf numFmtId="0" fontId="65" fillId="2" borderId="22" xfId="61" applyFont="1" applyFill="1" applyBorder="1" applyAlignment="1" applyProtection="1">
      <alignment vertical="center"/>
      <protection locked="0"/>
    </xf>
    <xf numFmtId="0" fontId="6" fillId="2" borderId="1" xfId="61" applyFont="1" applyFill="1" applyBorder="1" applyAlignment="1" applyProtection="1">
      <alignment horizontal="left" vertical="center"/>
      <protection locked="0"/>
    </xf>
    <xf numFmtId="9" fontId="6" fillId="2" borderId="1" xfId="61" applyNumberFormat="1" applyFont="1" applyFill="1" applyBorder="1" applyAlignment="1" applyProtection="1">
      <alignment horizontal="left" vertical="center"/>
      <protection locked="0"/>
    </xf>
    <xf numFmtId="0" fontId="26" fillId="0" borderId="0" xfId="61" applyFont="1" applyAlignment="1" applyProtection="1">
      <alignment horizontal="right"/>
      <protection locked="0"/>
    </xf>
    <xf numFmtId="0" fontId="65" fillId="2" borderId="32" xfId="61" applyFont="1" applyFill="1" applyBorder="1" applyAlignment="1" applyProtection="1">
      <alignment horizontal="left" vertical="center"/>
      <protection locked="0"/>
    </xf>
    <xf numFmtId="0" fontId="65" fillId="2" borderId="50" xfId="61" applyFont="1" applyFill="1" applyBorder="1" applyAlignment="1" applyProtection="1">
      <alignment vertical="center"/>
      <protection locked="0"/>
    </xf>
    <xf numFmtId="0" fontId="65" fillId="2" borderId="47" xfId="61" applyFont="1" applyFill="1" applyBorder="1" applyAlignment="1" applyProtection="1">
      <alignment vertical="center"/>
      <protection locked="0"/>
    </xf>
    <xf numFmtId="0" fontId="65" fillId="2" borderId="43" xfId="61" applyFont="1" applyFill="1" applyBorder="1" applyAlignment="1" applyProtection="1">
      <alignment vertical="center"/>
      <protection locked="0"/>
    </xf>
    <xf numFmtId="0" fontId="65" fillId="0" borderId="1" xfId="61" applyFont="1" applyFill="1" applyBorder="1" applyAlignment="1" applyProtection="1">
      <alignment horizontal="left" vertical="center"/>
      <protection locked="0"/>
    </xf>
    <xf numFmtId="0" fontId="41" fillId="2" borderId="35" xfId="61" applyFont="1" applyFill="1" applyBorder="1" applyAlignment="1" applyProtection="1">
      <alignment horizontal="left" vertical="center" wrapText="1"/>
      <protection locked="0"/>
    </xf>
    <xf numFmtId="0" fontId="39" fillId="2" borderId="62" xfId="61" applyFont="1" applyFill="1" applyBorder="1" applyAlignment="1" applyProtection="1">
      <alignment vertical="center"/>
      <protection locked="0"/>
    </xf>
    <xf numFmtId="0" fontId="37" fillId="2" borderId="62" xfId="61" applyFont="1" applyFill="1" applyBorder="1" applyAlignment="1" applyProtection="1">
      <alignment vertical="center"/>
      <protection locked="0"/>
    </xf>
    <xf numFmtId="0" fontId="88" fillId="0" borderId="62" xfId="61" applyFill="1" applyBorder="1" applyAlignment="1" applyProtection="1">
      <alignment horizontal="left" vertical="center"/>
      <protection locked="0"/>
    </xf>
    <xf numFmtId="9" fontId="26" fillId="0" borderId="8" xfId="61" applyNumberFormat="1" applyFont="1" applyFill="1" applyBorder="1" applyAlignment="1" applyProtection="1">
      <alignment horizontal="left" vertical="center"/>
      <protection locked="0"/>
    </xf>
    <xf numFmtId="0" fontId="26" fillId="0" borderId="0" xfId="61" applyFont="1" applyFill="1" applyAlignment="1" applyProtection="1">
      <alignment horizontal="left" vertical="center"/>
      <protection locked="0"/>
    </xf>
    <xf numFmtId="0" fontId="41" fillId="2" borderId="62" xfId="61" applyFont="1" applyFill="1" applyBorder="1" applyAlignment="1" applyProtection="1">
      <alignment vertical="center"/>
      <protection locked="0"/>
    </xf>
    <xf numFmtId="0" fontId="25" fillId="7" borderId="75" xfId="61" applyFont="1" applyFill="1" applyBorder="1" applyAlignment="1" applyProtection="1">
      <alignment vertical="center"/>
      <protection locked="0"/>
    </xf>
    <xf numFmtId="0" fontId="26" fillId="0" borderId="0" xfId="61" applyFont="1" applyAlignment="1" applyProtection="1">
      <alignment horizontal="left" vertical="center"/>
      <protection locked="0"/>
    </xf>
    <xf numFmtId="0" fontId="25" fillId="0" borderId="17" xfId="61" applyFont="1" applyFill="1" applyBorder="1" applyAlignment="1" applyProtection="1">
      <alignment horizontal="left" vertical="center"/>
      <protection locked="0"/>
    </xf>
    <xf numFmtId="0" fontId="25" fillId="2" borderId="17" xfId="61" applyFont="1" applyFill="1" applyBorder="1" applyAlignment="1" applyProtection="1">
      <alignment horizontal="left" vertical="center"/>
      <protection locked="0"/>
    </xf>
    <xf numFmtId="181" fontId="6" fillId="0" borderId="17" xfId="59" applyNumberFormat="1" applyFont="1" applyBorder="1" applyAlignment="1" applyProtection="1">
      <alignment horizontal="left" vertical="center"/>
      <protection locked="0" hidden="1"/>
    </xf>
    <xf numFmtId="181" fontId="26" fillId="2" borderId="17" xfId="61" applyNumberFormat="1" applyFont="1" applyFill="1" applyBorder="1" applyAlignment="1" applyProtection="1">
      <alignment horizontal="left" vertical="center"/>
      <protection locked="0"/>
    </xf>
    <xf numFmtId="0" fontId="26" fillId="0" borderId="21" xfId="61" applyFont="1" applyFill="1" applyBorder="1" applyAlignment="1" applyProtection="1">
      <alignment horizontal="left" vertical="center"/>
      <protection locked="0"/>
    </xf>
    <xf numFmtId="0" fontId="26" fillId="2" borderId="21" xfId="61" applyFont="1" applyFill="1" applyBorder="1" applyAlignment="1" applyProtection="1">
      <alignment horizontal="left" vertical="center"/>
      <protection locked="0"/>
    </xf>
    <xf numFmtId="0" fontId="26" fillId="0" borderId="17" xfId="61" applyFont="1" applyFill="1" applyBorder="1" applyAlignment="1" applyProtection="1">
      <alignment horizontal="left" vertical="center"/>
      <protection locked="0"/>
    </xf>
    <xf numFmtId="181" fontId="25" fillId="2" borderId="1" xfId="61" applyNumberFormat="1" applyFont="1" applyFill="1" applyBorder="1" applyAlignment="1" applyProtection="1">
      <alignment horizontal="left" vertical="center"/>
      <protection locked="0"/>
    </xf>
    <xf numFmtId="181" fontId="26" fillId="0" borderId="17" xfId="61" applyNumberFormat="1" applyFont="1" applyFill="1" applyBorder="1" applyAlignment="1" applyProtection="1">
      <alignment horizontal="left" vertical="center"/>
      <protection locked="0"/>
    </xf>
    <xf numFmtId="0" fontId="65" fillId="2" borderId="17" xfId="61" applyFont="1" applyFill="1" applyBorder="1" applyAlignment="1" applyProtection="1">
      <alignment horizontal="left" vertical="center"/>
      <protection locked="0"/>
    </xf>
    <xf numFmtId="0" fontId="6" fillId="0" borderId="17" xfId="61" applyFont="1" applyFill="1" applyBorder="1" applyAlignment="1" applyProtection="1">
      <alignment horizontal="left" vertical="center"/>
      <protection locked="0"/>
    </xf>
    <xf numFmtId="9" fontId="6" fillId="0" borderId="1" xfId="61" applyNumberFormat="1" applyFont="1" applyFill="1" applyBorder="1" applyAlignment="1" applyProtection="1">
      <alignment horizontal="left" vertical="center"/>
      <protection locked="0"/>
    </xf>
    <xf numFmtId="0" fontId="25" fillId="0" borderId="0" xfId="61" applyFont="1" applyFill="1" applyAlignment="1" applyProtection="1">
      <alignment horizontal="left" vertical="center"/>
      <protection locked="0"/>
    </xf>
    <xf numFmtId="9" fontId="65" fillId="0" borderId="1" xfId="61" applyNumberFormat="1" applyFont="1" applyFill="1" applyBorder="1" applyAlignment="1" applyProtection="1">
      <alignment horizontal="left" vertical="center"/>
      <protection locked="0"/>
    </xf>
    <xf numFmtId="180" fontId="6" fillId="0" borderId="8" xfId="61" applyNumberFormat="1" applyFont="1" applyFill="1" applyBorder="1" applyAlignment="1" applyProtection="1">
      <alignment horizontal="left" vertical="center"/>
      <protection locked="0"/>
    </xf>
    <xf numFmtId="0" fontId="89" fillId="0" borderId="69" xfId="61" applyFont="1" applyFill="1" applyBorder="1" applyAlignment="1" applyProtection="1">
      <alignment horizontal="left" vertical="center"/>
      <protection locked="0"/>
    </xf>
    <xf numFmtId="0" fontId="25" fillId="2" borderId="1" xfId="61" applyFont="1" applyFill="1" applyBorder="1" applyAlignment="1" applyProtection="1">
      <alignment horizontal="left" vertical="center"/>
      <protection locked="0"/>
    </xf>
    <xf numFmtId="181" fontId="26" fillId="2" borderId="1" xfId="61" applyNumberFormat="1" applyFont="1" applyFill="1" applyBorder="1" applyAlignment="1" applyProtection="1">
      <alignment horizontal="left" vertical="center"/>
      <protection locked="0"/>
    </xf>
    <xf numFmtId="0" fontId="26" fillId="2" borderId="7" xfId="61" applyFont="1" applyFill="1" applyBorder="1" applyAlignment="1" applyProtection="1">
      <alignment horizontal="left" vertical="center"/>
      <protection locked="0"/>
    </xf>
    <xf numFmtId="0" fontId="25" fillId="2" borderId="2" xfId="61" applyFont="1" applyFill="1" applyBorder="1" applyAlignment="1" applyProtection="1">
      <alignment horizontal="left" vertical="center"/>
      <protection locked="0"/>
    </xf>
    <xf numFmtId="0" fontId="85" fillId="0" borderId="0" xfId="61" applyFont="1" applyAlignment="1">
      <alignment horizontal="left"/>
    </xf>
    <xf numFmtId="0" fontId="7" fillId="0" borderId="0" xfId="0" applyFont="1" applyFill="1" applyAlignment="1" applyProtection="1">
      <alignment vertical="center"/>
      <protection locked="0"/>
    </xf>
    <xf numFmtId="0" fontId="61" fillId="0" borderId="0" xfId="0" applyFont="1" applyFill="1" applyAlignment="1" applyProtection="1">
      <alignment vertical="center"/>
      <protection locked="0"/>
    </xf>
    <xf numFmtId="0" fontId="26" fillId="0" borderId="0" xfId="0" applyFont="1" applyFill="1" applyAlignment="1" applyProtection="1">
      <alignment horizontal="left" vertical="center"/>
      <protection locked="0"/>
    </xf>
    <xf numFmtId="49" fontId="86" fillId="2" borderId="47" xfId="0" applyNumberFormat="1" applyFont="1" applyFill="1" applyBorder="1" applyAlignment="1" applyProtection="1"/>
    <xf numFmtId="49" fontId="17" fillId="3" borderId="130" xfId="0" applyNumberFormat="1" applyFont="1" applyFill="1" applyBorder="1" applyAlignment="1" applyProtection="1">
      <alignment horizontal="right"/>
      <protection locked="0"/>
    </xf>
    <xf numFmtId="0" fontId="29" fillId="7" borderId="0" xfId="0" applyFont="1" applyFill="1" applyAlignment="1" applyProtection="1">
      <alignment horizontal="right" vertical="center"/>
      <protection locked="0"/>
    </xf>
    <xf numFmtId="49" fontId="29" fillId="2" borderId="0" xfId="0" applyNumberFormat="1" applyFont="1" applyFill="1" applyBorder="1" applyAlignment="1" applyProtection="1">
      <alignment horizontal="center"/>
    </xf>
    <xf numFmtId="0" fontId="29" fillId="2" borderId="0" xfId="0" applyNumberFormat="1" applyFont="1" applyFill="1" applyBorder="1" applyAlignment="1" applyProtection="1">
      <alignment horizontal="center"/>
    </xf>
    <xf numFmtId="181" fontId="17" fillId="2" borderId="47" xfId="0" applyNumberFormat="1" applyFont="1" applyFill="1" applyBorder="1" applyAlignment="1" applyProtection="1"/>
    <xf numFmtId="0" fontId="7" fillId="2" borderId="0" xfId="0" applyFont="1" applyFill="1" applyAlignment="1" applyProtection="1">
      <alignment vertical="center"/>
      <protection locked="0"/>
    </xf>
    <xf numFmtId="0" fontId="62" fillId="2" borderId="1" xfId="0" applyFont="1" applyFill="1" applyBorder="1" applyAlignment="1" applyProtection="1">
      <alignment horizontal="right" vertical="center"/>
    </xf>
    <xf numFmtId="0" fontId="26" fillId="2" borderId="0" xfId="0" applyFont="1" applyFill="1" applyBorder="1" applyAlignment="1" applyProtection="1">
      <alignment vertical="center"/>
    </xf>
    <xf numFmtId="0" fontId="25" fillId="2" borderId="0" xfId="0" applyFont="1" applyFill="1" applyBorder="1" applyAlignment="1" applyProtection="1">
      <alignment vertical="center"/>
    </xf>
    <xf numFmtId="49" fontId="26" fillId="2" borderId="0" xfId="0" applyNumberFormat="1" applyFont="1" applyFill="1" applyBorder="1" applyAlignment="1" applyProtection="1"/>
    <xf numFmtId="49" fontId="25" fillId="2" borderId="0" xfId="0" applyNumberFormat="1" applyFont="1" applyFill="1" applyBorder="1" applyAlignment="1" applyProtection="1"/>
    <xf numFmtId="181" fontId="25" fillId="11" borderId="0" xfId="0" applyNumberFormat="1" applyFont="1" applyFill="1" applyBorder="1" applyAlignment="1" applyProtection="1">
      <protection locked="0"/>
    </xf>
    <xf numFmtId="49" fontId="25" fillId="2" borderId="0" xfId="0" applyNumberFormat="1" applyFont="1" applyFill="1" applyBorder="1" applyAlignment="1" applyProtection="1">
      <alignment horizontal="center"/>
      <protection locked="0"/>
    </xf>
    <xf numFmtId="0" fontId="25" fillId="2" borderId="8" xfId="59" applyFont="1" applyFill="1" applyBorder="1" applyAlignment="1" applyProtection="1">
      <alignment vertical="center"/>
    </xf>
    <xf numFmtId="0" fontId="62" fillId="2" borderId="8" xfId="0" applyFont="1" applyFill="1" applyBorder="1" applyAlignment="1" applyProtection="1">
      <alignment horizontal="right" vertical="center"/>
    </xf>
    <xf numFmtId="49" fontId="17" fillId="2" borderId="0" xfId="0" applyNumberFormat="1" applyFont="1" applyFill="1" applyBorder="1" applyAlignment="1" applyProtection="1">
      <alignment horizontal="center"/>
    </xf>
    <xf numFmtId="49" fontId="60" fillId="2" borderId="11" xfId="0" applyNumberFormat="1" applyFont="1" applyFill="1" applyBorder="1" applyAlignment="1" applyProtection="1">
      <alignment horizontal="center" vertical="center"/>
    </xf>
    <xf numFmtId="0" fontId="60" fillId="2" borderId="56" xfId="0" applyFont="1" applyFill="1" applyBorder="1" applyAlignment="1" applyProtection="1">
      <alignment horizontal="center" vertical="center"/>
    </xf>
    <xf numFmtId="0" fontId="60" fillId="2" borderId="14" xfId="0" applyFont="1" applyFill="1" applyBorder="1" applyAlignment="1" applyProtection="1">
      <alignment horizontal="right" vertical="center"/>
    </xf>
    <xf numFmtId="0" fontId="60" fillId="2" borderId="52" xfId="0" applyFont="1" applyFill="1" applyBorder="1" applyAlignment="1" applyProtection="1">
      <alignment horizontal="center" vertical="center"/>
    </xf>
    <xf numFmtId="49" fontId="62" fillId="2" borderId="20" xfId="0" applyNumberFormat="1" applyFont="1" applyFill="1" applyBorder="1" applyAlignment="1" applyProtection="1">
      <alignment vertical="center"/>
    </xf>
    <xf numFmtId="0" fontId="62" fillId="2" borderId="7" xfId="0" applyFont="1" applyFill="1" applyBorder="1" applyAlignment="1" applyProtection="1">
      <alignment vertical="center" wrapText="1"/>
    </xf>
    <xf numFmtId="0" fontId="60" fillId="2" borderId="58" xfId="0" applyFont="1" applyFill="1" applyBorder="1" applyAlignment="1" applyProtection="1">
      <alignment horizontal="center" vertical="center"/>
    </xf>
    <xf numFmtId="0" fontId="26" fillId="2" borderId="7" xfId="0" applyFont="1" applyFill="1" applyBorder="1" applyAlignment="1" applyProtection="1">
      <alignment vertical="center"/>
    </xf>
    <xf numFmtId="0" fontId="60" fillId="2" borderId="50" xfId="0" applyFont="1" applyFill="1" applyBorder="1" applyAlignment="1" applyProtection="1">
      <alignment horizontal="right" vertical="center"/>
    </xf>
    <xf numFmtId="0" fontId="60" fillId="2" borderId="33" xfId="0" applyFont="1" applyFill="1" applyBorder="1" applyAlignment="1" applyProtection="1">
      <alignment horizontal="center" vertical="center"/>
    </xf>
    <xf numFmtId="49" fontId="60" fillId="2" borderId="20" xfId="0" applyNumberFormat="1" applyFont="1" applyFill="1" applyBorder="1" applyAlignment="1" applyProtection="1">
      <alignment horizontal="left" vertical="center"/>
    </xf>
    <xf numFmtId="0" fontId="60" fillId="2" borderId="7" xfId="0" applyFont="1" applyFill="1" applyBorder="1" applyAlignment="1" applyProtection="1">
      <alignment vertical="top" wrapText="1"/>
    </xf>
    <xf numFmtId="0" fontId="62" fillId="2" borderId="22" xfId="0" applyFont="1" applyFill="1" applyBorder="1" applyAlignment="1" applyProtection="1">
      <alignment horizontal="center" vertical="center"/>
    </xf>
    <xf numFmtId="0" fontId="60" fillId="2" borderId="7" xfId="0" applyFont="1" applyFill="1" applyBorder="1" applyAlignment="1" applyProtection="1">
      <alignment vertical="center"/>
    </xf>
    <xf numFmtId="0" fontId="60" fillId="2" borderId="1" xfId="0" applyFont="1" applyFill="1" applyBorder="1" applyAlignment="1" applyProtection="1">
      <alignment horizontal="left" vertical="center"/>
    </xf>
    <xf numFmtId="0" fontId="62" fillId="2" borderId="17" xfId="0" applyFont="1" applyFill="1" applyBorder="1" applyAlignment="1" applyProtection="1">
      <alignment horizontal="center" vertical="center"/>
    </xf>
    <xf numFmtId="49" fontId="60" fillId="2" borderId="45" xfId="0" applyNumberFormat="1" applyFont="1" applyFill="1" applyBorder="1" applyAlignment="1" applyProtection="1">
      <alignment horizontal="left" vertical="center"/>
    </xf>
    <xf numFmtId="0" fontId="60" fillId="2" borderId="58" xfId="0" applyFont="1" applyFill="1" applyBorder="1" applyAlignment="1" applyProtection="1">
      <alignment vertical="top" wrapText="1"/>
    </xf>
    <xf numFmtId="0" fontId="62" fillId="2" borderId="0" xfId="0" applyFont="1" applyFill="1" applyBorder="1" applyAlignment="1" applyProtection="1">
      <alignment horizontal="center" vertical="center"/>
    </xf>
    <xf numFmtId="0" fontId="60" fillId="2" borderId="58" xfId="0" applyFont="1" applyFill="1" applyBorder="1" applyAlignment="1" applyProtection="1">
      <alignment vertical="center"/>
    </xf>
    <xf numFmtId="0" fontId="60" fillId="2" borderId="4" xfId="0" applyFont="1" applyFill="1" applyBorder="1" applyAlignment="1" applyProtection="1">
      <alignment horizontal="left" vertical="center"/>
    </xf>
    <xf numFmtId="49" fontId="62" fillId="2" borderId="31" xfId="0" applyNumberFormat="1" applyFont="1" applyFill="1" applyBorder="1" applyAlignment="1" applyProtection="1">
      <alignment vertical="center"/>
    </xf>
    <xf numFmtId="0" fontId="62" fillId="2" borderId="58" xfId="0" applyFont="1" applyFill="1" applyBorder="1" applyAlignment="1" applyProtection="1">
      <alignment horizontal="center" vertical="center"/>
    </xf>
    <xf numFmtId="0" fontId="60" fillId="2" borderId="60" xfId="0" applyFont="1" applyFill="1" applyBorder="1" applyAlignment="1" applyProtection="1">
      <alignment vertical="top" wrapText="1"/>
    </xf>
    <xf numFmtId="180" fontId="62" fillId="2" borderId="17" xfId="0" applyNumberFormat="1" applyFont="1" applyFill="1" applyBorder="1" applyAlignment="1" applyProtection="1">
      <alignment horizontal="center" vertical="center"/>
    </xf>
    <xf numFmtId="0" fontId="60" fillId="2" borderId="22" xfId="0" applyFont="1" applyFill="1" applyBorder="1" applyAlignment="1" applyProtection="1">
      <alignment vertical="center" wrapText="1"/>
    </xf>
    <xf numFmtId="0" fontId="60" fillId="2" borderId="22" xfId="0" applyFont="1" applyFill="1" applyBorder="1" applyAlignment="1" applyProtection="1">
      <alignment vertical="center"/>
    </xf>
    <xf numFmtId="0" fontId="60" fillId="2" borderId="7" xfId="0" applyFont="1" applyFill="1" applyBorder="1" applyAlignment="1" applyProtection="1">
      <alignment horizontal="left" vertical="center"/>
    </xf>
    <xf numFmtId="180" fontId="62" fillId="7" borderId="21" xfId="0" applyNumberFormat="1" applyFont="1" applyFill="1" applyBorder="1" applyAlignment="1" applyProtection="1">
      <alignment horizontal="center" vertical="center"/>
      <protection locked="0"/>
    </xf>
    <xf numFmtId="49" fontId="62" fillId="2" borderId="32" xfId="0" applyNumberFormat="1" applyFont="1" applyFill="1" applyBorder="1" applyAlignment="1" applyProtection="1">
      <alignment vertical="center"/>
    </xf>
    <xf numFmtId="0" fontId="90" fillId="2" borderId="1" xfId="0" applyFont="1" applyFill="1" applyBorder="1" applyAlignment="1" applyProtection="1">
      <alignment horizontal="right" vertical="center" wrapText="1"/>
    </xf>
    <xf numFmtId="0" fontId="62" fillId="2" borderId="1" xfId="0" applyFont="1" applyFill="1" applyBorder="1" applyAlignment="1" applyProtection="1">
      <alignment horizontal="center" vertical="center"/>
      <protection locked="0"/>
    </xf>
    <xf numFmtId="180" fontId="62" fillId="2" borderId="21" xfId="0" applyNumberFormat="1" applyFont="1" applyFill="1" applyBorder="1" applyAlignment="1" applyProtection="1">
      <alignment horizontal="center" vertical="center"/>
    </xf>
    <xf numFmtId="49" fontId="62" fillId="2" borderId="46" xfId="0" applyNumberFormat="1" applyFont="1" applyFill="1" applyBorder="1" applyAlignment="1" applyProtection="1">
      <alignment vertical="center"/>
    </xf>
    <xf numFmtId="49" fontId="60" fillId="2" borderId="144" xfId="0" applyNumberFormat="1" applyFont="1" applyFill="1" applyBorder="1" applyAlignment="1" applyProtection="1">
      <alignment vertical="center"/>
    </xf>
    <xf numFmtId="0" fontId="60" fillId="2" borderId="135" xfId="0" applyFont="1" applyFill="1" applyBorder="1" applyAlignment="1" applyProtection="1">
      <alignment vertical="center" wrapText="1"/>
    </xf>
    <xf numFmtId="0" fontId="62" fillId="0" borderId="65" xfId="0" applyFont="1" applyFill="1" applyBorder="1" applyAlignment="1" applyProtection="1">
      <alignment horizontal="center" vertical="center"/>
      <protection locked="0"/>
    </xf>
    <xf numFmtId="0" fontId="60" fillId="2" borderId="65" xfId="0" applyFont="1" applyFill="1" applyBorder="1" applyAlignment="1" applyProtection="1">
      <alignment vertical="center"/>
    </xf>
    <xf numFmtId="0" fontId="60" fillId="2" borderId="65" xfId="0" applyFont="1" applyFill="1" applyBorder="1" applyAlignment="1" applyProtection="1">
      <alignment horizontal="left" vertical="center"/>
    </xf>
    <xf numFmtId="180" fontId="62" fillId="2" borderId="70" xfId="0" applyNumberFormat="1" applyFont="1" applyFill="1" applyBorder="1" applyAlignment="1" applyProtection="1">
      <alignment horizontal="center" vertical="center"/>
    </xf>
    <xf numFmtId="49" fontId="62" fillId="2" borderId="32" xfId="0" applyNumberFormat="1" applyFont="1" applyFill="1" applyBorder="1" applyAlignment="1" applyProtection="1">
      <alignment horizontal="left" vertical="center"/>
    </xf>
    <xf numFmtId="0" fontId="62" fillId="2" borderId="60" xfId="0" applyFont="1" applyFill="1" applyBorder="1" applyAlignment="1" applyProtection="1">
      <alignment horizontal="left" vertical="center"/>
    </xf>
    <xf numFmtId="0" fontId="62" fillId="2" borderId="60" xfId="0" applyFont="1" applyFill="1" applyBorder="1" applyAlignment="1" applyProtection="1">
      <alignment horizontal="center" vertical="center"/>
    </xf>
    <xf numFmtId="0" fontId="60" fillId="2" borderId="58" xfId="0" applyFont="1" applyFill="1" applyBorder="1" applyAlignment="1" applyProtection="1">
      <alignment horizontal="left" vertical="center"/>
    </xf>
    <xf numFmtId="180" fontId="60" fillId="2" borderId="44" xfId="0" applyNumberFormat="1" applyFont="1" applyFill="1" applyBorder="1" applyAlignment="1" applyProtection="1">
      <alignment horizontal="center" vertical="center"/>
    </xf>
    <xf numFmtId="49" fontId="60" fillId="2" borderId="16" xfId="0" applyNumberFormat="1" applyFont="1" applyFill="1" applyBorder="1" applyAlignment="1" applyProtection="1">
      <alignment horizontal="left" vertical="center"/>
    </xf>
    <xf numFmtId="0" fontId="6" fillId="2" borderId="2" xfId="0" applyFont="1" applyFill="1" applyBorder="1" applyAlignment="1" applyProtection="1">
      <alignment horizontal="center" vertical="center"/>
    </xf>
    <xf numFmtId="0" fontId="60" fillId="2" borderId="2" xfId="0" applyFont="1" applyFill="1" applyBorder="1" applyAlignment="1" applyProtection="1">
      <alignment horizontal="left" vertical="center" wrapText="1"/>
    </xf>
    <xf numFmtId="0" fontId="60" fillId="2" borderId="3" xfId="0" applyFont="1" applyFill="1" applyBorder="1" applyAlignment="1" applyProtection="1">
      <alignment horizontal="left" vertical="center" wrapText="1"/>
    </xf>
    <xf numFmtId="179" fontId="62" fillId="2" borderId="59" xfId="0" applyNumberFormat="1" applyFont="1" applyFill="1" applyBorder="1" applyAlignment="1" applyProtection="1">
      <alignment horizontal="center" vertical="center"/>
    </xf>
    <xf numFmtId="0" fontId="60" fillId="2" borderId="60" xfId="0" applyFont="1" applyFill="1" applyBorder="1" applyAlignment="1" applyProtection="1">
      <alignment horizontal="left" vertical="center"/>
    </xf>
    <xf numFmtId="180" fontId="60" fillId="2" borderId="42" xfId="0" applyNumberFormat="1" applyFont="1" applyFill="1" applyBorder="1" applyAlignment="1" applyProtection="1">
      <alignment horizontal="center" vertical="center"/>
    </xf>
    <xf numFmtId="0" fontId="61" fillId="11" borderId="0" xfId="0" applyFont="1" applyFill="1" applyAlignment="1" applyProtection="1">
      <alignment vertical="center"/>
      <protection locked="0"/>
    </xf>
    <xf numFmtId="49" fontId="60" fillId="2" borderId="144" xfId="0" applyNumberFormat="1" applyFont="1" applyFill="1" applyBorder="1" applyAlignment="1" applyProtection="1">
      <alignment horizontal="left" vertical="center"/>
    </xf>
    <xf numFmtId="180" fontId="60" fillId="2" borderId="17" xfId="0" applyNumberFormat="1" applyFont="1" applyFill="1" applyBorder="1" applyAlignment="1" applyProtection="1">
      <alignment horizontal="center" vertical="center"/>
    </xf>
    <xf numFmtId="0" fontId="60" fillId="2" borderId="59" xfId="0" applyFont="1" applyFill="1" applyBorder="1" applyAlignment="1" applyProtection="1">
      <alignment horizontal="center" vertical="center"/>
    </xf>
    <xf numFmtId="0" fontId="60" fillId="2" borderId="2" xfId="0" applyFont="1" applyFill="1" applyBorder="1" applyAlignment="1" applyProtection="1">
      <alignment vertical="center"/>
    </xf>
    <xf numFmtId="0" fontId="60" fillId="2" borderId="1" xfId="0" applyFont="1" applyFill="1" applyBorder="1" applyAlignment="1" applyProtection="1">
      <alignment vertical="center" wrapText="1"/>
    </xf>
    <xf numFmtId="49" fontId="60" fillId="2" borderId="32" xfId="0" applyNumberFormat="1" applyFont="1" applyFill="1" applyBorder="1" applyAlignment="1" applyProtection="1">
      <alignment vertical="center"/>
    </xf>
    <xf numFmtId="0" fontId="60" fillId="2" borderId="1" xfId="0" applyFont="1" applyFill="1" applyBorder="1" applyAlignment="1" applyProtection="1">
      <alignment vertical="center"/>
    </xf>
    <xf numFmtId="0" fontId="60" fillId="2" borderId="17" xfId="0" applyFont="1" applyFill="1" applyBorder="1" applyAlignment="1" applyProtection="1">
      <alignment horizontal="center" vertical="center"/>
    </xf>
    <xf numFmtId="10" fontId="60" fillId="2" borderId="17" xfId="0" applyNumberFormat="1" applyFont="1" applyFill="1" applyBorder="1" applyAlignment="1" applyProtection="1">
      <alignment horizontal="center" vertical="center"/>
    </xf>
    <xf numFmtId="0" fontId="60" fillId="2" borderId="65" xfId="0" applyFont="1" applyFill="1" applyBorder="1" applyAlignment="1" applyProtection="1">
      <alignment horizontal="center" vertical="center"/>
    </xf>
    <xf numFmtId="0" fontId="60" fillId="2" borderId="65" xfId="0" applyFont="1" applyFill="1" applyBorder="1" applyAlignment="1" applyProtection="1">
      <alignment horizontal="left" vertical="center" wrapText="1"/>
    </xf>
    <xf numFmtId="180" fontId="60" fillId="2" borderId="70" xfId="0" applyNumberFormat="1" applyFont="1" applyFill="1" applyBorder="1" applyAlignment="1" applyProtection="1">
      <alignment horizontal="center" vertical="center"/>
    </xf>
    <xf numFmtId="49" fontId="62" fillId="2" borderId="48" xfId="0" applyNumberFormat="1" applyFont="1" applyFill="1" applyBorder="1" applyAlignment="1" applyProtection="1">
      <alignment horizontal="left" vertical="center"/>
    </xf>
    <xf numFmtId="0" fontId="60" fillId="2" borderId="50" xfId="0" applyFont="1" applyFill="1" applyBorder="1" applyAlignment="1" applyProtection="1">
      <alignment horizontal="left" vertical="center"/>
    </xf>
    <xf numFmtId="0" fontId="60" fillId="2" borderId="47" xfId="0" applyFont="1" applyFill="1" applyBorder="1" applyAlignment="1" applyProtection="1">
      <alignment horizontal="center" vertical="center"/>
    </xf>
    <xf numFmtId="49" fontId="25" fillId="2" borderId="0" xfId="0" applyNumberFormat="1" applyFont="1" applyFill="1" applyBorder="1" applyAlignment="1" applyProtection="1">
      <alignment horizontal="left" vertical="center"/>
      <protection locked="0"/>
    </xf>
    <xf numFmtId="0" fontId="60" fillId="5" borderId="1" xfId="0" applyFont="1" applyFill="1" applyBorder="1" applyAlignment="1" applyProtection="1">
      <alignment horizontal="center" vertical="center"/>
    </xf>
    <xf numFmtId="0" fontId="60" fillId="2" borderId="1" xfId="0" applyFont="1" applyFill="1" applyBorder="1" applyAlignment="1" applyProtection="1">
      <alignment horizontal="left" vertical="center" wrapText="1"/>
    </xf>
    <xf numFmtId="180" fontId="60" fillId="5" borderId="59" xfId="0" applyNumberFormat="1" applyFont="1" applyFill="1" applyBorder="1" applyAlignment="1" applyProtection="1">
      <alignment horizontal="center" vertical="center" wrapText="1"/>
    </xf>
    <xf numFmtId="49" fontId="79" fillId="2" borderId="0" xfId="0" applyNumberFormat="1" applyFont="1" applyFill="1" applyBorder="1" applyAlignment="1" applyProtection="1">
      <alignment horizontal="left" vertical="center"/>
      <protection locked="0"/>
    </xf>
    <xf numFmtId="0" fontId="60" fillId="3" borderId="1" xfId="0" applyFont="1" applyFill="1" applyBorder="1" applyAlignment="1" applyProtection="1">
      <alignment horizontal="left" vertical="center" wrapText="1"/>
      <protection locked="0"/>
    </xf>
    <xf numFmtId="0" fontId="6" fillId="2" borderId="0" xfId="0" applyFont="1" applyFill="1" applyAlignment="1" applyProtection="1">
      <protection locked="0"/>
    </xf>
    <xf numFmtId="0" fontId="60" fillId="2" borderId="7" xfId="0" applyFont="1" applyFill="1" applyBorder="1" applyAlignment="1" applyProtection="1">
      <alignment horizontal="center" vertical="center"/>
    </xf>
    <xf numFmtId="0" fontId="60" fillId="2" borderId="7" xfId="0" applyFont="1" applyFill="1" applyBorder="1" applyAlignment="1" applyProtection="1">
      <alignment horizontal="left" vertical="center" wrapText="1"/>
    </xf>
    <xf numFmtId="49" fontId="60" fillId="2" borderId="43" xfId="0" applyNumberFormat="1" applyFont="1" applyFill="1" applyBorder="1" applyAlignment="1" applyProtection="1">
      <alignment vertical="center"/>
    </xf>
    <xf numFmtId="0" fontId="60" fillId="2" borderId="43" xfId="0" applyFont="1" applyFill="1" applyBorder="1" applyAlignment="1" applyProtection="1">
      <alignment vertical="center"/>
    </xf>
    <xf numFmtId="0" fontId="60" fillId="2" borderId="60" xfId="0" applyFont="1" applyFill="1" applyBorder="1" applyAlignment="1" applyProtection="1">
      <alignment horizontal="center" vertical="center"/>
    </xf>
    <xf numFmtId="0" fontId="60" fillId="2" borderId="60" xfId="0" applyFont="1" applyFill="1" applyBorder="1" applyAlignment="1" applyProtection="1">
      <alignment horizontal="left" vertical="center" wrapText="1"/>
    </xf>
    <xf numFmtId="49" fontId="60" fillId="2" borderId="32" xfId="0" applyNumberFormat="1" applyFont="1" applyFill="1" applyBorder="1" applyAlignment="1" applyProtection="1">
      <alignment horizontal="left" vertical="center"/>
    </xf>
    <xf numFmtId="10" fontId="62" fillId="2" borderId="17" xfId="0" applyNumberFormat="1" applyFont="1" applyFill="1" applyBorder="1" applyAlignment="1" applyProtection="1">
      <alignment horizontal="center" vertical="center"/>
    </xf>
    <xf numFmtId="191" fontId="62" fillId="2" borderId="17" xfId="0" applyNumberFormat="1" applyFont="1" applyFill="1" applyBorder="1" applyAlignment="1" applyProtection="1">
      <alignment horizontal="center" vertical="center"/>
    </xf>
    <xf numFmtId="0" fontId="62" fillId="2" borderId="60" xfId="0" applyFont="1" applyFill="1" applyBorder="1" applyAlignment="1" applyProtection="1">
      <alignment horizontal="left" vertical="center" wrapText="1"/>
    </xf>
    <xf numFmtId="0" fontId="60" fillId="2" borderId="50" xfId="0" applyFont="1" applyFill="1" applyBorder="1" applyAlignment="1" applyProtection="1">
      <alignment horizontal="left" vertical="center" wrapText="1"/>
    </xf>
    <xf numFmtId="0" fontId="60" fillId="2" borderId="47" xfId="0" applyFont="1" applyFill="1" applyBorder="1" applyAlignment="1" applyProtection="1">
      <alignment horizontal="center" vertical="center" wrapText="1"/>
    </xf>
    <xf numFmtId="0" fontId="60" fillId="2" borderId="33" xfId="0" applyFont="1" applyFill="1" applyBorder="1" applyAlignment="1" applyProtection="1">
      <alignment horizontal="center" vertical="center" wrapText="1"/>
    </xf>
    <xf numFmtId="0" fontId="62" fillId="2" borderId="7" xfId="0" applyFont="1" applyFill="1" applyBorder="1" applyAlignment="1" applyProtection="1">
      <alignment horizontal="center" vertical="center"/>
    </xf>
    <xf numFmtId="0" fontId="26" fillId="2" borderId="0" xfId="0" applyFont="1" applyFill="1" applyAlignment="1" applyProtection="1">
      <alignment vertical="center"/>
      <protection locked="0"/>
    </xf>
    <xf numFmtId="0" fontId="62" fillId="2" borderId="58" xfId="0" applyFont="1" applyFill="1" applyBorder="1" applyAlignment="1" applyProtection="1">
      <alignment vertical="center" wrapText="1"/>
    </xf>
    <xf numFmtId="0" fontId="60" fillId="2" borderId="58" xfId="0" applyFont="1" applyFill="1" applyBorder="1" applyAlignment="1" applyProtection="1">
      <alignment horizontal="left" vertical="center" wrapText="1"/>
    </xf>
    <xf numFmtId="179" fontId="62" fillId="2" borderId="17" xfId="0" applyNumberFormat="1" applyFont="1" applyFill="1" applyBorder="1" applyAlignment="1" applyProtection="1">
      <alignment horizontal="center" vertical="center"/>
    </xf>
    <xf numFmtId="0" fontId="60" fillId="2" borderId="0" xfId="0" applyFont="1" applyFill="1" applyAlignment="1" applyProtection="1">
      <alignment vertical="center"/>
      <protection locked="0"/>
    </xf>
    <xf numFmtId="0" fontId="62" fillId="2" borderId="60" xfId="0" applyFont="1" applyFill="1" applyBorder="1" applyAlignment="1" applyProtection="1">
      <alignment vertical="center" wrapText="1"/>
    </xf>
    <xf numFmtId="0" fontId="62" fillId="2" borderId="8" xfId="0" applyFont="1" applyFill="1" applyBorder="1" applyAlignment="1" applyProtection="1">
      <alignment horizontal="left" vertical="center"/>
    </xf>
    <xf numFmtId="0" fontId="62" fillId="2" borderId="8" xfId="0" applyFont="1" applyFill="1" applyBorder="1" applyAlignment="1" applyProtection="1">
      <alignment horizontal="center" vertical="center"/>
    </xf>
    <xf numFmtId="0" fontId="60" fillId="2" borderId="8" xfId="0" applyFont="1" applyFill="1" applyBorder="1" applyAlignment="1" applyProtection="1">
      <alignment vertical="center"/>
    </xf>
    <xf numFmtId="0" fontId="60" fillId="2" borderId="8" xfId="0" applyFont="1" applyFill="1" applyBorder="1" applyAlignment="1" applyProtection="1">
      <alignment horizontal="left" vertical="center"/>
    </xf>
    <xf numFmtId="179" fontId="62" fillId="2" borderId="38" xfId="0" applyNumberFormat="1" applyFont="1" applyFill="1" applyBorder="1" applyAlignment="1" applyProtection="1">
      <alignment horizontal="center" vertical="center"/>
    </xf>
    <xf numFmtId="0" fontId="60" fillId="11" borderId="0" xfId="0" applyFont="1" applyFill="1" applyAlignment="1" applyProtection="1">
      <protection locked="0"/>
    </xf>
    <xf numFmtId="0" fontId="60" fillId="11" borderId="0" xfId="0" applyFont="1" applyFill="1" applyAlignment="1" applyProtection="1">
      <alignment horizontal="center"/>
      <protection locked="0"/>
    </xf>
    <xf numFmtId="0" fontId="60" fillId="2" borderId="0" xfId="0" applyFont="1" applyFill="1" applyAlignment="1" applyProtection="1"/>
    <xf numFmtId="0" fontId="60" fillId="2" borderId="0" xfId="0" applyFont="1" applyFill="1" applyAlignment="1" applyProtection="1">
      <protection locked="0"/>
    </xf>
    <xf numFmtId="0" fontId="79" fillId="11" borderId="0" xfId="0" applyFont="1" applyFill="1" applyAlignment="1" applyProtection="1">
      <protection locked="0"/>
    </xf>
    <xf numFmtId="0" fontId="26" fillId="2" borderId="9" xfId="0" applyFont="1" applyFill="1" applyBorder="1" applyAlignment="1" applyProtection="1">
      <alignment horizontal="center" vertical="center"/>
    </xf>
    <xf numFmtId="0" fontId="60" fillId="2" borderId="75" xfId="0" applyFont="1" applyFill="1" applyBorder="1" applyAlignment="1" applyProtection="1"/>
    <xf numFmtId="49" fontId="60" fillId="2" borderId="11" xfId="0" applyNumberFormat="1" applyFont="1" applyFill="1" applyBorder="1" applyAlignment="1" applyProtection="1">
      <alignment horizontal="center" vertical="center"/>
      <protection locked="0"/>
    </xf>
    <xf numFmtId="0" fontId="60" fillId="2" borderId="63" xfId="0" applyFont="1" applyFill="1" applyBorder="1" applyAlignment="1" applyProtection="1">
      <alignment horizontal="center" vertical="center"/>
      <protection locked="0"/>
    </xf>
    <xf numFmtId="0" fontId="60" fillId="2" borderId="73" xfId="0" applyFont="1" applyFill="1" applyBorder="1" applyAlignment="1" applyProtection="1">
      <alignment horizontal="right" vertical="center"/>
      <protection locked="0"/>
    </xf>
    <xf numFmtId="179" fontId="26" fillId="11" borderId="0" xfId="0" applyNumberFormat="1" applyFont="1" applyFill="1" applyBorder="1" applyAlignment="1" applyProtection="1">
      <alignment horizontal="center" vertical="center"/>
      <protection locked="0"/>
    </xf>
    <xf numFmtId="49" fontId="60" fillId="2" borderId="15" xfId="0" applyNumberFormat="1" applyFont="1" applyFill="1" applyBorder="1" applyAlignment="1" applyProtection="1">
      <alignment horizontal="center" vertical="center"/>
      <protection locked="0"/>
    </xf>
    <xf numFmtId="0" fontId="60" fillId="2" borderId="2" xfId="0" applyFont="1" applyFill="1" applyBorder="1" applyAlignment="1" applyProtection="1">
      <alignment horizontal="center" vertical="center"/>
      <protection locked="0"/>
    </xf>
    <xf numFmtId="0" fontId="60" fillId="2" borderId="2" xfId="0" applyFont="1" applyFill="1" applyBorder="1" applyAlignment="1" applyProtection="1">
      <alignment horizontal="right" vertical="center"/>
      <protection locked="0"/>
    </xf>
    <xf numFmtId="0" fontId="60" fillId="2" borderId="59" xfId="0" applyFont="1" applyFill="1" applyBorder="1" applyAlignment="1" applyProtection="1">
      <alignment horizontal="center" vertical="center"/>
      <protection locked="0"/>
    </xf>
    <xf numFmtId="49" fontId="25" fillId="11" borderId="0" xfId="0" applyNumberFormat="1" applyFont="1" applyFill="1" applyBorder="1" applyAlignment="1" applyProtection="1">
      <alignment horizontal="left" vertical="center"/>
      <protection locked="0"/>
    </xf>
    <xf numFmtId="49" fontId="62" fillId="2" borderId="129" xfId="0" applyNumberFormat="1" applyFont="1" applyFill="1" applyBorder="1" applyAlignment="1" applyProtection="1">
      <alignment horizontal="left" vertical="center"/>
      <protection locked="0"/>
    </xf>
    <xf numFmtId="0" fontId="62" fillId="2" borderId="5" xfId="0" applyFont="1" applyFill="1" applyBorder="1" applyAlignment="1" applyProtection="1">
      <alignment vertical="center" wrapText="1"/>
      <protection locked="0"/>
    </xf>
    <xf numFmtId="0" fontId="62" fillId="2" borderId="5" xfId="0" applyFont="1" applyFill="1" applyBorder="1" applyAlignment="1" applyProtection="1">
      <alignment horizontal="center" vertical="center"/>
    </xf>
    <xf numFmtId="0" fontId="60" fillId="2" borderId="5" xfId="0" applyFont="1" applyFill="1" applyBorder="1" applyAlignment="1" applyProtection="1">
      <alignment vertical="center"/>
      <protection locked="0"/>
    </xf>
    <xf numFmtId="0" fontId="60" fillId="2" borderId="1" xfId="0" applyFont="1" applyFill="1" applyBorder="1" applyAlignment="1" applyProtection="1">
      <protection locked="0"/>
    </xf>
    <xf numFmtId="0" fontId="25" fillId="11" borderId="17" xfId="0" applyFont="1" applyFill="1" applyBorder="1" applyAlignment="1" applyProtection="1">
      <alignment horizontal="center" vertical="center"/>
      <protection locked="0"/>
    </xf>
    <xf numFmtId="0" fontId="26" fillId="11" borderId="0" xfId="0" applyFont="1" applyFill="1" applyBorder="1" applyAlignment="1" applyProtection="1">
      <alignment vertical="center"/>
      <protection locked="0"/>
    </xf>
    <xf numFmtId="49" fontId="62" fillId="2" borderId="15" xfId="0" applyNumberFormat="1" applyFont="1" applyFill="1" applyBorder="1" applyAlignment="1" applyProtection="1">
      <alignment horizontal="center" vertical="center"/>
      <protection locked="0"/>
    </xf>
    <xf numFmtId="0" fontId="62" fillId="2" borderId="57" xfId="0" applyFont="1" applyFill="1" applyBorder="1" applyAlignment="1" applyProtection="1">
      <alignment vertical="center" wrapText="1"/>
      <protection locked="0"/>
    </xf>
    <xf numFmtId="0" fontId="62" fillId="2" borderId="57" xfId="0" applyFont="1" applyFill="1" applyBorder="1" applyAlignment="1" applyProtection="1">
      <alignment horizontal="center" vertical="center"/>
      <protection locked="0"/>
    </xf>
    <xf numFmtId="0" fontId="60" fillId="2" borderId="58" xfId="0" applyFont="1" applyFill="1" applyBorder="1" applyAlignment="1" applyProtection="1">
      <alignment vertical="center"/>
      <protection locked="0"/>
    </xf>
    <xf numFmtId="0" fontId="60" fillId="2" borderId="43" xfId="0" applyFont="1" applyFill="1" applyBorder="1" applyAlignment="1" applyProtection="1">
      <alignment horizontal="left" vertical="center"/>
      <protection locked="0"/>
    </xf>
    <xf numFmtId="0" fontId="62" fillId="2" borderId="42" xfId="0" applyFont="1" applyFill="1" applyBorder="1" applyAlignment="1" applyProtection="1">
      <alignment horizontal="center" vertical="center"/>
    </xf>
    <xf numFmtId="49" fontId="62" fillId="2" borderId="15" xfId="0" applyNumberFormat="1" applyFont="1" applyFill="1" applyBorder="1" applyAlignment="1" applyProtection="1">
      <alignment horizontal="left" vertical="center"/>
      <protection locked="0"/>
    </xf>
    <xf numFmtId="0" fontId="60" fillId="2" borderId="4" xfId="0" applyFont="1" applyFill="1" applyBorder="1" applyAlignment="1" applyProtection="1">
      <alignment horizontal="left" vertical="center"/>
      <protection locked="0"/>
    </xf>
    <xf numFmtId="180" fontId="62" fillId="0" borderId="17" xfId="0" applyNumberFormat="1" applyFont="1" applyFill="1" applyBorder="1" applyAlignment="1" applyProtection="1">
      <alignment horizontal="center" vertical="center"/>
      <protection locked="0"/>
    </xf>
    <xf numFmtId="49" fontId="62" fillId="2" borderId="34" xfId="0" applyNumberFormat="1" applyFont="1" applyFill="1" applyBorder="1" applyAlignment="1" applyProtection="1">
      <alignment horizontal="left" vertical="center"/>
      <protection locked="0"/>
    </xf>
    <xf numFmtId="0" fontId="90" fillId="2" borderId="4" xfId="0" applyFont="1" applyFill="1" applyBorder="1" applyAlignment="1" applyProtection="1">
      <alignment horizontal="right" vertical="center" wrapText="1"/>
    </xf>
    <xf numFmtId="0" fontId="60" fillId="2" borderId="6" xfId="0" applyFont="1" applyFill="1" applyBorder="1" applyAlignment="1" applyProtection="1">
      <alignment horizontal="left" vertical="center"/>
    </xf>
    <xf numFmtId="0" fontId="26" fillId="2" borderId="59" xfId="0" applyFont="1" applyFill="1" applyBorder="1" applyAlignment="1" applyProtection="1">
      <alignment vertical="center"/>
      <protection locked="0"/>
    </xf>
    <xf numFmtId="49" fontId="62" fillId="2" borderId="16" xfId="0" applyNumberFormat="1" applyFont="1" applyFill="1" applyBorder="1" applyAlignment="1" applyProtection="1">
      <alignment horizontal="left" vertical="center"/>
      <protection locked="0"/>
    </xf>
    <xf numFmtId="0" fontId="62" fillId="2" borderId="1" xfId="0" applyFont="1" applyFill="1" applyBorder="1" applyAlignment="1" applyProtection="1">
      <alignment horizontal="left" vertical="center"/>
      <protection locked="0"/>
    </xf>
    <xf numFmtId="0" fontId="26" fillId="2" borderId="1" xfId="0" applyFont="1" applyFill="1" applyBorder="1" applyAlignment="1" applyProtection="1">
      <alignment vertical="center"/>
      <protection locked="0"/>
    </xf>
    <xf numFmtId="0" fontId="26" fillId="2" borderId="3" xfId="0" applyFont="1" applyFill="1" applyBorder="1" applyAlignment="1" applyProtection="1">
      <alignment vertical="center"/>
      <protection locked="0"/>
    </xf>
    <xf numFmtId="0" fontId="26" fillId="2" borderId="15" xfId="0" applyFont="1" applyFill="1" applyBorder="1" applyAlignment="1" applyProtection="1">
      <alignment vertical="center"/>
      <protection locked="0"/>
    </xf>
    <xf numFmtId="0" fontId="60" fillId="2" borderId="1" xfId="0" applyFont="1" applyFill="1" applyBorder="1" applyAlignment="1" applyProtection="1">
      <alignment horizontal="left" vertical="center"/>
      <protection locked="0"/>
    </xf>
    <xf numFmtId="0" fontId="26" fillId="2" borderId="50" xfId="0" applyFont="1" applyFill="1" applyBorder="1" applyAlignment="1" applyProtection="1">
      <alignment vertical="center"/>
      <protection locked="0"/>
    </xf>
    <xf numFmtId="0" fontId="26" fillId="2" borderId="47" xfId="0" applyFont="1" applyFill="1" applyBorder="1" applyAlignment="1" applyProtection="1">
      <alignment vertical="center"/>
      <protection locked="0"/>
    </xf>
    <xf numFmtId="0" fontId="26" fillId="2" borderId="33" xfId="0" applyFont="1" applyFill="1" applyBorder="1" applyAlignment="1" applyProtection="1">
      <alignment vertical="center"/>
      <protection locked="0"/>
    </xf>
    <xf numFmtId="49" fontId="62" fillId="2" borderId="16" xfId="0" applyNumberFormat="1" applyFont="1" applyFill="1" applyBorder="1" applyAlignment="1" applyProtection="1">
      <alignment horizontal="left" vertical="center"/>
    </xf>
    <xf numFmtId="0" fontId="60" fillId="2" borderId="2" xfId="0" applyFont="1" applyFill="1" applyBorder="1" applyAlignment="1" applyProtection="1">
      <alignment horizontal="left" vertical="center"/>
      <protection locked="0"/>
    </xf>
    <xf numFmtId="0" fontId="60" fillId="2" borderId="3" xfId="0" applyFont="1" applyFill="1" applyBorder="1" applyAlignment="1" applyProtection="1">
      <alignment horizontal="center" vertical="center"/>
      <protection locked="0"/>
    </xf>
    <xf numFmtId="0" fontId="60" fillId="2" borderId="2" xfId="0" applyFont="1" applyFill="1" applyBorder="1" applyAlignment="1" applyProtection="1">
      <alignment horizontal="left" vertical="center" wrapText="1"/>
      <protection locked="0"/>
    </xf>
    <xf numFmtId="0" fontId="60" fillId="2" borderId="1" xfId="0" applyFont="1" applyFill="1" applyBorder="1" applyAlignment="1" applyProtection="1">
      <alignment horizontal="left" vertical="center" wrapText="1"/>
      <protection locked="0"/>
    </xf>
    <xf numFmtId="0" fontId="60" fillId="2" borderId="7" xfId="0" applyFont="1" applyFill="1" applyBorder="1" applyAlignment="1" applyProtection="1">
      <alignment vertical="center"/>
      <protection locked="0"/>
    </xf>
    <xf numFmtId="0" fontId="60" fillId="2" borderId="7" xfId="0" applyFont="1" applyFill="1" applyBorder="1" applyAlignment="1" applyProtection="1">
      <alignment horizontal="left" vertical="center" wrapText="1"/>
      <protection locked="0"/>
    </xf>
    <xf numFmtId="0" fontId="60" fillId="2" borderId="60" xfId="0" applyFont="1" applyFill="1" applyBorder="1" applyAlignment="1" applyProtection="1">
      <alignment vertical="center"/>
      <protection locked="0"/>
    </xf>
    <xf numFmtId="0" fontId="60" fillId="2" borderId="60" xfId="0" applyFont="1" applyFill="1" applyBorder="1" applyAlignment="1" applyProtection="1">
      <alignment horizontal="left" vertical="center" wrapText="1"/>
      <protection locked="0"/>
    </xf>
    <xf numFmtId="49" fontId="15" fillId="2" borderId="0" xfId="0" applyNumberFormat="1" applyFont="1" applyFill="1" applyBorder="1" applyAlignment="1" applyProtection="1">
      <alignment horizontal="center"/>
      <protection locked="0"/>
    </xf>
    <xf numFmtId="49" fontId="15" fillId="2" borderId="0" xfId="0" applyNumberFormat="1" applyFont="1" applyFill="1" applyBorder="1" applyAlignment="1" applyProtection="1">
      <alignment horizontal="left"/>
      <protection locked="0"/>
    </xf>
    <xf numFmtId="0" fontId="7" fillId="11" borderId="0" xfId="0" applyFont="1" applyFill="1" applyAlignment="1" applyProtection="1">
      <alignment vertical="center"/>
      <protection locked="0"/>
    </xf>
    <xf numFmtId="49" fontId="25" fillId="2" borderId="0" xfId="0" applyNumberFormat="1" applyFont="1" applyFill="1" applyBorder="1" applyAlignment="1" applyProtection="1">
      <alignment horizontal="left"/>
      <protection locked="0"/>
    </xf>
    <xf numFmtId="49" fontId="25" fillId="2" borderId="0" xfId="0" applyNumberFormat="1" applyFont="1" applyFill="1" applyBorder="1" applyAlignment="1" applyProtection="1">
      <alignment horizontal="center"/>
    </xf>
    <xf numFmtId="49" fontId="25" fillId="2" borderId="0" xfId="0" applyNumberFormat="1" applyFont="1" applyFill="1" applyBorder="1" applyAlignment="1" applyProtection="1">
      <alignment horizontal="left"/>
    </xf>
    <xf numFmtId="0" fontId="91" fillId="2" borderId="7" xfId="0" applyFont="1" applyFill="1" applyBorder="1" applyAlignment="1" applyProtection="1">
      <alignment vertical="center"/>
    </xf>
    <xf numFmtId="0" fontId="91" fillId="2" borderId="22" xfId="0" applyFont="1" applyFill="1" applyBorder="1" applyAlignment="1" applyProtection="1">
      <alignment vertical="center"/>
    </xf>
    <xf numFmtId="0" fontId="60" fillId="2" borderId="0" xfId="0" applyFont="1" applyFill="1" applyBorder="1" applyAlignment="1" applyProtection="1">
      <alignment vertical="center"/>
    </xf>
    <xf numFmtId="180" fontId="62" fillId="2" borderId="88" xfId="0" applyNumberFormat="1" applyFont="1" applyFill="1" applyBorder="1" applyAlignment="1" applyProtection="1">
      <alignment horizontal="center" vertical="center"/>
    </xf>
    <xf numFmtId="0" fontId="60" fillId="2" borderId="127" xfId="0" applyFont="1" applyFill="1" applyBorder="1" applyAlignment="1" applyProtection="1">
      <alignment vertical="center"/>
    </xf>
    <xf numFmtId="180" fontId="62" fillId="2" borderId="65" xfId="0" applyNumberFormat="1" applyFont="1" applyFill="1" applyBorder="1" applyAlignment="1" applyProtection="1">
      <alignment horizontal="center" vertical="center"/>
    </xf>
    <xf numFmtId="0" fontId="62" fillId="2" borderId="50" xfId="0" applyFont="1" applyFill="1" applyBorder="1" applyAlignment="1" applyProtection="1">
      <alignment horizontal="center" vertical="center"/>
    </xf>
    <xf numFmtId="0" fontId="60" fillId="2" borderId="47" xfId="0" applyFont="1" applyFill="1" applyBorder="1" applyAlignment="1" applyProtection="1">
      <alignment vertical="center"/>
    </xf>
    <xf numFmtId="0" fontId="60" fillId="2" borderId="33" xfId="0" applyFont="1" applyFill="1" applyBorder="1" applyAlignment="1" applyProtection="1">
      <alignment vertical="center"/>
    </xf>
    <xf numFmtId="0" fontId="60" fillId="2" borderId="2" xfId="0" applyFont="1" applyFill="1" applyBorder="1" applyAlignment="1" applyProtection="1">
      <alignment horizontal="left" vertical="center"/>
    </xf>
    <xf numFmtId="0" fontId="60" fillId="2" borderId="3" xfId="0" applyFont="1" applyFill="1" applyBorder="1" applyAlignment="1" applyProtection="1">
      <alignment vertical="center"/>
    </xf>
    <xf numFmtId="0" fontId="60" fillId="2" borderId="59" xfId="0" applyFont="1" applyFill="1" applyBorder="1" applyAlignment="1" applyProtection="1">
      <alignment vertical="center"/>
    </xf>
    <xf numFmtId="0" fontId="60" fillId="2" borderId="127" xfId="0" applyFont="1" applyFill="1" applyBorder="1" applyAlignment="1" applyProtection="1">
      <alignment horizontal="left" vertical="center"/>
    </xf>
    <xf numFmtId="0" fontId="60" fillId="2" borderId="128" xfId="0" applyFont="1" applyFill="1" applyBorder="1" applyAlignment="1" applyProtection="1">
      <alignment vertical="center"/>
    </xf>
    <xf numFmtId="0" fontId="60" fillId="2" borderId="145" xfId="0" applyFont="1" applyFill="1" applyBorder="1" applyAlignment="1" applyProtection="1">
      <alignment vertical="center"/>
    </xf>
    <xf numFmtId="0" fontId="60" fillId="2" borderId="60" xfId="0" applyFont="1" applyFill="1" applyBorder="1" applyAlignment="1" applyProtection="1">
      <alignment vertical="center"/>
    </xf>
    <xf numFmtId="0" fontId="25" fillId="2" borderId="0" xfId="0" applyFont="1" applyFill="1" applyBorder="1" applyAlignment="1" applyProtection="1">
      <alignment horizontal="left" vertical="center"/>
      <protection locked="0"/>
    </xf>
    <xf numFmtId="0" fontId="59" fillId="2" borderId="0" xfId="0" applyFont="1" applyFill="1" applyBorder="1" applyAlignment="1" applyProtection="1">
      <alignment horizontal="center" vertical="center"/>
      <protection locked="0"/>
    </xf>
    <xf numFmtId="0" fontId="60" fillId="2" borderId="0" xfId="0" applyFont="1" applyFill="1" applyBorder="1" applyAlignment="1" applyProtection="1">
      <alignment vertical="center"/>
      <protection locked="0"/>
    </xf>
    <xf numFmtId="0" fontId="26" fillId="2" borderId="0" xfId="0" applyFont="1" applyFill="1" applyBorder="1" applyAlignment="1" applyProtection="1">
      <alignment horizontal="left" vertical="center"/>
      <protection locked="0"/>
    </xf>
    <xf numFmtId="179" fontId="59" fillId="2" borderId="0" xfId="0" applyNumberFormat="1" applyFont="1" applyFill="1" applyBorder="1" applyAlignment="1" applyProtection="1">
      <alignment horizontal="center" vertical="center"/>
      <protection locked="0"/>
    </xf>
    <xf numFmtId="0" fontId="6" fillId="2" borderId="0" xfId="0" applyFont="1" applyFill="1" applyAlignment="1" applyProtection="1">
      <alignment horizontal="left"/>
      <protection locked="0"/>
    </xf>
    <xf numFmtId="0" fontId="62" fillId="2" borderId="0" xfId="0" applyFont="1" applyFill="1" applyAlignment="1" applyProtection="1">
      <alignment horizontal="left"/>
      <protection locked="0"/>
    </xf>
    <xf numFmtId="0" fontId="62" fillId="2" borderId="0" xfId="0" applyFont="1" applyFill="1" applyAlignment="1" applyProtection="1">
      <protection locked="0"/>
    </xf>
    <xf numFmtId="0" fontId="60" fillId="2" borderId="0" xfId="0" applyFont="1" applyFill="1" applyAlignment="1" applyProtection="1">
      <alignment horizontal="left" vertical="center"/>
      <protection locked="0"/>
    </xf>
    <xf numFmtId="0" fontId="26" fillId="2" borderId="0" xfId="0" applyFont="1" applyFill="1" applyAlignment="1" applyProtection="1">
      <alignment horizontal="left" vertical="center"/>
      <protection locked="0"/>
    </xf>
    <xf numFmtId="0" fontId="26" fillId="11" borderId="0" xfId="0" applyFont="1" applyFill="1" applyAlignment="1" applyProtection="1">
      <alignment horizontal="left" vertical="center"/>
      <protection locked="0"/>
    </xf>
    <xf numFmtId="0" fontId="79" fillId="2" borderId="0" xfId="0" applyFont="1" applyFill="1" applyAlignment="1" applyProtection="1">
      <alignment vertical="center"/>
    </xf>
    <xf numFmtId="0" fontId="79" fillId="11" borderId="23" xfId="0" applyFont="1" applyFill="1" applyBorder="1" applyAlignment="1" applyProtection="1">
      <alignment vertical="center"/>
      <protection locked="0"/>
    </xf>
    <xf numFmtId="0" fontId="26" fillId="11" borderId="24" xfId="0" applyFont="1" applyFill="1" applyBorder="1" applyAlignment="1" applyProtection="1">
      <alignment vertical="center"/>
      <protection locked="0"/>
    </xf>
    <xf numFmtId="0" fontId="26" fillId="11" borderId="125" xfId="0" applyFont="1" applyFill="1" applyBorder="1" applyAlignment="1" applyProtection="1">
      <alignment horizontal="left" vertical="center"/>
      <protection locked="0"/>
    </xf>
    <xf numFmtId="0" fontId="65" fillId="2" borderId="146" xfId="0" applyFont="1" applyFill="1" applyBorder="1" applyAlignment="1" applyProtection="1">
      <alignment horizontal="center" vertical="center"/>
    </xf>
    <xf numFmtId="0" fontId="6" fillId="2" borderId="146" xfId="0" applyFont="1" applyFill="1" applyBorder="1" applyAlignment="1" applyProtection="1">
      <alignment vertical="center" wrapText="1"/>
    </xf>
    <xf numFmtId="0" fontId="6" fillId="2" borderId="125" xfId="0" applyFont="1" applyFill="1" applyBorder="1" applyAlignment="1" applyProtection="1">
      <alignment vertical="center"/>
    </xf>
    <xf numFmtId="0" fontId="26" fillId="2" borderId="11" xfId="0" applyFont="1" applyFill="1" applyBorder="1" applyAlignment="1" applyProtection="1">
      <alignment vertical="center"/>
    </xf>
    <xf numFmtId="0" fontId="26" fillId="7" borderId="12" xfId="0" applyFont="1" applyFill="1" applyBorder="1" applyAlignment="1" applyProtection="1">
      <alignment horizontal="center" vertical="center"/>
      <protection locked="0"/>
    </xf>
    <xf numFmtId="0" fontId="26" fillId="2" borderId="11" xfId="0" applyFont="1" applyFill="1" applyBorder="1" applyAlignment="1" applyProtection="1">
      <alignment horizontal="left" vertical="center"/>
      <protection locked="0"/>
    </xf>
    <xf numFmtId="0" fontId="26" fillId="2" borderId="12" xfId="0" applyFont="1" applyFill="1" applyBorder="1" applyAlignment="1" applyProtection="1">
      <alignment horizontal="center" vertical="center"/>
    </xf>
    <xf numFmtId="0" fontId="26" fillId="2" borderId="0" xfId="0" applyFont="1" applyFill="1" applyAlignment="1" applyProtection="1">
      <alignment horizontal="center" vertical="center"/>
    </xf>
    <xf numFmtId="0" fontId="6" fillId="2" borderId="132" xfId="0" applyFont="1" applyFill="1" applyBorder="1" applyAlignment="1" applyProtection="1">
      <alignment vertical="center" wrapText="1"/>
    </xf>
    <xf numFmtId="0" fontId="6" fillId="2" borderId="55" xfId="0" applyFont="1" applyFill="1" applyBorder="1" applyAlignment="1" applyProtection="1">
      <alignment vertical="center"/>
    </xf>
    <xf numFmtId="0" fontId="6" fillId="7" borderId="17" xfId="0" applyFont="1" applyFill="1" applyBorder="1" applyAlignment="1" applyProtection="1">
      <alignment horizontal="center"/>
      <protection locked="0"/>
    </xf>
    <xf numFmtId="0" fontId="6" fillId="2" borderId="16" xfId="0" applyFont="1" applyFill="1" applyBorder="1" applyAlignment="1" applyProtection="1">
      <alignment horizontal="left"/>
      <protection locked="0"/>
    </xf>
    <xf numFmtId="0" fontId="26" fillId="2" borderId="17" xfId="0" applyFont="1" applyFill="1" applyBorder="1" applyAlignment="1" applyProtection="1">
      <alignment horizontal="center" vertical="center"/>
    </xf>
    <xf numFmtId="0" fontId="26" fillId="11" borderId="17" xfId="0" applyFont="1" applyFill="1" applyBorder="1" applyAlignment="1" applyProtection="1">
      <alignment horizontal="center" vertical="center"/>
      <protection locked="0"/>
    </xf>
    <xf numFmtId="0" fontId="26" fillId="0" borderId="17" xfId="0" applyFont="1" applyFill="1" applyBorder="1" applyAlignment="1" applyProtection="1">
      <alignment horizontal="center" vertical="center"/>
      <protection locked="0"/>
    </xf>
    <xf numFmtId="0" fontId="6" fillId="2" borderId="132" xfId="0" applyFont="1" applyFill="1" applyBorder="1" applyAlignment="1" applyProtection="1">
      <alignment horizontal="right" vertical="center" wrapText="1"/>
    </xf>
    <xf numFmtId="0" fontId="6" fillId="2" borderId="17" xfId="0" applyFont="1" applyFill="1" applyBorder="1" applyAlignment="1" applyProtection="1">
      <alignment horizontal="center"/>
    </xf>
    <xf numFmtId="0" fontId="26" fillId="11" borderId="45" xfId="0" applyFont="1" applyFill="1" applyBorder="1" applyAlignment="1" applyProtection="1">
      <alignment vertical="center" wrapText="1"/>
      <protection locked="0"/>
    </xf>
    <xf numFmtId="49" fontId="26" fillId="2" borderId="16" xfId="0" applyNumberFormat="1" applyFont="1" applyFill="1" applyBorder="1" applyAlignment="1" applyProtection="1">
      <alignment horizontal="left" vertical="center"/>
    </xf>
    <xf numFmtId="0" fontId="26" fillId="2" borderId="17" xfId="0" applyNumberFormat="1" applyFont="1" applyFill="1" applyBorder="1" applyAlignment="1" applyProtection="1">
      <alignment horizontal="center" vertical="center"/>
    </xf>
    <xf numFmtId="0" fontId="26" fillId="2" borderId="16" xfId="0" applyFont="1" applyFill="1" applyBorder="1" applyAlignment="1" applyProtection="1">
      <alignment vertical="center"/>
      <protection locked="0"/>
    </xf>
    <xf numFmtId="190" fontId="26" fillId="2" borderId="17" xfId="0" applyNumberFormat="1" applyFont="1" applyFill="1" applyBorder="1" applyAlignment="1" applyProtection="1">
      <alignment horizontal="center" vertical="center"/>
    </xf>
    <xf numFmtId="0" fontId="26" fillId="11" borderId="43" xfId="0" applyFont="1" applyFill="1" applyBorder="1" applyAlignment="1" applyProtection="1">
      <alignment vertical="center" wrapText="1"/>
      <protection locked="0"/>
    </xf>
    <xf numFmtId="0" fontId="26" fillId="2" borderId="48" xfId="0" applyFont="1" applyFill="1" applyBorder="1" applyAlignment="1" applyProtection="1">
      <alignment vertical="center"/>
    </xf>
    <xf numFmtId="10" fontId="26" fillId="0" borderId="38" xfId="0" applyNumberFormat="1" applyFont="1" applyFill="1" applyBorder="1" applyAlignment="1" applyProtection="1">
      <alignment horizontal="center" vertical="center"/>
      <protection locked="0"/>
    </xf>
    <xf numFmtId="0" fontId="26" fillId="2" borderId="25" xfId="0" applyFont="1" applyFill="1" applyBorder="1" applyAlignment="1" applyProtection="1">
      <alignment vertical="center" wrapText="1"/>
    </xf>
    <xf numFmtId="0" fontId="26" fillId="2" borderId="74" xfId="0" applyFont="1" applyFill="1" applyBorder="1" applyAlignment="1" applyProtection="1">
      <alignment horizontal="center" vertical="center"/>
    </xf>
    <xf numFmtId="0" fontId="67" fillId="2" borderId="28" xfId="0" applyFont="1" applyFill="1" applyBorder="1" applyAlignment="1" applyProtection="1">
      <alignment horizontal="left" vertical="center" wrapText="1"/>
    </xf>
    <xf numFmtId="0" fontId="67" fillId="2" borderId="125" xfId="0" applyFont="1" applyFill="1" applyBorder="1" applyAlignment="1" applyProtection="1">
      <alignment horizontal="left" vertical="center" wrapText="1"/>
    </xf>
    <xf numFmtId="0" fontId="67" fillId="2" borderId="0" xfId="0" applyFont="1" applyFill="1" applyAlignment="1" applyProtection="1">
      <alignment vertical="center"/>
      <protection locked="0"/>
    </xf>
    <xf numFmtId="0" fontId="67" fillId="2" borderId="19" xfId="0" applyFont="1" applyFill="1" applyBorder="1" applyAlignment="1" applyProtection="1">
      <alignment vertical="center" wrapText="1"/>
    </xf>
    <xf numFmtId="0" fontId="26" fillId="2" borderId="0" xfId="0" applyFont="1" applyFill="1" applyAlignment="1" applyProtection="1">
      <alignment vertical="center"/>
    </xf>
    <xf numFmtId="0" fontId="25" fillId="2" borderId="30" xfId="0" applyFont="1" applyFill="1" applyBorder="1" applyAlignment="1" applyProtection="1">
      <alignment horizontal="left" vertical="center" wrapText="1"/>
    </xf>
    <xf numFmtId="180" fontId="26" fillId="2" borderId="56" xfId="0" applyNumberFormat="1" applyFont="1" applyFill="1" applyBorder="1" applyAlignment="1" applyProtection="1">
      <alignment horizontal="center" vertical="center"/>
    </xf>
    <xf numFmtId="0" fontId="25" fillId="2" borderId="9" xfId="0" applyFont="1" applyFill="1" applyBorder="1" applyAlignment="1" applyProtection="1">
      <alignment horizontal="center" vertical="center"/>
    </xf>
    <xf numFmtId="0" fontId="26" fillId="7" borderId="52" xfId="0" applyFont="1" applyFill="1" applyBorder="1" applyAlignment="1" applyProtection="1">
      <alignment horizontal="center" vertical="center"/>
      <protection locked="0"/>
    </xf>
    <xf numFmtId="0" fontId="26" fillId="2" borderId="32" xfId="0" applyFont="1" applyFill="1" applyBorder="1" applyAlignment="1" applyProtection="1">
      <alignment vertical="center" wrapText="1"/>
    </xf>
    <xf numFmtId="0" fontId="26" fillId="7" borderId="0" xfId="0" applyFont="1" applyFill="1" applyBorder="1" applyAlignment="1" applyProtection="1">
      <alignment horizontal="center" vertical="center"/>
      <protection locked="0"/>
    </xf>
    <xf numFmtId="0" fontId="26" fillId="2" borderId="16" xfId="0" applyFont="1" applyFill="1" applyBorder="1" applyAlignment="1" applyProtection="1">
      <alignment vertical="center" wrapText="1"/>
    </xf>
    <xf numFmtId="0" fontId="26" fillId="2" borderId="2" xfId="0" applyFont="1" applyFill="1" applyBorder="1" applyAlignment="1" applyProtection="1">
      <alignment horizontal="center" vertical="center"/>
    </xf>
    <xf numFmtId="180" fontId="26" fillId="2" borderId="2" xfId="0" applyNumberFormat="1" applyFont="1" applyFill="1" applyBorder="1" applyAlignment="1" applyProtection="1">
      <alignment horizontal="center" vertical="center"/>
    </xf>
    <xf numFmtId="49" fontId="25" fillId="2" borderId="48" xfId="0" applyNumberFormat="1" applyFont="1" applyFill="1" applyBorder="1" applyAlignment="1" applyProtection="1">
      <alignment horizontal="left" vertical="center"/>
    </xf>
    <xf numFmtId="0" fontId="26" fillId="2" borderId="38" xfId="0" applyFont="1" applyFill="1" applyBorder="1" applyAlignment="1" applyProtection="1">
      <alignment horizontal="center" vertical="center"/>
    </xf>
    <xf numFmtId="0" fontId="25" fillId="2" borderId="48" xfId="0" applyFont="1" applyFill="1" applyBorder="1" applyAlignment="1" applyProtection="1">
      <alignment horizontal="center" vertical="center"/>
    </xf>
    <xf numFmtId="0" fontId="26" fillId="2" borderId="1" xfId="0" applyFont="1" applyFill="1" applyBorder="1" applyAlignment="1"/>
    <xf numFmtId="0" fontId="26" fillId="2" borderId="1" xfId="0" applyFont="1" applyFill="1" applyBorder="1" applyAlignment="1">
      <alignment horizontal="center"/>
    </xf>
    <xf numFmtId="0" fontId="26" fillId="2" borderId="1" xfId="0" applyFont="1" applyFill="1" applyBorder="1" applyAlignment="1" applyProtection="1">
      <alignment horizontal="center" vertical="center"/>
      <protection locked="0"/>
    </xf>
    <xf numFmtId="9" fontId="26" fillId="2" borderId="1" xfId="0" applyNumberFormat="1" applyFont="1" applyFill="1" applyBorder="1" applyAlignment="1" applyProtection="1">
      <alignment horizontal="center" vertical="center"/>
      <protection locked="0"/>
    </xf>
    <xf numFmtId="0" fontId="6" fillId="2" borderId="125" xfId="0" applyFont="1" applyFill="1" applyBorder="1" applyAlignment="1" applyProtection="1">
      <alignment vertical="center" wrapText="1"/>
    </xf>
    <xf numFmtId="0" fontId="6" fillId="2" borderId="55" xfId="0" applyFont="1" applyFill="1" applyBorder="1" applyAlignment="1" applyProtection="1">
      <alignment vertical="center" wrapText="1"/>
    </xf>
    <xf numFmtId="10" fontId="6" fillId="2" borderId="55" xfId="0" applyNumberFormat="1" applyFont="1" applyFill="1" applyBorder="1" applyAlignment="1" applyProtection="1">
      <alignment vertical="center" wrapText="1"/>
    </xf>
    <xf numFmtId="0" fontId="62" fillId="2" borderId="1" xfId="0" applyFont="1" applyFill="1" applyBorder="1" applyAlignment="1" applyProtection="1">
      <alignment horizontal="left" vertical="center" wrapText="1"/>
      <protection locked="0"/>
    </xf>
    <xf numFmtId="0" fontId="60" fillId="2" borderId="3" xfId="0" applyFont="1" applyFill="1" applyBorder="1" applyAlignment="1" applyProtection="1">
      <alignment horizontal="center" vertical="center" wrapText="1"/>
      <protection locked="0"/>
    </xf>
    <xf numFmtId="0" fontId="60" fillId="2" borderId="59" xfId="0" applyFont="1" applyFill="1" applyBorder="1" applyAlignment="1" applyProtection="1">
      <alignment horizontal="center" vertical="center" wrapText="1"/>
      <protection locked="0"/>
    </xf>
    <xf numFmtId="49" fontId="62" fillId="2" borderId="20" xfId="0" applyNumberFormat="1" applyFont="1" applyFill="1" applyBorder="1" applyAlignment="1" applyProtection="1">
      <alignment vertical="center"/>
      <protection locked="0"/>
    </xf>
    <xf numFmtId="0" fontId="62" fillId="2" borderId="7" xfId="0" applyFont="1" applyFill="1" applyBorder="1" applyAlignment="1" applyProtection="1">
      <alignment vertical="center" wrapText="1"/>
      <protection locked="0"/>
    </xf>
    <xf numFmtId="49" fontId="62" fillId="2" borderId="31" xfId="0" applyNumberFormat="1" applyFont="1" applyFill="1" applyBorder="1" applyAlignment="1" applyProtection="1">
      <alignment vertical="center"/>
      <protection locked="0"/>
    </xf>
    <xf numFmtId="0" fontId="62" fillId="2" borderId="58" xfId="0" applyFont="1" applyFill="1" applyBorder="1" applyAlignment="1" applyProtection="1">
      <alignment vertical="center" wrapText="1"/>
      <protection locked="0"/>
    </xf>
    <xf numFmtId="0" fontId="60" fillId="2" borderId="58" xfId="0" applyFont="1" applyFill="1" applyBorder="1" applyAlignment="1" applyProtection="1">
      <alignment horizontal="left" vertical="center" wrapText="1"/>
      <protection locked="0"/>
    </xf>
    <xf numFmtId="49" fontId="62" fillId="2" borderId="32" xfId="0" applyNumberFormat="1" applyFont="1" applyFill="1" applyBorder="1" applyAlignment="1" applyProtection="1">
      <alignment vertical="center"/>
      <protection locked="0"/>
    </xf>
    <xf numFmtId="0" fontId="62" fillId="2" borderId="60" xfId="0" applyFont="1" applyFill="1" applyBorder="1" applyAlignment="1" applyProtection="1">
      <alignment vertical="center" wrapText="1"/>
      <protection locked="0"/>
    </xf>
    <xf numFmtId="49" fontId="62" fillId="2" borderId="48" xfId="0" applyNumberFormat="1" applyFont="1" applyFill="1" applyBorder="1" applyAlignment="1" applyProtection="1">
      <alignment horizontal="left" vertical="center"/>
      <protection locked="0"/>
    </xf>
    <xf numFmtId="0" fontId="62" fillId="2" borderId="8" xfId="0" applyFont="1" applyFill="1" applyBorder="1" applyAlignment="1" applyProtection="1">
      <alignment horizontal="left" vertical="center"/>
      <protection locked="0"/>
    </xf>
    <xf numFmtId="0" fontId="60" fillId="2" borderId="8" xfId="0" applyFont="1" applyFill="1" applyBorder="1" applyAlignment="1" applyProtection="1">
      <alignment vertical="center"/>
      <protection locked="0"/>
    </xf>
    <xf numFmtId="0" fontId="60" fillId="2" borderId="8" xfId="0" applyFont="1" applyFill="1" applyBorder="1" applyAlignment="1" applyProtection="1">
      <alignment horizontal="left" vertical="center"/>
      <protection locked="0"/>
    </xf>
    <xf numFmtId="0" fontId="60" fillId="2" borderId="1" xfId="0" applyFont="1" applyFill="1" applyBorder="1" applyAlignment="1" applyProtection="1">
      <alignment horizontal="center"/>
    </xf>
    <xf numFmtId="0" fontId="26" fillId="2" borderId="1" xfId="0" applyFont="1" applyFill="1" applyBorder="1" applyAlignment="1" applyProtection="1">
      <alignment horizontal="left"/>
    </xf>
    <xf numFmtId="182" fontId="26" fillId="2" borderId="1" xfId="0" applyNumberFormat="1" applyFont="1" applyFill="1" applyBorder="1" applyAlignment="1" applyProtection="1">
      <alignment horizontal="center"/>
    </xf>
    <xf numFmtId="180" fontId="62" fillId="2" borderId="1" xfId="0" applyNumberFormat="1" applyFont="1" applyFill="1" applyBorder="1" applyAlignment="1" applyProtection="1">
      <alignment horizontal="center" vertical="center"/>
    </xf>
    <xf numFmtId="0" fontId="65" fillId="2" borderId="1" xfId="0" applyFont="1" applyFill="1" applyBorder="1" applyAlignment="1" applyProtection="1">
      <alignment horizontal="left"/>
    </xf>
    <xf numFmtId="0" fontId="65" fillId="2" borderId="1" xfId="0" applyFont="1" applyFill="1" applyBorder="1" applyAlignment="1" applyProtection="1">
      <alignment horizontal="center"/>
    </xf>
    <xf numFmtId="0" fontId="59" fillId="2" borderId="1" xfId="0" applyFont="1" applyFill="1" applyBorder="1" applyAlignment="1" applyProtection="1">
      <alignment horizontal="center"/>
    </xf>
    <xf numFmtId="0" fontId="5" fillId="2" borderId="55" xfId="0" applyFont="1" applyFill="1" applyBorder="1" applyAlignment="1" applyProtection="1">
      <alignment vertical="center"/>
    </xf>
    <xf numFmtId="190" fontId="6" fillId="2" borderId="55" xfId="0" applyNumberFormat="1" applyFont="1" applyFill="1" applyBorder="1" applyAlignment="1" applyProtection="1">
      <alignment vertical="center" wrapText="1"/>
    </xf>
    <xf numFmtId="0" fontId="67" fillId="2" borderId="58" xfId="0" applyFont="1" applyFill="1" applyBorder="1" applyAlignment="1" applyProtection="1">
      <alignment vertical="center"/>
    </xf>
    <xf numFmtId="0" fontId="60" fillId="2" borderId="63" xfId="0" applyFont="1" applyFill="1" applyBorder="1" applyAlignment="1" applyProtection="1">
      <alignment horizontal="center" vertical="center"/>
    </xf>
    <xf numFmtId="0" fontId="62" fillId="2" borderId="57" xfId="0" applyFont="1" applyFill="1" applyBorder="1" applyAlignment="1" applyProtection="1">
      <alignment horizontal="center" vertical="center"/>
    </xf>
    <xf numFmtId="49" fontId="62" fillId="2" borderId="22" xfId="0" applyNumberFormat="1" applyFont="1" applyFill="1" applyBorder="1" applyAlignment="1" applyProtection="1">
      <alignment horizontal="left" vertical="center"/>
      <protection locked="0"/>
    </xf>
    <xf numFmtId="0" fontId="60" fillId="2" borderId="4" xfId="0" applyFont="1" applyFill="1" applyBorder="1" applyAlignment="1" applyProtection="1">
      <alignment vertical="center" wrapText="1"/>
    </xf>
    <xf numFmtId="49" fontId="62" fillId="2" borderId="32" xfId="0" applyNumberFormat="1" applyFont="1" applyFill="1" applyBorder="1" applyAlignment="1" applyProtection="1">
      <alignment horizontal="left" vertical="center"/>
      <protection locked="0"/>
    </xf>
    <xf numFmtId="0" fontId="79" fillId="2" borderId="0" xfId="0" applyFont="1" applyFill="1" applyAlignment="1" applyProtection="1">
      <alignment vertical="center"/>
      <protection locked="0"/>
    </xf>
    <xf numFmtId="0" fontId="28" fillId="11" borderId="0" xfId="0" applyFont="1" applyFill="1" applyAlignment="1" applyProtection="1">
      <alignment vertical="center"/>
      <protection locked="0"/>
    </xf>
    <xf numFmtId="0" fontId="20" fillId="0" borderId="0" xfId="0" applyFont="1" applyFill="1" applyAlignment="1" applyProtection="1">
      <alignment vertical="center"/>
      <protection locked="0"/>
    </xf>
    <xf numFmtId="0" fontId="60" fillId="0" borderId="0" xfId="0" applyFont="1" applyFill="1" applyAlignment="1" applyProtection="1">
      <alignment vertical="center"/>
      <protection locked="0"/>
    </xf>
    <xf numFmtId="0" fontId="8" fillId="11" borderId="0" xfId="0" applyFont="1" applyFill="1" applyAlignment="1" applyProtection="1">
      <alignment vertical="center"/>
      <protection locked="0"/>
    </xf>
    <xf numFmtId="0" fontId="10" fillId="11" borderId="0" xfId="0" applyFont="1" applyFill="1" applyAlignment="1" applyProtection="1">
      <alignment vertical="center"/>
      <protection locked="0"/>
    </xf>
    <xf numFmtId="0" fontId="10" fillId="0" borderId="0" xfId="0" applyFont="1" applyFill="1" applyAlignment="1" applyProtection="1">
      <alignment vertical="center"/>
      <protection locked="0"/>
    </xf>
    <xf numFmtId="0" fontId="61" fillId="4" borderId="0" xfId="0" applyFont="1" applyFill="1" applyAlignment="1" applyProtection="1">
      <alignment vertical="center"/>
      <protection locked="0"/>
    </xf>
    <xf numFmtId="0" fontId="10" fillId="4" borderId="0" xfId="0" applyFont="1" applyFill="1" applyAlignment="1" applyProtection="1">
      <alignment vertical="center" wrapText="1"/>
      <protection locked="0"/>
    </xf>
    <xf numFmtId="0" fontId="61" fillId="4" borderId="0" xfId="0" applyFont="1" applyFill="1" applyAlignment="1" applyProtection="1">
      <alignment vertical="center" wrapText="1"/>
      <protection locked="0"/>
    </xf>
    <xf numFmtId="0" fontId="60" fillId="4" borderId="0" xfId="0" applyFont="1" applyFill="1" applyAlignment="1" applyProtection="1">
      <alignment vertical="center"/>
      <protection locked="0"/>
    </xf>
    <xf numFmtId="182" fontId="60" fillId="4" borderId="0" xfId="0" applyNumberFormat="1" applyFont="1" applyFill="1" applyAlignment="1" applyProtection="1">
      <alignment horizontal="center" vertical="center"/>
      <protection locked="0"/>
    </xf>
    <xf numFmtId="0" fontId="64" fillId="7" borderId="2" xfId="59" applyFont="1" applyFill="1" applyBorder="1" applyAlignment="1" applyProtection="1">
      <alignment horizontal="left" vertical="center"/>
      <protection locked="0"/>
    </xf>
    <xf numFmtId="0" fontId="64" fillId="7" borderId="4" xfId="59" applyFont="1" applyFill="1" applyBorder="1" applyAlignment="1" applyProtection="1">
      <alignment vertical="center"/>
    </xf>
    <xf numFmtId="0" fontId="64" fillId="6" borderId="0" xfId="59" applyFont="1" applyFill="1" applyBorder="1" applyAlignment="1" applyProtection="1">
      <alignment vertical="center"/>
    </xf>
    <xf numFmtId="0" fontId="60" fillId="6" borderId="0" xfId="0" applyFont="1" applyFill="1" applyAlignment="1" applyProtection="1">
      <alignment vertical="center"/>
      <protection locked="0"/>
    </xf>
    <xf numFmtId="0" fontId="64" fillId="2" borderId="0" xfId="59" applyFont="1" applyFill="1" applyBorder="1" applyAlignment="1" applyProtection="1">
      <alignment vertical="center"/>
    </xf>
    <xf numFmtId="0" fontId="64" fillId="2" borderId="30" xfId="0" applyFont="1" applyFill="1" applyBorder="1" applyAlignment="1" applyProtection="1">
      <alignment vertical="center"/>
    </xf>
    <xf numFmtId="0" fontId="64" fillId="2" borderId="51" xfId="0" applyFont="1" applyFill="1" applyBorder="1" applyAlignment="1" applyProtection="1">
      <alignment vertical="center"/>
    </xf>
    <xf numFmtId="182" fontId="20" fillId="2" borderId="14" xfId="0" applyNumberFormat="1" applyFont="1" applyFill="1" applyBorder="1" applyAlignment="1" applyProtection="1">
      <alignment horizontal="center" vertical="center"/>
    </xf>
    <xf numFmtId="0" fontId="20" fillId="2" borderId="16" xfId="0" applyFont="1" applyFill="1" applyBorder="1" applyAlignment="1" applyProtection="1">
      <alignment horizontal="center" vertical="center"/>
    </xf>
    <xf numFmtId="0" fontId="20" fillId="2" borderId="5" xfId="0" applyFont="1" applyFill="1" applyBorder="1" applyAlignment="1" applyProtection="1">
      <alignment vertical="center"/>
    </xf>
    <xf numFmtId="182" fontId="60" fillId="7" borderId="1" xfId="0" applyNumberFormat="1" applyFont="1" applyFill="1" applyBorder="1" applyAlignment="1" applyProtection="1">
      <alignment horizontal="center" vertical="center" wrapText="1"/>
      <protection locked="0"/>
    </xf>
    <xf numFmtId="49" fontId="60" fillId="2" borderId="16" xfId="0" applyNumberFormat="1" applyFont="1" applyFill="1" applyBorder="1" applyAlignment="1" applyProtection="1">
      <alignment horizontal="center" vertical="center"/>
    </xf>
    <xf numFmtId="182" fontId="60" fillId="0" borderId="1" xfId="0" applyNumberFormat="1" applyFont="1" applyFill="1" applyBorder="1" applyAlignment="1" applyProtection="1">
      <alignment horizontal="center" vertical="center"/>
      <protection locked="0"/>
    </xf>
    <xf numFmtId="184" fontId="6" fillId="2" borderId="1" xfId="0" applyNumberFormat="1" applyFont="1" applyFill="1" applyBorder="1" applyAlignment="1" applyProtection="1">
      <alignment horizontal="center" vertical="center"/>
    </xf>
    <xf numFmtId="49" fontId="60" fillId="2" borderId="20" xfId="0" applyNumberFormat="1" applyFont="1" applyFill="1" applyBorder="1" applyAlignment="1" applyProtection="1">
      <alignment horizontal="center" vertical="center"/>
    </xf>
    <xf numFmtId="0" fontId="60" fillId="2" borderId="5" xfId="0" applyFont="1" applyFill="1" applyBorder="1" applyAlignment="1" applyProtection="1">
      <alignment vertical="center"/>
    </xf>
    <xf numFmtId="182" fontId="6" fillId="0" borderId="7" xfId="0" applyNumberFormat="1" applyFont="1" applyFill="1" applyBorder="1" applyAlignment="1" applyProtection="1">
      <alignment horizontal="center" vertical="center"/>
      <protection locked="0"/>
    </xf>
    <xf numFmtId="182" fontId="60" fillId="0" borderId="7" xfId="0" applyNumberFormat="1" applyFont="1" applyFill="1" applyBorder="1" applyAlignment="1" applyProtection="1">
      <alignment horizontal="center" vertical="center"/>
      <protection locked="0"/>
    </xf>
    <xf numFmtId="0" fontId="20" fillId="2" borderId="2" xfId="0" applyFont="1" applyFill="1" applyBorder="1" applyAlignment="1" applyProtection="1">
      <alignment vertical="center"/>
    </xf>
    <xf numFmtId="182" fontId="20" fillId="2" borderId="1" xfId="0" applyNumberFormat="1" applyFont="1" applyFill="1" applyBorder="1" applyAlignment="1" applyProtection="1">
      <alignment horizontal="center" vertical="center"/>
    </xf>
    <xf numFmtId="0" fontId="20" fillId="2" borderId="1" xfId="0" applyFont="1" applyFill="1" applyBorder="1" applyAlignment="1" applyProtection="1">
      <alignment horizontal="center" vertical="center"/>
    </xf>
    <xf numFmtId="0" fontId="20" fillId="2" borderId="3" xfId="0" applyFont="1" applyFill="1" applyBorder="1" applyAlignment="1" applyProtection="1">
      <alignment vertical="center"/>
    </xf>
    <xf numFmtId="0" fontId="60" fillId="2" borderId="16" xfId="59" applyFont="1" applyFill="1" applyBorder="1" applyAlignment="1" applyProtection="1">
      <alignment horizontal="right" vertical="center"/>
    </xf>
    <xf numFmtId="0" fontId="60" fillId="2" borderId="2" xfId="59" applyFont="1" applyFill="1" applyBorder="1" applyAlignment="1" applyProtection="1">
      <alignment vertical="center"/>
    </xf>
    <xf numFmtId="181" fontId="60" fillId="2" borderId="1" xfId="0" applyNumberFormat="1" applyFont="1" applyFill="1" applyBorder="1" applyAlignment="1" applyProtection="1">
      <alignment horizontal="center" vertical="center"/>
    </xf>
    <xf numFmtId="179" fontId="60" fillId="2" borderId="1" xfId="59" applyNumberFormat="1" applyFont="1" applyFill="1" applyBorder="1" applyAlignment="1" applyProtection="1">
      <alignment horizontal="center" vertical="center"/>
    </xf>
    <xf numFmtId="180" fontId="60" fillId="2" borderId="1" xfId="59" applyNumberFormat="1" applyFont="1" applyFill="1" applyBorder="1" applyAlignment="1" applyProtection="1">
      <alignment horizontal="center" vertical="center"/>
    </xf>
    <xf numFmtId="9" fontId="60" fillId="2" borderId="1" xfId="59" applyNumberFormat="1" applyFont="1" applyFill="1" applyBorder="1" applyAlignment="1" applyProtection="1">
      <alignment horizontal="center" vertical="center"/>
    </xf>
    <xf numFmtId="0" fontId="60" fillId="2" borderId="1" xfId="59" applyNumberFormat="1" applyFont="1" applyFill="1" applyBorder="1" applyAlignment="1" applyProtection="1">
      <alignment horizontal="center" vertical="center"/>
    </xf>
    <xf numFmtId="181" fontId="60" fillId="2" borderId="1" xfId="59" applyNumberFormat="1" applyFont="1" applyFill="1" applyBorder="1" applyAlignment="1" applyProtection="1">
      <alignment horizontal="center" vertical="center"/>
    </xf>
    <xf numFmtId="181" fontId="60" fillId="2" borderId="1" xfId="59" applyNumberFormat="1" applyFont="1" applyFill="1" applyBorder="1" applyAlignment="1" applyProtection="1">
      <alignment vertical="center"/>
    </xf>
    <xf numFmtId="10" fontId="60" fillId="2" borderId="1" xfId="59" applyNumberFormat="1" applyFont="1" applyFill="1" applyBorder="1" applyAlignment="1" applyProtection="1">
      <alignment horizontal="center" vertical="center"/>
    </xf>
    <xf numFmtId="0" fontId="60" fillId="2" borderId="6" xfId="0" applyFont="1" applyFill="1" applyBorder="1" applyAlignment="1" applyProtection="1">
      <alignment vertical="center"/>
    </xf>
    <xf numFmtId="0" fontId="79" fillId="7" borderId="2" xfId="59" applyFont="1" applyFill="1" applyBorder="1" applyAlignment="1" applyProtection="1">
      <alignment horizontal="right" vertical="center"/>
      <protection locked="0"/>
    </xf>
    <xf numFmtId="0" fontId="60" fillId="0" borderId="3" xfId="0" applyFont="1" applyFill="1" applyBorder="1" applyAlignment="1" applyProtection="1">
      <alignment vertical="center"/>
      <protection locked="0"/>
    </xf>
    <xf numFmtId="0" fontId="60" fillId="2" borderId="47" xfId="0" applyFont="1" applyFill="1" applyBorder="1" applyAlignment="1" applyProtection="1">
      <alignment horizontal="left" vertical="center"/>
    </xf>
    <xf numFmtId="0" fontId="60" fillId="2" borderId="3" xfId="0" applyFont="1" applyFill="1" applyBorder="1" applyAlignment="1" applyProtection="1">
      <alignment horizontal="left" vertical="center"/>
    </xf>
    <xf numFmtId="0" fontId="20" fillId="2" borderId="2" xfId="59" applyFont="1" applyFill="1" applyBorder="1" applyAlignment="1" applyProtection="1">
      <alignment vertical="center"/>
    </xf>
    <xf numFmtId="181" fontId="20" fillId="2" borderId="1" xfId="59" applyNumberFormat="1" applyFont="1" applyFill="1" applyBorder="1" applyAlignment="1" applyProtection="1">
      <alignment horizontal="center" vertical="center"/>
    </xf>
    <xf numFmtId="0" fontId="20" fillId="2" borderId="1" xfId="59" applyFont="1" applyFill="1" applyBorder="1" applyAlignment="1" applyProtection="1">
      <alignment vertical="center"/>
    </xf>
    <xf numFmtId="181" fontId="20" fillId="2" borderId="1" xfId="59" applyNumberFormat="1" applyFont="1" applyFill="1" applyBorder="1" applyAlignment="1" applyProtection="1">
      <alignment vertical="center"/>
    </xf>
    <xf numFmtId="10" fontId="20" fillId="2" borderId="1" xfId="59" applyNumberFormat="1" applyFont="1" applyFill="1" applyBorder="1" applyAlignment="1" applyProtection="1">
      <alignment horizontal="center" vertical="center"/>
    </xf>
    <xf numFmtId="0" fontId="20" fillId="2" borderId="1" xfId="0" applyFont="1" applyFill="1" applyBorder="1" applyAlignment="1" applyProtection="1">
      <alignment horizontal="right" vertical="center"/>
    </xf>
    <xf numFmtId="0" fontId="8" fillId="2" borderId="3" xfId="0" applyFont="1" applyFill="1" applyBorder="1" applyAlignment="1" applyProtection="1">
      <alignment vertical="center"/>
    </xf>
    <xf numFmtId="181" fontId="20" fillId="2" borderId="0" xfId="0" applyNumberFormat="1" applyFont="1" applyFill="1" applyBorder="1" applyAlignment="1" applyProtection="1">
      <alignment horizontal="center" vertical="center"/>
    </xf>
    <xf numFmtId="181" fontId="20" fillId="2" borderId="3" xfId="59" applyNumberFormat="1" applyFont="1" applyFill="1" applyBorder="1" applyAlignment="1" applyProtection="1">
      <alignment vertical="center"/>
    </xf>
    <xf numFmtId="10" fontId="20" fillId="2" borderId="7" xfId="0" applyNumberFormat="1" applyFont="1" applyFill="1" applyBorder="1" applyAlignment="1" applyProtection="1">
      <alignment horizontal="center" vertical="center"/>
    </xf>
    <xf numFmtId="0" fontId="60" fillId="2" borderId="1" xfId="59" applyFont="1" applyFill="1" applyBorder="1" applyAlignment="1" applyProtection="1">
      <alignment horizontal="left" vertical="center"/>
    </xf>
    <xf numFmtId="188" fontId="60" fillId="2" borderId="4" xfId="0" applyNumberFormat="1" applyFont="1" applyFill="1" applyBorder="1" applyAlignment="1" applyProtection="1">
      <alignment horizontal="center" vertical="center"/>
    </xf>
    <xf numFmtId="188" fontId="60" fillId="2" borderId="1" xfId="0" applyNumberFormat="1" applyFont="1" applyFill="1" applyBorder="1" applyAlignment="1" applyProtection="1">
      <alignment horizontal="center" vertical="center"/>
    </xf>
    <xf numFmtId="181" fontId="60" fillId="2" borderId="3" xfId="59" applyNumberFormat="1" applyFont="1" applyFill="1" applyBorder="1" applyAlignment="1" applyProtection="1">
      <alignment vertical="center"/>
    </xf>
    <xf numFmtId="10" fontId="60" fillId="2" borderId="7" xfId="0" applyNumberFormat="1" applyFont="1" applyFill="1" applyBorder="1" applyAlignment="1" applyProtection="1">
      <alignment horizontal="center" vertical="center"/>
    </xf>
    <xf numFmtId="0" fontId="60" fillId="2" borderId="2" xfId="0" applyFont="1" applyFill="1" applyBorder="1" applyAlignment="1" applyProtection="1"/>
    <xf numFmtId="181" fontId="60" fillId="2" borderId="0" xfId="0" applyNumberFormat="1" applyFont="1" applyFill="1" applyBorder="1" applyAlignment="1" applyProtection="1">
      <alignment horizontal="center" vertical="center"/>
    </xf>
    <xf numFmtId="0" fontId="20" fillId="2" borderId="1" xfId="59" applyFont="1" applyFill="1" applyBorder="1" applyAlignment="1" applyProtection="1">
      <alignment vertical="center" wrapText="1"/>
    </xf>
    <xf numFmtId="181" fontId="20" fillId="2" borderId="4" xfId="0" applyNumberFormat="1" applyFont="1" applyFill="1" applyBorder="1" applyAlignment="1" applyProtection="1">
      <alignment horizontal="center" vertical="center" wrapText="1"/>
    </xf>
    <xf numFmtId="0" fontId="8" fillId="2" borderId="2" xfId="0" applyFont="1" applyFill="1" applyBorder="1" applyAlignment="1" applyProtection="1">
      <alignment vertical="center"/>
    </xf>
    <xf numFmtId="0" fontId="60" fillId="2" borderId="2" xfId="59" applyFont="1" applyFill="1" applyBorder="1" applyAlignment="1" applyProtection="1">
      <alignment horizontal="left" vertical="center"/>
    </xf>
    <xf numFmtId="10" fontId="60" fillId="2" borderId="1" xfId="0" applyNumberFormat="1" applyFont="1" applyFill="1" applyBorder="1" applyAlignment="1" applyProtection="1">
      <alignment horizontal="center" vertical="center" wrapText="1"/>
    </xf>
    <xf numFmtId="181" fontId="60" fillId="2" borderId="1" xfId="0" applyNumberFormat="1" applyFont="1" applyFill="1" applyBorder="1" applyAlignment="1" applyProtection="1">
      <alignment horizontal="center" vertical="center" wrapText="1"/>
    </xf>
    <xf numFmtId="49" fontId="60" fillId="2" borderId="48" xfId="0" applyNumberFormat="1" applyFont="1" applyFill="1" applyBorder="1" applyAlignment="1" applyProtection="1">
      <alignment horizontal="center" vertical="center"/>
    </xf>
    <xf numFmtId="0" fontId="20" fillId="2" borderId="36" xfId="59" applyFont="1" applyFill="1" applyBorder="1" applyAlignment="1" applyProtection="1">
      <alignment vertical="center"/>
    </xf>
    <xf numFmtId="181" fontId="20" fillId="2" borderId="8" xfId="0" applyNumberFormat="1" applyFont="1" applyFill="1" applyBorder="1" applyAlignment="1" applyProtection="1">
      <alignment horizontal="center" vertical="center"/>
    </xf>
    <xf numFmtId="0" fontId="20" fillId="2" borderId="8" xfId="0" applyFont="1" applyFill="1" applyBorder="1" applyAlignment="1" applyProtection="1">
      <alignment vertical="center"/>
    </xf>
    <xf numFmtId="181" fontId="20" fillId="2" borderId="8" xfId="0" applyNumberFormat="1" applyFont="1" applyFill="1" applyBorder="1" applyAlignment="1" applyProtection="1">
      <alignment vertical="center"/>
    </xf>
    <xf numFmtId="10" fontId="20" fillId="2" borderId="8" xfId="0" applyNumberFormat="1" applyFont="1" applyFill="1" applyBorder="1" applyAlignment="1" applyProtection="1">
      <alignment horizontal="center" vertical="center"/>
    </xf>
    <xf numFmtId="181" fontId="20" fillId="2" borderId="36" xfId="0" applyNumberFormat="1" applyFont="1" applyFill="1" applyBorder="1" applyAlignment="1" applyProtection="1">
      <alignment vertical="center"/>
    </xf>
    <xf numFmtId="181" fontId="20" fillId="2" borderId="54" xfId="0" applyNumberFormat="1" applyFont="1" applyFill="1" applyBorder="1" applyAlignment="1" applyProtection="1">
      <alignment vertical="center"/>
    </xf>
    <xf numFmtId="0" fontId="20" fillId="2" borderId="18" xfId="0" applyFont="1" applyFill="1" applyBorder="1" applyAlignment="1" applyProtection="1">
      <alignment vertical="center"/>
    </xf>
    <xf numFmtId="0" fontId="20" fillId="2" borderId="19" xfId="0" applyFont="1" applyFill="1" applyBorder="1" applyAlignment="1" applyProtection="1">
      <alignment vertical="center"/>
    </xf>
    <xf numFmtId="182" fontId="64" fillId="2" borderId="62" xfId="0" applyNumberFormat="1" applyFont="1" applyFill="1" applyBorder="1" applyAlignment="1" applyProtection="1">
      <alignment horizontal="center" vertical="center"/>
    </xf>
    <xf numFmtId="0" fontId="64" fillId="2" borderId="68" xfId="0" applyFont="1" applyFill="1" applyBorder="1" applyAlignment="1" applyProtection="1">
      <alignment vertical="center"/>
    </xf>
    <xf numFmtId="0" fontId="64" fillId="2" borderId="0" xfId="59" applyFont="1" applyFill="1" applyBorder="1" applyAlignment="1" applyProtection="1">
      <alignment horizontal="center" vertical="center"/>
    </xf>
    <xf numFmtId="0" fontId="64" fillId="2" borderId="52" xfId="0" applyFont="1" applyFill="1" applyBorder="1" applyAlignment="1" applyProtection="1">
      <alignment vertical="center"/>
    </xf>
    <xf numFmtId="0" fontId="20" fillId="11" borderId="0" xfId="0" applyFont="1" applyFill="1" applyAlignment="1" applyProtection="1">
      <alignment vertical="center"/>
      <protection locked="0"/>
    </xf>
    <xf numFmtId="182" fontId="60" fillId="0" borderId="17" xfId="0" applyNumberFormat="1" applyFont="1" applyFill="1" applyBorder="1" applyAlignment="1" applyProtection="1">
      <alignment horizontal="center" vertical="center"/>
      <protection locked="0"/>
    </xf>
    <xf numFmtId="0" fontId="60" fillId="11" borderId="0" xfId="0" applyFont="1" applyFill="1" applyAlignment="1" applyProtection="1">
      <alignment vertical="center"/>
      <protection locked="0"/>
    </xf>
    <xf numFmtId="184" fontId="6" fillId="2" borderId="17" xfId="0" applyNumberFormat="1" applyFont="1" applyFill="1" applyBorder="1" applyAlignment="1" applyProtection="1">
      <alignment horizontal="center" vertical="center"/>
    </xf>
    <xf numFmtId="182" fontId="60" fillId="0" borderId="21" xfId="0" applyNumberFormat="1" applyFont="1" applyFill="1" applyBorder="1" applyAlignment="1" applyProtection="1">
      <alignment horizontal="center" vertical="center"/>
      <protection locked="0"/>
    </xf>
    <xf numFmtId="0" fontId="20" fillId="2" borderId="59" xfId="0" applyFont="1" applyFill="1" applyBorder="1" applyAlignment="1" applyProtection="1">
      <alignment vertical="center"/>
    </xf>
    <xf numFmtId="0" fontId="62" fillId="2" borderId="3" xfId="0" applyFont="1" applyFill="1" applyBorder="1" applyAlignment="1" applyProtection="1">
      <alignment vertical="center"/>
    </xf>
    <xf numFmtId="0" fontId="60" fillId="2" borderId="59" xfId="0" applyFont="1" applyFill="1" applyBorder="1" applyAlignment="1" applyProtection="1">
      <alignment horizontal="left" vertical="center"/>
    </xf>
    <xf numFmtId="0" fontId="8" fillId="2" borderId="59" xfId="0" applyFont="1" applyFill="1" applyBorder="1" applyAlignment="1" applyProtection="1">
      <alignment vertical="center"/>
    </xf>
    <xf numFmtId="181" fontId="20" fillId="2" borderId="53" xfId="0" applyNumberFormat="1" applyFont="1" applyFill="1" applyBorder="1" applyAlignment="1" applyProtection="1">
      <alignment vertical="center"/>
    </xf>
    <xf numFmtId="0" fontId="20" fillId="2" borderId="55" xfId="0" applyFont="1" applyFill="1" applyBorder="1" applyAlignment="1" applyProtection="1">
      <alignment vertical="center"/>
    </xf>
    <xf numFmtId="49" fontId="15" fillId="3" borderId="130" xfId="0" applyNumberFormat="1" applyFont="1" applyFill="1" applyBorder="1" applyAlignment="1" applyProtection="1">
      <alignment horizontal="right"/>
      <protection locked="0"/>
    </xf>
    <xf numFmtId="0" fontId="92" fillId="2" borderId="10" xfId="59" applyFont="1" applyFill="1" applyBorder="1" applyAlignment="1" applyProtection="1">
      <alignment vertical="center"/>
    </xf>
    <xf numFmtId="49" fontId="17" fillId="2" borderId="0" xfId="59" applyNumberFormat="1" applyFont="1" applyFill="1" applyBorder="1" applyAlignment="1" applyProtection="1">
      <alignment horizontal="right" vertical="center"/>
    </xf>
    <xf numFmtId="0" fontId="25" fillId="7" borderId="2" xfId="59" applyFont="1" applyFill="1" applyBorder="1" applyAlignment="1" applyProtection="1">
      <alignment vertical="center"/>
      <protection locked="0"/>
    </xf>
    <xf numFmtId="0" fontId="17" fillId="2" borderId="2" xfId="59" applyFont="1" applyFill="1" applyBorder="1" applyAlignment="1" applyProtection="1">
      <alignment horizontal="right" vertical="center"/>
    </xf>
    <xf numFmtId="0" fontId="17" fillId="2" borderId="4" xfId="59" applyFont="1" applyFill="1" applyBorder="1" applyAlignment="1" applyProtection="1">
      <alignment vertical="center"/>
    </xf>
    <xf numFmtId="0" fontId="17" fillId="7" borderId="1" xfId="59" applyFont="1" applyFill="1" applyBorder="1" applyAlignment="1" applyProtection="1">
      <alignment vertical="center"/>
      <protection locked="0"/>
    </xf>
    <xf numFmtId="0" fontId="25" fillId="7" borderId="17" xfId="59" applyFont="1" applyFill="1" applyBorder="1" applyAlignment="1" applyProtection="1">
      <alignment horizontal="left" vertical="center"/>
      <protection locked="0"/>
    </xf>
    <xf numFmtId="0" fontId="25" fillId="2" borderId="1" xfId="0" applyNumberFormat="1" applyFont="1" applyFill="1" applyBorder="1" applyAlignment="1" applyProtection="1">
      <alignment horizontal="center" vertical="center"/>
    </xf>
    <xf numFmtId="0" fontId="26" fillId="2" borderId="1" xfId="0" applyNumberFormat="1" applyFont="1" applyFill="1" applyBorder="1" applyAlignment="1" applyProtection="1">
      <alignment horizontal="center" vertical="center"/>
    </xf>
    <xf numFmtId="10" fontId="25" fillId="5" borderId="2" xfId="59" applyNumberFormat="1" applyFont="1" applyFill="1" applyBorder="1" applyAlignment="1" applyProtection="1">
      <alignment horizontal="center"/>
    </xf>
    <xf numFmtId="0" fontId="25" fillId="2" borderId="1" xfId="0" applyNumberFormat="1" applyFont="1" applyFill="1" applyBorder="1" applyAlignment="1" applyProtection="1">
      <alignment horizontal="right" vertical="center"/>
    </xf>
    <xf numFmtId="10" fontId="25" fillId="5" borderId="2" xfId="59" applyNumberFormat="1" applyFont="1" applyFill="1" applyBorder="1" applyAlignment="1" applyProtection="1">
      <alignment horizontal="center" vertical="center"/>
    </xf>
    <xf numFmtId="9" fontId="25" fillId="5" borderId="2" xfId="59" applyNumberFormat="1" applyFont="1" applyFill="1" applyBorder="1" applyAlignment="1" applyProtection="1">
      <alignment horizontal="center" vertical="center"/>
    </xf>
    <xf numFmtId="0" fontId="79" fillId="7" borderId="17" xfId="59" applyFont="1" applyFill="1" applyBorder="1" applyAlignment="1" applyProtection="1">
      <alignment horizontal="right" vertical="center"/>
      <protection locked="0"/>
    </xf>
    <xf numFmtId="0" fontId="79" fillId="4" borderId="4" xfId="0" applyFont="1" applyFill="1" applyBorder="1" applyAlignment="1" applyProtection="1">
      <alignment vertical="center"/>
      <protection locked="0"/>
    </xf>
    <xf numFmtId="0" fontId="79" fillId="4" borderId="0" xfId="0" applyFont="1" applyFill="1" applyAlignment="1" applyProtection="1">
      <alignment vertical="center"/>
      <protection locked="0"/>
    </xf>
    <xf numFmtId="0" fontId="14" fillId="0" borderId="147" xfId="0" applyFont="1" applyFill="1" applyBorder="1" applyAlignment="1" applyProtection="1"/>
    <xf numFmtId="0" fontId="60" fillId="0" borderId="0" xfId="0" applyFont="1" applyFill="1" applyProtection="1">
      <alignment vertical="center"/>
    </xf>
    <xf numFmtId="0" fontId="23" fillId="0" borderId="0" xfId="0" applyFont="1" applyFill="1" applyProtection="1">
      <alignment vertical="center"/>
    </xf>
    <xf numFmtId="0" fontId="60" fillId="11" borderId="0" xfId="0" applyFont="1" applyFill="1" applyProtection="1">
      <alignment vertical="center"/>
    </xf>
    <xf numFmtId="0" fontId="60" fillId="0" borderId="0" xfId="0" applyFont="1" applyProtection="1">
      <alignment vertical="center"/>
    </xf>
    <xf numFmtId="0" fontId="93" fillId="2" borderId="0" xfId="0" applyFont="1" applyFill="1" applyProtection="1">
      <alignment vertical="center"/>
    </xf>
    <xf numFmtId="0" fontId="60" fillId="2" borderId="0" xfId="0" applyFont="1" applyFill="1" applyProtection="1">
      <alignment vertical="center"/>
    </xf>
    <xf numFmtId="0" fontId="60" fillId="7" borderId="0" xfId="0" applyFont="1" applyFill="1" applyProtection="1">
      <alignment vertical="center"/>
      <protection locked="0"/>
    </xf>
    <xf numFmtId="0" fontId="28" fillId="2" borderId="7" xfId="0" applyFont="1" applyFill="1" applyBorder="1" applyProtection="1">
      <alignment vertical="center"/>
    </xf>
    <xf numFmtId="0" fontId="28" fillId="7" borderId="7" xfId="0" applyFont="1" applyFill="1" applyBorder="1" applyAlignment="1" applyProtection="1">
      <alignment horizontal="center" vertical="center" wrapText="1"/>
      <protection locked="0"/>
    </xf>
    <xf numFmtId="0" fontId="28" fillId="2" borderId="7" xfId="0" applyNumberFormat="1" applyFont="1" applyFill="1" applyBorder="1" applyProtection="1">
      <alignment vertical="center"/>
    </xf>
    <xf numFmtId="0" fontId="31" fillId="2" borderId="23" xfId="0" applyFont="1" applyFill="1" applyBorder="1" applyAlignment="1" applyProtection="1">
      <alignment horizontal="center" vertical="center"/>
    </xf>
    <xf numFmtId="0" fontId="31" fillId="2" borderId="24" xfId="0" applyFont="1" applyFill="1" applyBorder="1" applyAlignment="1" applyProtection="1">
      <alignment horizontal="center" vertical="center"/>
    </xf>
    <xf numFmtId="0" fontId="60" fillId="2" borderId="46" xfId="0" applyFont="1" applyFill="1" applyBorder="1" applyAlignment="1" applyProtection="1">
      <alignment horizontal="center" vertical="center"/>
    </xf>
    <xf numFmtId="0" fontId="8" fillId="2" borderId="7" xfId="0" applyFont="1" applyFill="1" applyBorder="1" applyAlignment="1" applyProtection="1">
      <alignment vertical="center" wrapText="1"/>
    </xf>
    <xf numFmtId="0" fontId="8" fillId="2" borderId="7" xfId="0" applyFont="1" applyFill="1" applyBorder="1" applyAlignment="1" applyProtection="1">
      <alignment horizontal="center" vertical="center" wrapText="1"/>
    </xf>
    <xf numFmtId="0" fontId="23" fillId="3" borderId="7" xfId="0" applyFont="1" applyFill="1" applyBorder="1" applyAlignment="1" applyProtection="1">
      <alignment horizontal="center" vertical="center"/>
      <protection locked="0"/>
    </xf>
    <xf numFmtId="0" fontId="60" fillId="2" borderId="2" xfId="0" applyFont="1" applyFill="1" applyBorder="1" applyAlignment="1" applyProtection="1">
      <alignment horizontal="center" vertical="center" wrapText="1"/>
    </xf>
    <xf numFmtId="0" fontId="60" fillId="2" borderId="3" xfId="0" applyFont="1" applyFill="1" applyBorder="1" applyAlignment="1" applyProtection="1">
      <alignment horizontal="center" vertical="center" wrapText="1"/>
    </xf>
    <xf numFmtId="0" fontId="8" fillId="2" borderId="1" xfId="0" applyFont="1" applyFill="1" applyBorder="1" applyAlignment="1" applyProtection="1">
      <alignment horizontal="left" vertical="center" wrapText="1"/>
    </xf>
    <xf numFmtId="0" fontId="8" fillId="0" borderId="7" xfId="0" applyFont="1" applyBorder="1" applyAlignment="1" applyProtection="1">
      <alignment horizontal="center" vertical="center"/>
      <protection locked="0"/>
    </xf>
    <xf numFmtId="0" fontId="8" fillId="0" borderId="1" xfId="0" applyFont="1" applyBorder="1" applyAlignment="1" applyProtection="1">
      <alignment horizontal="center" vertical="center"/>
      <protection locked="0"/>
    </xf>
    <xf numFmtId="0" fontId="60" fillId="2" borderId="3" xfId="0" applyFont="1" applyFill="1" applyBorder="1" applyAlignment="1" applyProtection="1">
      <alignment vertical="center" wrapText="1"/>
    </xf>
    <xf numFmtId="0" fontId="8" fillId="0" borderId="58" xfId="0" applyFont="1" applyBorder="1" applyAlignment="1" applyProtection="1">
      <alignment horizontal="center" vertical="center"/>
      <protection locked="0"/>
    </xf>
    <xf numFmtId="0" fontId="8" fillId="0" borderId="60" xfId="0" applyFont="1" applyBorder="1" applyAlignment="1" applyProtection="1">
      <alignment horizontal="center" vertical="center"/>
      <protection locked="0"/>
    </xf>
    <xf numFmtId="0" fontId="20" fillId="2" borderId="2" xfId="0" applyFont="1" applyFill="1" applyBorder="1" applyAlignment="1" applyProtection="1">
      <alignment horizontal="right" vertical="center"/>
    </xf>
    <xf numFmtId="0" fontId="8" fillId="2" borderId="4" xfId="0" applyFont="1" applyFill="1" applyBorder="1" applyProtection="1">
      <alignment vertical="center"/>
    </xf>
    <xf numFmtId="0" fontId="8" fillId="2" borderId="60" xfId="0" applyFont="1" applyFill="1" applyBorder="1" applyAlignment="1" applyProtection="1">
      <alignment horizontal="center" vertical="center"/>
    </xf>
    <xf numFmtId="0" fontId="20" fillId="2" borderId="57" xfId="0" applyFont="1" applyFill="1" applyBorder="1" applyAlignment="1" applyProtection="1">
      <alignment horizontal="right" vertical="center"/>
    </xf>
    <xf numFmtId="0" fontId="8" fillId="2" borderId="0" xfId="0" applyFont="1" applyFill="1" applyProtection="1">
      <alignment vertical="center"/>
    </xf>
    <xf numFmtId="179" fontId="8" fillId="2" borderId="7" xfId="0" applyNumberFormat="1" applyFont="1" applyFill="1" applyBorder="1" applyAlignment="1" applyProtection="1">
      <alignment horizontal="center" vertical="center"/>
    </xf>
    <xf numFmtId="0" fontId="48" fillId="2" borderId="57" xfId="0" applyFont="1" applyFill="1" applyBorder="1" applyAlignment="1" applyProtection="1">
      <alignment horizontal="left" vertical="center" wrapText="1"/>
    </xf>
    <xf numFmtId="0" fontId="48" fillId="2" borderId="0" xfId="0" applyFont="1" applyFill="1" applyAlignment="1" applyProtection="1">
      <alignment horizontal="left" vertical="center" wrapText="1"/>
    </xf>
    <xf numFmtId="0" fontId="20" fillId="2" borderId="9" xfId="0" applyFont="1" applyFill="1" applyBorder="1" applyAlignment="1" applyProtection="1">
      <alignment vertical="center"/>
    </xf>
    <xf numFmtId="0" fontId="8" fillId="2" borderId="56" xfId="0" applyFont="1" applyFill="1" applyBorder="1" applyAlignment="1" applyProtection="1">
      <alignment vertical="center"/>
    </xf>
    <xf numFmtId="0" fontId="23" fillId="2" borderId="56" xfId="0" applyFont="1" applyFill="1" applyBorder="1" applyAlignment="1" applyProtection="1">
      <alignment horizontal="center" vertical="center"/>
    </xf>
    <xf numFmtId="0" fontId="8" fillId="2" borderId="14" xfId="0" applyFont="1" applyFill="1" applyBorder="1" applyAlignment="1" applyProtection="1">
      <alignment horizontal="right" vertical="center"/>
    </xf>
    <xf numFmtId="0" fontId="60" fillId="2" borderId="52" xfId="0" applyFont="1" applyFill="1" applyBorder="1" applyAlignment="1" applyProtection="1">
      <alignment vertical="center"/>
    </xf>
    <xf numFmtId="0" fontId="20" fillId="2" borderId="15" xfId="0" applyFont="1" applyFill="1" applyBorder="1" applyAlignment="1" applyProtection="1">
      <alignment vertical="center"/>
    </xf>
    <xf numFmtId="0" fontId="8" fillId="2" borderId="1" xfId="0" applyFont="1" applyFill="1" applyBorder="1" applyProtection="1">
      <alignment vertical="center"/>
    </xf>
    <xf numFmtId="0" fontId="8" fillId="2" borderId="2" xfId="0" applyFont="1" applyFill="1" applyBorder="1" applyAlignment="1" applyProtection="1">
      <alignment horizontal="right" vertical="center"/>
    </xf>
    <xf numFmtId="0" fontId="8" fillId="2" borderId="8" xfId="0" applyFont="1" applyFill="1" applyBorder="1" applyProtection="1">
      <alignment vertical="center"/>
    </xf>
    <xf numFmtId="0" fontId="8" fillId="2" borderId="8" xfId="0" applyFont="1" applyFill="1" applyBorder="1" applyAlignment="1" applyProtection="1">
      <alignment horizontal="center" vertical="center"/>
    </xf>
    <xf numFmtId="0" fontId="8" fillId="2" borderId="38" xfId="0" applyFont="1" applyFill="1" applyBorder="1" applyAlignment="1" applyProtection="1">
      <alignment horizontal="center" vertical="center"/>
    </xf>
    <xf numFmtId="0" fontId="8" fillId="2" borderId="36" xfId="0" applyFont="1" applyFill="1" applyBorder="1" applyAlignment="1" applyProtection="1">
      <alignment horizontal="right" vertical="center"/>
    </xf>
    <xf numFmtId="0" fontId="60" fillId="2" borderId="53" xfId="0" applyFont="1" applyFill="1" applyBorder="1" applyAlignment="1" applyProtection="1">
      <alignment vertical="center"/>
    </xf>
    <xf numFmtId="0" fontId="8" fillId="2" borderId="23" xfId="0" applyFont="1" applyFill="1" applyBorder="1" applyAlignment="1" applyProtection="1">
      <alignment vertical="center"/>
    </xf>
    <xf numFmtId="0" fontId="8" fillId="2" borderId="27" xfId="0" applyFont="1" applyFill="1" applyBorder="1" applyProtection="1">
      <alignment vertical="center"/>
    </xf>
    <xf numFmtId="0" fontId="8" fillId="2" borderId="28" xfId="0" applyFont="1" applyFill="1" applyBorder="1" applyProtection="1">
      <alignment vertical="center"/>
    </xf>
    <xf numFmtId="180" fontId="94" fillId="2" borderId="125" xfId="0" applyNumberFormat="1" applyFont="1" applyFill="1" applyBorder="1" applyAlignment="1" applyProtection="1">
      <alignment horizontal="center" vertical="center"/>
    </xf>
    <xf numFmtId="0" fontId="95" fillId="2" borderId="0" xfId="0" applyFont="1" applyFill="1" applyProtection="1">
      <alignment vertical="center"/>
      <protection locked="0"/>
    </xf>
    <xf numFmtId="0" fontId="20" fillId="2" borderId="29" xfId="0" applyFont="1" applyFill="1" applyBorder="1" applyAlignment="1" applyProtection="1">
      <alignment horizontal="left" vertical="center" wrapText="1"/>
    </xf>
    <xf numFmtId="0" fontId="8" fillId="2" borderId="52" xfId="0" applyFont="1" applyFill="1" applyBorder="1" applyAlignment="1" applyProtection="1">
      <alignment horizontal="center" vertical="center"/>
    </xf>
    <xf numFmtId="0" fontId="20" fillId="2" borderId="32" xfId="0" applyFont="1" applyFill="1" applyBorder="1" applyAlignment="1" applyProtection="1">
      <alignment horizontal="left" vertical="center" wrapText="1"/>
    </xf>
    <xf numFmtId="0" fontId="8" fillId="2" borderId="50" xfId="0" applyFont="1" applyFill="1" applyBorder="1" applyAlignment="1" applyProtection="1">
      <alignment horizontal="right" vertical="center"/>
    </xf>
    <xf numFmtId="0" fontId="8" fillId="2" borderId="59" xfId="0" applyFont="1" applyFill="1" applyBorder="1" applyAlignment="1" applyProtection="1">
      <alignment horizontal="center" vertical="center"/>
    </xf>
    <xf numFmtId="0" fontId="31" fillId="0" borderId="16" xfId="0" applyFont="1" applyBorder="1" applyAlignment="1" applyProtection="1">
      <alignment horizontal="center" vertical="center"/>
      <protection locked="0"/>
    </xf>
    <xf numFmtId="0" fontId="31" fillId="0" borderId="1" xfId="0" applyFont="1" applyFill="1" applyBorder="1" applyAlignment="1" applyProtection="1">
      <alignment horizontal="center" vertical="center"/>
      <protection locked="0"/>
    </xf>
    <xf numFmtId="0" fontId="31" fillId="0" borderId="17" xfId="0" applyFont="1" applyFill="1" applyBorder="1" applyAlignment="1" applyProtection="1">
      <alignment horizontal="center" vertical="center"/>
      <protection locked="0"/>
    </xf>
    <xf numFmtId="0" fontId="48" fillId="2" borderId="0" xfId="0" applyFont="1" applyFill="1" applyAlignment="1" applyProtection="1">
      <alignment horizontal="left" vertical="center"/>
    </xf>
    <xf numFmtId="0" fontId="96" fillId="2" borderId="147" xfId="0" applyFont="1" applyFill="1" applyBorder="1" applyAlignment="1" applyProtection="1">
      <alignment horizontal="left"/>
    </xf>
    <xf numFmtId="0" fontId="14" fillId="2" borderId="147" xfId="0" applyFont="1" applyFill="1" applyBorder="1" applyAlignment="1" applyProtection="1">
      <alignment horizontal="left"/>
    </xf>
    <xf numFmtId="0" fontId="20" fillId="2" borderId="9" xfId="0" applyFont="1" applyFill="1" applyBorder="1" applyAlignment="1" applyProtection="1">
      <alignment horizontal="left" vertical="center"/>
    </xf>
    <xf numFmtId="0" fontId="8" fillId="2" borderId="10" xfId="0" applyFont="1" applyFill="1" applyBorder="1" applyProtection="1">
      <alignment vertical="center"/>
    </xf>
    <xf numFmtId="0" fontId="8" fillId="2" borderId="73" xfId="0" applyFont="1" applyFill="1" applyBorder="1" applyAlignment="1" applyProtection="1">
      <alignment horizontal="center" vertical="center"/>
    </xf>
    <xf numFmtId="0" fontId="20" fillId="7" borderId="39" xfId="0" applyFont="1" applyFill="1" applyBorder="1" applyAlignment="1" applyProtection="1">
      <alignment horizontal="right" vertical="center"/>
      <protection locked="0"/>
    </xf>
    <xf numFmtId="0" fontId="60" fillId="2" borderId="2" xfId="0" applyFont="1" applyFill="1" applyBorder="1" applyProtection="1">
      <alignment vertical="center"/>
    </xf>
    <xf numFmtId="0" fontId="20" fillId="7" borderId="1" xfId="0" applyFont="1" applyFill="1" applyBorder="1" applyAlignment="1" applyProtection="1">
      <alignment horizontal="center" vertical="center"/>
      <protection locked="0"/>
    </xf>
    <xf numFmtId="0" fontId="81" fillId="3" borderId="17" xfId="0" applyFont="1" applyFill="1" applyBorder="1" applyAlignment="1" applyProtection="1">
      <alignment horizontal="center" vertical="center"/>
      <protection locked="0"/>
    </xf>
    <xf numFmtId="0" fontId="60" fillId="2" borderId="13" xfId="0" applyFont="1" applyFill="1" applyBorder="1" applyProtection="1">
      <alignment vertical="center"/>
    </xf>
    <xf numFmtId="0" fontId="60" fillId="2" borderId="12" xfId="0" applyFont="1" applyFill="1" applyBorder="1" applyAlignment="1" applyProtection="1">
      <alignment horizontal="center" vertical="center"/>
    </xf>
    <xf numFmtId="0" fontId="20" fillId="2" borderId="46" xfId="0" applyFont="1" applyFill="1" applyBorder="1" applyAlignment="1" applyProtection="1">
      <alignment horizontal="left" vertical="center"/>
    </xf>
    <xf numFmtId="0" fontId="8" fillId="2" borderId="43" xfId="0" applyFont="1" applyFill="1" applyBorder="1" applyAlignment="1" applyProtection="1">
      <alignment horizontal="right" vertical="center"/>
    </xf>
    <xf numFmtId="0" fontId="20" fillId="2" borderId="50" xfId="0" applyFont="1" applyFill="1" applyBorder="1" applyAlignment="1" applyProtection="1">
      <alignment horizontal="center" vertical="center"/>
    </xf>
    <xf numFmtId="180" fontId="8" fillId="2" borderId="42" xfId="0" applyNumberFormat="1" applyFont="1" applyFill="1" applyBorder="1" applyProtection="1">
      <alignment vertical="center"/>
    </xf>
    <xf numFmtId="0" fontId="60" fillId="2" borderId="4" xfId="0" applyFont="1" applyFill="1" applyBorder="1" applyProtection="1">
      <alignment vertical="center"/>
    </xf>
    <xf numFmtId="0" fontId="60" fillId="0" borderId="17" xfId="0" applyFont="1" applyBorder="1" applyProtection="1">
      <alignment vertical="center"/>
      <protection locked="0"/>
    </xf>
    <xf numFmtId="0" fontId="20" fillId="2" borderId="37" xfId="0" applyFont="1" applyFill="1" applyBorder="1" applyAlignment="1" applyProtection="1">
      <alignment horizontal="left" vertical="center"/>
    </xf>
    <xf numFmtId="0" fontId="8" fillId="2" borderId="49" xfId="0" applyFont="1" applyFill="1" applyBorder="1" applyAlignment="1" applyProtection="1">
      <alignment horizontal="right" vertical="center"/>
    </xf>
    <xf numFmtId="0" fontId="20" fillId="2" borderId="36" xfId="0" applyFont="1" applyFill="1" applyBorder="1" applyAlignment="1" applyProtection="1">
      <alignment horizontal="center" vertical="center"/>
    </xf>
    <xf numFmtId="180" fontId="8" fillId="2" borderId="38" xfId="0" applyNumberFormat="1" applyFont="1" applyFill="1" applyBorder="1" applyProtection="1">
      <alignment vertical="center"/>
    </xf>
    <xf numFmtId="0" fontId="60" fillId="2" borderId="49" xfId="0" applyFont="1" applyFill="1" applyBorder="1" applyProtection="1">
      <alignment vertical="center"/>
    </xf>
    <xf numFmtId="0" fontId="60" fillId="0" borderId="38" xfId="0" applyFont="1" applyBorder="1" applyProtection="1">
      <alignment vertical="center"/>
      <protection locked="0"/>
    </xf>
    <xf numFmtId="0" fontId="20" fillId="2" borderId="29" xfId="0" applyFont="1" applyFill="1" applyBorder="1" applyAlignment="1" applyProtection="1">
      <alignment horizontal="center" vertical="center" wrapText="1"/>
    </xf>
    <xf numFmtId="0" fontId="8" fillId="2" borderId="13" xfId="0" applyFont="1" applyFill="1" applyBorder="1" applyAlignment="1" applyProtection="1">
      <alignment horizontal="left" vertical="center"/>
    </xf>
    <xf numFmtId="0" fontId="20" fillId="0" borderId="12" xfId="0" applyFont="1" applyFill="1" applyBorder="1" applyAlignment="1" applyProtection="1">
      <alignment horizontal="center" vertical="center"/>
      <protection locked="0"/>
    </xf>
    <xf numFmtId="0" fontId="8" fillId="7" borderId="23" xfId="0" applyFont="1" applyFill="1" applyBorder="1" applyProtection="1">
      <alignment vertical="center"/>
      <protection locked="0"/>
    </xf>
    <xf numFmtId="0" fontId="8" fillId="2" borderId="125" xfId="0" applyFont="1" applyFill="1" applyBorder="1" applyProtection="1">
      <alignment vertical="center"/>
    </xf>
    <xf numFmtId="0" fontId="8" fillId="2" borderId="0" xfId="0" applyFont="1" applyFill="1" applyBorder="1" applyAlignment="1" applyProtection="1">
      <alignment horizontal="left" vertical="center"/>
      <protection locked="0"/>
    </xf>
    <xf numFmtId="0" fontId="20" fillId="2" borderId="31" xfId="0" applyFont="1" applyFill="1" applyBorder="1" applyAlignment="1" applyProtection="1">
      <alignment horizontal="center" vertical="center" wrapText="1"/>
    </xf>
    <xf numFmtId="0" fontId="8" fillId="2" borderId="4" xfId="0" applyFont="1" applyFill="1" applyBorder="1" applyAlignment="1" applyProtection="1">
      <alignment horizontal="left" vertical="center"/>
    </xf>
    <xf numFmtId="0" fontId="20" fillId="0" borderId="17" xfId="0" applyFont="1" applyFill="1" applyBorder="1" applyAlignment="1" applyProtection="1">
      <alignment horizontal="center" vertical="center"/>
      <protection locked="0"/>
    </xf>
    <xf numFmtId="0" fontId="8" fillId="2" borderId="0" xfId="0" applyFont="1" applyFill="1" applyProtection="1">
      <alignment vertical="center"/>
      <protection locked="0"/>
    </xf>
    <xf numFmtId="0" fontId="20" fillId="2" borderId="35" xfId="0" applyFont="1" applyFill="1" applyBorder="1" applyAlignment="1" applyProtection="1">
      <alignment horizontal="center" vertical="center" wrapText="1"/>
    </xf>
    <xf numFmtId="0" fontId="8" fillId="2" borderId="49" xfId="0" applyFont="1" applyFill="1" applyBorder="1" applyAlignment="1" applyProtection="1">
      <alignment horizontal="left" vertical="center"/>
    </xf>
    <xf numFmtId="0" fontId="20" fillId="0" borderId="8" xfId="0" applyFont="1" applyFill="1" applyBorder="1" applyAlignment="1" applyProtection="1">
      <alignment horizontal="center" vertical="center"/>
      <protection locked="0"/>
    </xf>
    <xf numFmtId="0" fontId="8" fillId="0" borderId="125" xfId="0" applyFont="1" applyFill="1" applyBorder="1" applyProtection="1">
      <alignment vertical="center"/>
      <protection locked="0"/>
    </xf>
    <xf numFmtId="0" fontId="31" fillId="0" borderId="11" xfId="0" applyFont="1" applyFill="1" applyBorder="1" applyAlignment="1" applyProtection="1">
      <alignment horizontal="center" vertical="center"/>
      <protection locked="0"/>
    </xf>
    <xf numFmtId="0" fontId="31" fillId="0" borderId="56" xfId="0" applyFont="1" applyFill="1" applyBorder="1" applyAlignment="1" applyProtection="1">
      <alignment horizontal="center" vertical="center"/>
      <protection locked="0"/>
    </xf>
    <xf numFmtId="0" fontId="31" fillId="0" borderId="12" xfId="0" applyFont="1" applyFill="1" applyBorder="1" applyAlignment="1" applyProtection="1">
      <alignment horizontal="center" vertical="center"/>
      <protection locked="0"/>
    </xf>
    <xf numFmtId="0" fontId="60" fillId="2" borderId="15" xfId="0" applyFont="1" applyFill="1" applyBorder="1" applyProtection="1">
      <alignment vertical="center"/>
    </xf>
    <xf numFmtId="0" fontId="60" fillId="0" borderId="16" xfId="0" applyFont="1" applyBorder="1" applyProtection="1">
      <alignment vertical="center"/>
      <protection locked="0"/>
    </xf>
    <xf numFmtId="0" fontId="60" fillId="0" borderId="17" xfId="0" applyFont="1" applyFill="1" applyBorder="1" applyAlignment="1" applyProtection="1">
      <alignment horizontal="center" vertical="center"/>
      <protection locked="0"/>
    </xf>
    <xf numFmtId="0" fontId="60" fillId="2" borderId="18" xfId="0" applyFont="1" applyFill="1" applyBorder="1" applyProtection="1">
      <alignment vertical="center"/>
    </xf>
    <xf numFmtId="0" fontId="60" fillId="0" borderId="48" xfId="0" applyFont="1" applyBorder="1" applyProtection="1">
      <alignment vertical="center"/>
      <protection locked="0"/>
    </xf>
    <xf numFmtId="0" fontId="60" fillId="0" borderId="8" xfId="0" applyFont="1" applyBorder="1" applyProtection="1">
      <alignment vertical="center"/>
      <protection locked="0"/>
    </xf>
    <xf numFmtId="0" fontId="60" fillId="2" borderId="0" xfId="0" applyFont="1" applyFill="1" applyBorder="1" applyAlignment="1" applyProtection="1">
      <alignment horizontal="center" vertical="center"/>
    </xf>
    <xf numFmtId="0" fontId="67" fillId="2" borderId="0" xfId="0" applyFont="1" applyFill="1" applyBorder="1" applyAlignment="1" applyProtection="1">
      <alignment horizontal="center" vertical="center"/>
    </xf>
    <xf numFmtId="0" fontId="93" fillId="2" borderId="0" xfId="0" applyFont="1" applyFill="1" applyBorder="1" applyAlignment="1" applyProtection="1">
      <alignment horizontal="left" vertical="center"/>
    </xf>
    <xf numFmtId="0" fontId="97" fillId="2" borderId="0" xfId="0" applyFont="1" applyFill="1" applyBorder="1" applyAlignment="1" applyProtection="1">
      <alignment horizontal="left" vertical="center"/>
    </xf>
    <xf numFmtId="0" fontId="98" fillId="2" borderId="0" xfId="0" applyFont="1" applyFill="1" applyBorder="1" applyAlignment="1" applyProtection="1">
      <alignment vertical="center"/>
    </xf>
    <xf numFmtId="0" fontId="98" fillId="2" borderId="0" xfId="0" applyFont="1" applyFill="1" applyBorder="1" applyAlignment="1" applyProtection="1">
      <alignment horizontal="center" vertical="center"/>
    </xf>
    <xf numFmtId="0" fontId="62" fillId="2" borderId="5" xfId="0" applyFont="1" applyFill="1" applyBorder="1" applyAlignment="1" applyProtection="1">
      <alignment horizontal="left" vertical="center" wrapText="1"/>
    </xf>
    <xf numFmtId="0" fontId="62" fillId="2" borderId="6" xfId="0" applyFont="1" applyFill="1" applyBorder="1" applyAlignment="1" applyProtection="1">
      <alignment horizontal="left" vertical="center" wrapText="1"/>
    </xf>
    <xf numFmtId="0" fontId="62" fillId="2" borderId="22" xfId="0" applyFont="1" applyFill="1" applyBorder="1" applyAlignment="1" applyProtection="1">
      <alignment horizontal="left" vertical="center" wrapText="1"/>
    </xf>
    <xf numFmtId="0" fontId="60" fillId="2" borderId="6" xfId="0" applyFont="1" applyFill="1" applyBorder="1" applyAlignment="1" applyProtection="1">
      <alignment horizontal="right" vertical="center"/>
    </xf>
    <xf numFmtId="9" fontId="60" fillId="7" borderId="6" xfId="0" applyNumberFormat="1" applyFont="1" applyFill="1" applyBorder="1" applyAlignment="1" applyProtection="1">
      <alignment horizontal="center" vertical="center"/>
      <protection locked="0"/>
    </xf>
    <xf numFmtId="0" fontId="60" fillId="2" borderId="22" xfId="0" applyFont="1" applyFill="1" applyBorder="1" applyProtection="1">
      <alignment vertical="center"/>
    </xf>
    <xf numFmtId="0" fontId="62" fillId="2" borderId="30" xfId="0" applyFont="1" applyFill="1" applyBorder="1" applyAlignment="1" applyProtection="1">
      <alignment horizontal="center" vertical="center" wrapText="1"/>
    </xf>
    <xf numFmtId="0" fontId="62" fillId="2" borderId="51" xfId="0" applyFont="1" applyFill="1" applyBorder="1" applyAlignment="1" applyProtection="1">
      <alignment horizontal="center" vertical="center" wrapText="1"/>
    </xf>
    <xf numFmtId="0" fontId="62" fillId="2" borderId="52" xfId="0" applyFont="1" applyFill="1" applyBorder="1" applyAlignment="1" applyProtection="1">
      <alignment horizontal="center" vertical="center" wrapText="1"/>
    </xf>
    <xf numFmtId="9" fontId="60" fillId="2" borderId="0" xfId="0" applyNumberFormat="1" applyFont="1" applyFill="1" applyAlignment="1" applyProtection="1">
      <alignment horizontal="center" vertical="center"/>
      <protection locked="0"/>
    </xf>
    <xf numFmtId="0" fontId="62" fillId="2" borderId="15" xfId="0" applyFont="1" applyFill="1" applyBorder="1" applyAlignment="1" applyProtection="1">
      <alignment horizontal="left" vertical="center" wrapText="1"/>
    </xf>
    <xf numFmtId="0" fontId="62" fillId="2" borderId="47" xfId="0" applyFont="1" applyFill="1" applyBorder="1" applyAlignment="1" applyProtection="1">
      <alignment horizontal="left" vertical="center" wrapText="1"/>
    </xf>
    <xf numFmtId="0" fontId="62" fillId="2" borderId="43" xfId="0" applyFont="1" applyFill="1" applyBorder="1" applyAlignment="1" applyProtection="1">
      <alignment horizontal="left" vertical="center" wrapText="1"/>
    </xf>
    <xf numFmtId="0" fontId="62" fillId="2" borderId="1" xfId="0" applyFont="1" applyFill="1" applyBorder="1" applyAlignment="1" applyProtection="1">
      <alignment horizontal="left" vertical="center" wrapText="1"/>
    </xf>
    <xf numFmtId="9" fontId="60" fillId="2" borderId="17" xfId="0" applyNumberFormat="1" applyFont="1" applyFill="1" applyBorder="1" applyAlignment="1" applyProtection="1">
      <alignment horizontal="left" vertical="center"/>
    </xf>
    <xf numFmtId="9" fontId="60" fillId="2" borderId="0" xfId="0" applyNumberFormat="1" applyFont="1" applyFill="1" applyAlignment="1" applyProtection="1">
      <alignment horizontal="left" vertical="center"/>
      <protection locked="0"/>
    </xf>
    <xf numFmtId="0" fontId="60" fillId="2" borderId="20" xfId="0" applyFont="1" applyFill="1" applyBorder="1" applyAlignment="1" applyProtection="1">
      <alignment horizontal="left" vertical="center" wrapText="1"/>
    </xf>
    <xf numFmtId="10" fontId="60" fillId="2" borderId="60" xfId="0" applyNumberFormat="1" applyFont="1" applyFill="1" applyBorder="1" applyAlignment="1" applyProtection="1">
      <alignment horizontal="left" vertical="center"/>
    </xf>
    <xf numFmtId="0" fontId="61" fillId="0" borderId="17" xfId="0" applyFont="1" applyFill="1" applyBorder="1" applyAlignment="1" applyProtection="1">
      <alignment horizontal="left" vertical="center" wrapText="1"/>
      <protection locked="0"/>
    </xf>
    <xf numFmtId="0" fontId="60" fillId="7" borderId="4" xfId="0" applyFont="1" applyFill="1" applyBorder="1" applyAlignment="1" applyProtection="1">
      <alignment horizontal="left" vertical="center"/>
      <protection locked="0"/>
    </xf>
    <xf numFmtId="0" fontId="60" fillId="2" borderId="5" xfId="0" applyFont="1" applyFill="1" applyBorder="1" applyAlignment="1" applyProtection="1">
      <alignment horizontal="left" vertical="center"/>
    </xf>
    <xf numFmtId="0" fontId="60" fillId="2" borderId="45" xfId="0" applyFont="1" applyFill="1" applyBorder="1" applyAlignment="1" applyProtection="1">
      <alignment horizontal="left" vertical="center"/>
    </xf>
    <xf numFmtId="0" fontId="60" fillId="2" borderId="21" xfId="0" applyFont="1" applyFill="1" applyBorder="1" applyAlignment="1" applyProtection="1">
      <alignment horizontal="left" vertical="center"/>
    </xf>
    <xf numFmtId="0" fontId="91" fillId="5" borderId="0" xfId="0" applyFont="1" applyFill="1" applyAlignment="1" applyProtection="1">
      <alignment horizontal="left" vertical="center"/>
    </xf>
    <xf numFmtId="0" fontId="60" fillId="2" borderId="31" xfId="0" applyFont="1" applyFill="1" applyBorder="1" applyAlignment="1" applyProtection="1">
      <alignment horizontal="left" vertical="center" wrapText="1"/>
    </xf>
    <xf numFmtId="0" fontId="60" fillId="2" borderId="57" xfId="0" applyFont="1" applyFill="1" applyBorder="1" applyAlignment="1" applyProtection="1">
      <alignment horizontal="left" vertical="center"/>
    </xf>
    <xf numFmtId="0" fontId="60" fillId="2" borderId="44" xfId="0" applyFont="1" applyFill="1" applyBorder="1" applyAlignment="1" applyProtection="1">
      <alignment horizontal="left" vertical="center"/>
    </xf>
    <xf numFmtId="0" fontId="60" fillId="5" borderId="0" xfId="0" applyFont="1" applyFill="1" applyAlignment="1" applyProtection="1">
      <alignment horizontal="left" vertical="center"/>
    </xf>
    <xf numFmtId="0" fontId="60" fillId="2" borderId="32" xfId="0" applyFont="1" applyFill="1" applyBorder="1" applyAlignment="1" applyProtection="1">
      <alignment horizontal="left" vertical="center" wrapText="1"/>
    </xf>
    <xf numFmtId="0" fontId="60" fillId="2" borderId="42" xfId="0" applyFont="1" applyFill="1" applyBorder="1" applyAlignment="1" applyProtection="1">
      <alignment horizontal="left" vertical="center"/>
    </xf>
    <xf numFmtId="0" fontId="60" fillId="2" borderId="16" xfId="0" applyFont="1" applyFill="1" applyBorder="1" applyAlignment="1" applyProtection="1">
      <alignment horizontal="left" vertical="center" wrapText="1"/>
    </xf>
    <xf numFmtId="10" fontId="60" fillId="2" borderId="1" xfId="0" applyNumberFormat="1" applyFont="1" applyFill="1" applyBorder="1" applyAlignment="1" applyProtection="1">
      <alignment horizontal="left" vertical="center"/>
    </xf>
    <xf numFmtId="0" fontId="60" fillId="2" borderId="17" xfId="0" applyFont="1" applyFill="1" applyBorder="1" applyAlignment="1" applyProtection="1">
      <alignment horizontal="left" vertical="center"/>
    </xf>
    <xf numFmtId="0" fontId="60" fillId="2" borderId="4" xfId="0" applyFont="1" applyFill="1" applyBorder="1" applyAlignment="1" applyProtection="1">
      <alignment horizontal="left" vertical="center" wrapText="1"/>
    </xf>
    <xf numFmtId="0" fontId="61" fillId="2" borderId="0" xfId="0" applyFont="1" applyFill="1" applyAlignment="1" applyProtection="1">
      <alignment horizontal="left" vertical="center"/>
      <protection locked="0"/>
    </xf>
    <xf numFmtId="0" fontId="67" fillId="0" borderId="17" xfId="0" applyFont="1" applyFill="1" applyBorder="1" applyAlignment="1" applyProtection="1">
      <alignment horizontal="left" vertical="center" wrapText="1"/>
      <protection locked="0"/>
    </xf>
    <xf numFmtId="0" fontId="60" fillId="3" borderId="4" xfId="0" applyFont="1" applyFill="1" applyBorder="1" applyAlignment="1" applyProtection="1">
      <alignment horizontal="left" vertical="center" wrapText="1"/>
      <protection locked="0"/>
    </xf>
    <xf numFmtId="0" fontId="60" fillId="2" borderId="0" xfId="0" applyFont="1" applyFill="1" applyBorder="1" applyAlignment="1" applyProtection="1">
      <alignment horizontal="left" vertical="center" wrapText="1"/>
      <protection locked="0"/>
    </xf>
    <xf numFmtId="0" fontId="60" fillId="2" borderId="48" xfId="0" applyFont="1" applyFill="1" applyBorder="1" applyAlignment="1" applyProtection="1">
      <alignment horizontal="left" vertical="center" wrapText="1"/>
    </xf>
    <xf numFmtId="0" fontId="60" fillId="2" borderId="8" xfId="0" applyFont="1" applyFill="1" applyBorder="1" applyAlignment="1" applyProtection="1">
      <alignment horizontal="left" vertical="center" wrapText="1"/>
    </xf>
    <xf numFmtId="0" fontId="60" fillId="5" borderId="36" xfId="0" applyFont="1" applyFill="1" applyBorder="1" applyAlignment="1" applyProtection="1">
      <alignment horizontal="left" vertical="center"/>
    </xf>
    <xf numFmtId="0" fontId="60" fillId="5" borderId="8" xfId="0" applyFont="1" applyFill="1" applyBorder="1" applyAlignment="1" applyProtection="1">
      <alignment horizontal="left" vertical="center" wrapText="1"/>
    </xf>
    <xf numFmtId="10" fontId="60" fillId="5" borderId="8" xfId="0" applyNumberFormat="1" applyFont="1" applyFill="1" applyBorder="1" applyAlignment="1" applyProtection="1">
      <alignment horizontal="left" vertical="center"/>
    </xf>
    <xf numFmtId="0" fontId="67" fillId="0" borderId="38" xfId="0" applyFont="1" applyFill="1" applyBorder="1" applyAlignment="1" applyProtection="1">
      <alignment horizontal="left" vertical="center" wrapText="1"/>
      <protection locked="0"/>
    </xf>
    <xf numFmtId="0" fontId="91" fillId="5" borderId="4" xfId="0" applyFont="1" applyFill="1" applyBorder="1" applyAlignment="1" applyProtection="1">
      <alignment horizontal="left" vertical="center" wrapText="1"/>
      <protection locked="0"/>
    </xf>
    <xf numFmtId="0" fontId="60" fillId="2" borderId="0" xfId="0" applyFont="1" applyFill="1" applyBorder="1" applyAlignment="1" applyProtection="1">
      <alignment horizontal="left" vertical="center" wrapText="1"/>
    </xf>
    <xf numFmtId="0" fontId="60" fillId="2" borderId="0" xfId="0" applyFont="1" applyFill="1" applyBorder="1" applyAlignment="1" applyProtection="1">
      <alignment horizontal="center" vertical="center" wrapText="1"/>
    </xf>
    <xf numFmtId="0" fontId="60" fillId="2" borderId="0" xfId="0" applyFont="1" applyFill="1" applyBorder="1" applyAlignment="1" applyProtection="1">
      <alignment horizontal="center" vertical="center" wrapText="1"/>
      <protection locked="0"/>
    </xf>
    <xf numFmtId="0" fontId="60" fillId="2" borderId="0" xfId="0" applyFont="1" applyFill="1" applyBorder="1" applyAlignment="1" applyProtection="1">
      <alignment horizontal="center" vertical="center"/>
      <protection locked="0"/>
    </xf>
    <xf numFmtId="0" fontId="62" fillId="2" borderId="19" xfId="0" applyFont="1" applyFill="1" applyBorder="1" applyAlignment="1" applyProtection="1">
      <alignment horizontal="center" vertical="center"/>
    </xf>
    <xf numFmtId="0" fontId="25" fillId="2" borderId="11" xfId="0" applyFont="1" applyFill="1" applyBorder="1" applyAlignment="1" applyProtection="1">
      <alignment horizontal="left" vertical="center" wrapText="1"/>
    </xf>
    <xf numFmtId="0" fontId="60" fillId="2" borderId="12" xfId="0" applyFont="1" applyFill="1" applyBorder="1" applyAlignment="1" applyProtection="1">
      <alignment horizontal="left" vertical="center" wrapText="1"/>
    </xf>
    <xf numFmtId="49" fontId="62" fillId="2" borderId="16" xfId="0" applyNumberFormat="1" applyFont="1" applyFill="1" applyBorder="1" applyAlignment="1" applyProtection="1">
      <alignment horizontal="left" vertical="center" wrapText="1"/>
    </xf>
    <xf numFmtId="0" fontId="25" fillId="2" borderId="60" xfId="0" applyFont="1" applyFill="1" applyBorder="1" applyAlignment="1" applyProtection="1">
      <alignment horizontal="left" vertical="center" wrapText="1"/>
    </xf>
    <xf numFmtId="181" fontId="25" fillId="2" borderId="60" xfId="0" applyNumberFormat="1" applyFont="1" applyFill="1" applyBorder="1" applyAlignment="1" applyProtection="1">
      <alignment horizontal="left" vertical="center" wrapText="1"/>
    </xf>
    <xf numFmtId="0" fontId="60" fillId="2" borderId="42" xfId="0" applyFont="1" applyFill="1" applyBorder="1" applyAlignment="1" applyProtection="1">
      <alignment horizontal="left" vertical="center" wrapText="1"/>
    </xf>
    <xf numFmtId="49" fontId="60" fillId="2" borderId="16" xfId="0" applyNumberFormat="1" applyFont="1" applyFill="1" applyBorder="1" applyAlignment="1" applyProtection="1">
      <alignment horizontal="left" vertical="center" wrapText="1"/>
    </xf>
    <xf numFmtId="181" fontId="26" fillId="2" borderId="1" xfId="0" applyNumberFormat="1" applyFont="1" applyFill="1" applyBorder="1" applyAlignment="1" applyProtection="1">
      <alignment horizontal="left" vertical="center" wrapText="1"/>
    </xf>
    <xf numFmtId="0" fontId="60" fillId="2" borderId="17" xfId="0" applyFont="1" applyFill="1" applyBorder="1" applyAlignment="1" applyProtection="1">
      <alignment horizontal="left" vertical="center" wrapText="1"/>
    </xf>
    <xf numFmtId="0" fontId="28" fillId="7" borderId="7" xfId="0" applyFont="1" applyFill="1" applyBorder="1" applyAlignment="1" applyProtection="1">
      <alignment horizontal="center" vertical="center"/>
      <protection locked="0"/>
    </xf>
    <xf numFmtId="0" fontId="31" fillId="2" borderId="125" xfId="0" applyFont="1" applyFill="1" applyBorder="1" applyAlignment="1" applyProtection="1">
      <alignment horizontal="center" vertical="center"/>
    </xf>
    <xf numFmtId="0" fontId="60" fillId="2" borderId="4" xfId="0" applyFont="1" applyFill="1" applyBorder="1" applyAlignment="1" applyProtection="1">
      <alignment horizontal="center" vertical="center" wrapText="1"/>
    </xf>
    <xf numFmtId="0" fontId="96" fillId="2" borderId="147" xfId="0" applyFont="1" applyFill="1" applyBorder="1" applyAlignment="1" applyProtection="1">
      <alignment horizontal="right"/>
    </xf>
    <xf numFmtId="0" fontId="96" fillId="18" borderId="147" xfId="0" applyFont="1" applyFill="1" applyBorder="1" applyAlignment="1" applyProtection="1">
      <alignment horizontal="right"/>
      <protection locked="0"/>
    </xf>
    <xf numFmtId="0" fontId="14" fillId="11" borderId="147" xfId="0" applyFont="1" applyFill="1" applyBorder="1" applyAlignment="1" applyProtection="1">
      <protection locked="0"/>
    </xf>
    <xf numFmtId="0" fontId="67" fillId="2" borderId="0" xfId="0" applyFont="1" applyFill="1" applyProtection="1">
      <alignment vertical="center"/>
    </xf>
    <xf numFmtId="0" fontId="65" fillId="2" borderId="0" xfId="0" applyFont="1" applyFill="1" applyBorder="1" applyAlignment="1" applyProtection="1">
      <alignment horizontal="left" vertical="center"/>
    </xf>
    <xf numFmtId="0" fontId="23" fillId="2" borderId="0" xfId="0" applyFont="1" applyFill="1" applyBorder="1" applyProtection="1">
      <alignment vertical="center"/>
    </xf>
    <xf numFmtId="0" fontId="65" fillId="2" borderId="1"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xf>
    <xf numFmtId="0" fontId="65" fillId="2" borderId="1" xfId="0" applyFont="1" applyFill="1" applyBorder="1" applyAlignment="1" applyProtection="1">
      <alignment horizontal="left" vertical="center" wrapText="1"/>
    </xf>
    <xf numFmtId="0" fontId="99" fillId="2" borderId="1" xfId="0" applyFont="1" applyFill="1" applyBorder="1" applyAlignment="1" applyProtection="1">
      <alignment horizontal="center" vertical="center" wrapText="1"/>
      <protection locked="0"/>
    </xf>
    <xf numFmtId="192" fontId="99" fillId="2" borderId="1" xfId="0" applyNumberFormat="1" applyFont="1" applyFill="1" applyBorder="1" applyAlignment="1" applyProtection="1">
      <alignment horizontal="center" vertical="center" wrapText="1"/>
    </xf>
    <xf numFmtId="0" fontId="99" fillId="2" borderId="1" xfId="0" applyFont="1" applyFill="1" applyBorder="1" applyAlignment="1" applyProtection="1">
      <alignment horizontal="center" vertical="center" wrapText="1"/>
    </xf>
    <xf numFmtId="10" fontId="60" fillId="5" borderId="0" xfId="0" applyNumberFormat="1" applyFont="1" applyFill="1" applyAlignment="1" applyProtection="1">
      <alignment horizontal="left" vertical="center"/>
    </xf>
    <xf numFmtId="10" fontId="60" fillId="2" borderId="0" xfId="0" applyNumberFormat="1" applyFont="1" applyFill="1" applyAlignment="1" applyProtection="1">
      <alignment horizontal="center" vertical="center"/>
      <protection locked="0"/>
    </xf>
    <xf numFmtId="0" fontId="100" fillId="2" borderId="1" xfId="0" applyFont="1" applyFill="1" applyBorder="1" applyAlignment="1" applyProtection="1">
      <alignment horizontal="left" vertical="center" wrapText="1"/>
    </xf>
    <xf numFmtId="10" fontId="100" fillId="2" borderId="1" xfId="0" applyNumberFormat="1" applyFont="1" applyFill="1" applyBorder="1" applyAlignment="1" applyProtection="1">
      <alignment horizontal="left" vertical="center"/>
    </xf>
    <xf numFmtId="9" fontId="100" fillId="2" borderId="1" xfId="0" applyNumberFormat="1" applyFont="1" applyFill="1" applyBorder="1" applyAlignment="1" applyProtection="1">
      <alignment horizontal="left" vertical="center"/>
    </xf>
    <xf numFmtId="10" fontId="60" fillId="2" borderId="2" xfId="0" applyNumberFormat="1" applyFont="1" applyFill="1" applyBorder="1" applyAlignment="1" applyProtection="1">
      <alignment horizontal="center" vertical="center"/>
    </xf>
    <xf numFmtId="0" fontId="100" fillId="2" borderId="7" xfId="0" applyFont="1" applyFill="1" applyBorder="1" applyAlignment="1" applyProtection="1">
      <alignment horizontal="left" vertical="center" wrapText="1"/>
    </xf>
    <xf numFmtId="9" fontId="100" fillId="2" borderId="7" xfId="0" applyNumberFormat="1" applyFont="1" applyFill="1" applyBorder="1" applyAlignment="1" applyProtection="1">
      <alignment horizontal="left" vertical="center"/>
    </xf>
    <xf numFmtId="0" fontId="6" fillId="2" borderId="2" xfId="0" applyFont="1" applyFill="1" applyBorder="1" applyAlignment="1" applyProtection="1">
      <alignment horizontal="left" vertical="center" wrapText="1"/>
    </xf>
    <xf numFmtId="0" fontId="100" fillId="2" borderId="5" xfId="0" applyFont="1" applyFill="1" applyBorder="1" applyAlignment="1" applyProtection="1">
      <alignment horizontal="left" vertical="center" wrapText="1"/>
    </xf>
    <xf numFmtId="0" fontId="100" fillId="2" borderId="6" xfId="0" applyFont="1" applyFill="1" applyBorder="1" applyAlignment="1" applyProtection="1">
      <alignment horizontal="left" vertical="center" wrapText="1"/>
    </xf>
    <xf numFmtId="0" fontId="100" fillId="2" borderId="22" xfId="0" applyFont="1" applyFill="1" applyBorder="1" applyAlignment="1" applyProtection="1">
      <alignment horizontal="left" vertical="center" wrapText="1"/>
    </xf>
    <xf numFmtId="180" fontId="60" fillId="2" borderId="0" xfId="0" applyNumberFormat="1" applyFont="1" applyFill="1" applyProtection="1">
      <alignment vertical="center"/>
      <protection locked="0"/>
    </xf>
    <xf numFmtId="0" fontId="100" fillId="2" borderId="2" xfId="0" applyFont="1" applyFill="1" applyBorder="1" applyAlignment="1" applyProtection="1">
      <alignment horizontal="left" vertical="center" wrapText="1"/>
    </xf>
    <xf numFmtId="0" fontId="100" fillId="2" borderId="3" xfId="0" applyFont="1" applyFill="1" applyBorder="1" applyAlignment="1" applyProtection="1">
      <alignment horizontal="left" vertical="center"/>
    </xf>
    <xf numFmtId="0" fontId="100" fillId="2" borderId="4" xfId="0" applyFont="1" applyFill="1" applyBorder="1" applyAlignment="1" applyProtection="1">
      <alignment horizontal="left" vertical="center" wrapText="1"/>
    </xf>
    <xf numFmtId="0" fontId="91" fillId="5" borderId="0" xfId="0" applyFont="1" applyFill="1" applyProtection="1">
      <alignment vertical="center"/>
    </xf>
    <xf numFmtId="0" fontId="100" fillId="2" borderId="57" xfId="0" applyFont="1" applyFill="1" applyBorder="1" applyAlignment="1" applyProtection="1">
      <alignment horizontal="left" vertical="center" wrapText="1"/>
    </xf>
    <xf numFmtId="0" fontId="100" fillId="2" borderId="0" xfId="0" applyFont="1" applyFill="1" applyBorder="1" applyAlignment="1" applyProtection="1">
      <alignment horizontal="left" vertical="center" wrapText="1"/>
    </xf>
    <xf numFmtId="0" fontId="100" fillId="2" borderId="45" xfId="0" applyFont="1" applyFill="1" applyBorder="1" applyAlignment="1" applyProtection="1">
      <alignment horizontal="left" vertical="center" wrapText="1"/>
    </xf>
    <xf numFmtId="0" fontId="100" fillId="2" borderId="50" xfId="0" applyFont="1" applyFill="1" applyBorder="1" applyAlignment="1" applyProtection="1">
      <alignment horizontal="left" vertical="center" wrapText="1"/>
    </xf>
    <xf numFmtId="0" fontId="100" fillId="2" borderId="47" xfId="0" applyFont="1" applyFill="1" applyBorder="1" applyAlignment="1" applyProtection="1">
      <alignment horizontal="left" vertical="center" wrapText="1"/>
    </xf>
    <xf numFmtId="0" fontId="100" fillId="2" borderId="43" xfId="0" applyFont="1" applyFill="1" applyBorder="1" applyAlignment="1" applyProtection="1">
      <alignment horizontal="left" vertical="center" wrapText="1"/>
    </xf>
    <xf numFmtId="0" fontId="5" fillId="2" borderId="1" xfId="0" applyFont="1" applyFill="1" applyBorder="1" applyAlignment="1">
      <alignment horizontal="left" vertical="center" wrapText="1"/>
    </xf>
    <xf numFmtId="0" fontId="60" fillId="11" borderId="0" xfId="0" applyFont="1" applyFill="1" applyAlignment="1" applyProtection="1">
      <alignment horizontal="left" vertical="center"/>
      <protection locked="0"/>
    </xf>
    <xf numFmtId="0" fontId="14" fillId="11" borderId="147" xfId="0" applyFont="1" applyFill="1" applyBorder="1" applyAlignment="1" applyProtection="1"/>
    <xf numFmtId="181" fontId="26" fillId="0" borderId="1" xfId="0" applyNumberFormat="1" applyFont="1" applyFill="1" applyBorder="1" applyAlignment="1" applyProtection="1">
      <alignment horizontal="left" vertical="center" wrapText="1"/>
      <protection locked="0"/>
    </xf>
    <xf numFmtId="0" fontId="25" fillId="2" borderId="1" xfId="0" applyFont="1" applyFill="1" applyBorder="1" applyAlignment="1" applyProtection="1">
      <alignment horizontal="left" vertical="center" wrapText="1"/>
    </xf>
    <xf numFmtId="0" fontId="25" fillId="0" borderId="1" xfId="0" applyFont="1" applyFill="1" applyBorder="1" applyAlignment="1" applyProtection="1">
      <alignment horizontal="left" vertical="center" wrapText="1"/>
      <protection locked="0"/>
    </xf>
    <xf numFmtId="0" fontId="67" fillId="2" borderId="17" xfId="0" applyFont="1" applyFill="1" applyBorder="1" applyAlignment="1" applyProtection="1">
      <alignment horizontal="left" vertical="center"/>
    </xf>
    <xf numFmtId="181" fontId="25" fillId="2" borderId="1" xfId="0" applyNumberFormat="1" applyFont="1" applyFill="1" applyBorder="1" applyAlignment="1" applyProtection="1">
      <alignment horizontal="left" vertical="center" wrapText="1"/>
    </xf>
    <xf numFmtId="49" fontId="62" fillId="2" borderId="48" xfId="0" applyNumberFormat="1" applyFont="1" applyFill="1" applyBorder="1" applyAlignment="1" applyProtection="1">
      <alignment horizontal="left" vertical="center" wrapText="1"/>
    </xf>
    <xf numFmtId="0" fontId="25" fillId="2" borderId="8" xfId="0" applyFont="1" applyFill="1" applyBorder="1" applyAlignment="1" applyProtection="1">
      <alignment horizontal="left" vertical="center" wrapText="1"/>
    </xf>
    <xf numFmtId="181" fontId="25" fillId="2" borderId="8" xfId="0" applyNumberFormat="1" applyFont="1" applyFill="1" applyBorder="1" applyAlignment="1" applyProtection="1">
      <alignment horizontal="left" vertical="center" wrapText="1"/>
    </xf>
    <xf numFmtId="10" fontId="26" fillId="2" borderId="8" xfId="0" applyNumberFormat="1" applyFont="1" applyFill="1" applyBorder="1" applyAlignment="1" applyProtection="1">
      <alignment horizontal="left" vertical="center" wrapText="1"/>
    </xf>
    <xf numFmtId="0" fontId="60" fillId="2" borderId="38" xfId="0" applyFont="1" applyFill="1" applyBorder="1" applyAlignment="1" applyProtection="1">
      <alignment horizontal="left" vertical="center"/>
    </xf>
    <xf numFmtId="49" fontId="62" fillId="2" borderId="15" xfId="0" applyNumberFormat="1" applyFont="1" applyFill="1" applyBorder="1" applyAlignment="1" applyProtection="1">
      <alignment horizontal="left" vertical="center" wrapText="1"/>
    </xf>
    <xf numFmtId="0" fontId="25" fillId="2" borderId="0" xfId="0" applyFont="1" applyFill="1" applyBorder="1" applyAlignment="1" applyProtection="1">
      <alignment horizontal="left" vertical="center" wrapText="1"/>
    </xf>
    <xf numFmtId="181" fontId="25" fillId="2" borderId="0" xfId="0" applyNumberFormat="1" applyFont="1" applyFill="1" applyBorder="1" applyAlignment="1" applyProtection="1">
      <alignment horizontal="center" vertical="center" wrapText="1"/>
    </xf>
    <xf numFmtId="0" fontId="60" fillId="2" borderId="0" xfId="0" applyFont="1" applyFill="1" applyBorder="1" applyAlignment="1" applyProtection="1">
      <alignment horizontal="left" vertical="center"/>
    </xf>
    <xf numFmtId="0" fontId="25" fillId="2" borderId="15" xfId="0" applyFont="1" applyFill="1" applyBorder="1" applyAlignment="1" applyProtection="1">
      <alignment horizontal="center" vertical="center" wrapText="1"/>
    </xf>
    <xf numFmtId="0" fontId="25" fillId="2" borderId="0" xfId="0" applyFont="1" applyFill="1" applyBorder="1" applyAlignment="1" applyProtection="1">
      <alignment horizontal="center" vertical="center" wrapText="1"/>
    </xf>
    <xf numFmtId="0" fontId="60" fillId="2" borderId="14" xfId="0" applyFont="1" applyFill="1" applyBorder="1" applyAlignment="1" applyProtection="1">
      <alignment horizontal="left" vertical="center" wrapText="1"/>
    </xf>
    <xf numFmtId="0" fontId="60" fillId="2" borderId="51" xfId="0" applyFont="1" applyFill="1" applyBorder="1" applyAlignment="1" applyProtection="1">
      <alignment horizontal="left" vertical="center" wrapText="1"/>
    </xf>
    <xf numFmtId="0" fontId="8" fillId="2" borderId="52" xfId="60" applyFont="1" applyFill="1" applyBorder="1" applyAlignment="1" applyProtection="1">
      <alignment horizontal="left" vertical="center" wrapText="1"/>
    </xf>
    <xf numFmtId="0" fontId="8" fillId="2" borderId="59" xfId="60" applyFont="1" applyFill="1" applyBorder="1" applyAlignment="1" applyProtection="1">
      <alignment horizontal="left" vertical="center" wrapText="1"/>
    </xf>
    <xf numFmtId="0" fontId="26" fillId="0" borderId="1" xfId="0" applyFont="1" applyFill="1" applyBorder="1" applyAlignment="1" applyProtection="1">
      <alignment horizontal="left" vertical="center" wrapText="1"/>
      <protection locked="0"/>
    </xf>
    <xf numFmtId="0" fontId="8" fillId="2" borderId="1" xfId="60" applyFont="1" applyFill="1" applyBorder="1" applyAlignment="1" applyProtection="1">
      <alignment horizontal="left" vertical="center" wrapText="1"/>
    </xf>
    <xf numFmtId="0" fontId="8" fillId="3" borderId="1" xfId="60" applyFont="1" applyFill="1" applyBorder="1" applyAlignment="1" applyProtection="1">
      <alignment horizontal="left" vertical="center" wrapText="1"/>
      <protection locked="0"/>
    </xf>
    <xf numFmtId="181" fontId="26" fillId="0" borderId="17" xfId="0" applyNumberFormat="1" applyFont="1" applyFill="1" applyBorder="1" applyAlignment="1" applyProtection="1">
      <alignment horizontal="left" vertical="center" wrapText="1"/>
      <protection locked="0"/>
    </xf>
    <xf numFmtId="0" fontId="26" fillId="2" borderId="60" xfId="0" applyFont="1" applyFill="1" applyBorder="1" applyAlignment="1" applyProtection="1">
      <alignment horizontal="left" vertical="center" wrapText="1"/>
    </xf>
    <xf numFmtId="9" fontId="8" fillId="2" borderId="0" xfId="0" applyNumberFormat="1" applyFont="1" applyFill="1" applyBorder="1" applyAlignment="1" applyProtection="1">
      <alignment horizontal="left" vertical="center"/>
    </xf>
    <xf numFmtId="0" fontId="60" fillId="2" borderId="59" xfId="0" applyFont="1" applyFill="1" applyBorder="1" applyAlignment="1" applyProtection="1">
      <alignment horizontal="left" vertical="center" wrapText="1"/>
    </xf>
    <xf numFmtId="10" fontId="26" fillId="2" borderId="1" xfId="0" applyNumberFormat="1" applyFont="1" applyFill="1" applyBorder="1" applyAlignment="1" applyProtection="1">
      <alignment horizontal="left" vertical="center" wrapText="1"/>
    </xf>
    <xf numFmtId="0" fontId="8" fillId="2" borderId="3" xfId="0" applyFont="1" applyFill="1" applyBorder="1" applyAlignment="1" applyProtection="1">
      <alignment horizontal="left" vertical="center"/>
    </xf>
    <xf numFmtId="0" fontId="60" fillId="3" borderId="3" xfId="0" applyFont="1" applyFill="1" applyBorder="1" applyAlignment="1" applyProtection="1">
      <alignment horizontal="left" vertical="center" wrapText="1"/>
      <protection locked="0"/>
    </xf>
    <xf numFmtId="193" fontId="26" fillId="2" borderId="1" xfId="0" applyNumberFormat="1" applyFont="1" applyFill="1" applyBorder="1" applyAlignment="1" applyProtection="1">
      <alignment horizontal="left" vertical="center" wrapText="1"/>
    </xf>
    <xf numFmtId="10" fontId="62" fillId="2" borderId="2" xfId="0" applyNumberFormat="1" applyFont="1" applyFill="1" applyBorder="1" applyAlignment="1" applyProtection="1">
      <alignment horizontal="left" vertical="center" wrapText="1"/>
    </xf>
    <xf numFmtId="10" fontId="60" fillId="2" borderId="2" xfId="0" applyNumberFormat="1" applyFont="1" applyFill="1" applyBorder="1" applyAlignment="1" applyProtection="1">
      <alignment horizontal="left" vertical="center" wrapText="1"/>
    </xf>
    <xf numFmtId="10" fontId="60" fillId="2" borderId="3" xfId="0" applyNumberFormat="1" applyFont="1" applyFill="1" applyBorder="1" applyAlignment="1" applyProtection="1">
      <alignment horizontal="left" vertical="center" wrapText="1"/>
    </xf>
    <xf numFmtId="10" fontId="60" fillId="2" borderId="59" xfId="0" applyNumberFormat="1" applyFont="1" applyFill="1" applyBorder="1" applyAlignment="1" applyProtection="1">
      <alignment horizontal="left" vertical="center" wrapText="1"/>
    </xf>
    <xf numFmtId="180" fontId="25" fillId="2" borderId="1" xfId="0" applyNumberFormat="1" applyFont="1" applyFill="1" applyBorder="1" applyAlignment="1" applyProtection="1">
      <alignment horizontal="left" vertical="center" wrapText="1"/>
    </xf>
    <xf numFmtId="0" fontId="62" fillId="2" borderId="8" xfId="0" applyFont="1" applyFill="1" applyBorder="1" applyAlignment="1" applyProtection="1">
      <alignment horizontal="left" vertical="center" wrapText="1"/>
    </xf>
    <xf numFmtId="0" fontId="26" fillId="2" borderId="8" xfId="0" applyFont="1" applyFill="1" applyBorder="1" applyAlignment="1" applyProtection="1">
      <alignment horizontal="left" vertical="center" wrapText="1"/>
    </xf>
    <xf numFmtId="0" fontId="60" fillId="2" borderId="36" xfId="0" applyFont="1" applyFill="1" applyBorder="1" applyAlignment="1" applyProtection="1">
      <alignment horizontal="left" vertical="center"/>
    </xf>
    <xf numFmtId="0" fontId="60" fillId="2" borderId="54" xfId="0" applyFont="1" applyFill="1" applyBorder="1" applyAlignment="1" applyProtection="1">
      <alignment horizontal="left" vertical="center" wrapText="1"/>
    </xf>
    <xf numFmtId="0" fontId="8" fillId="2" borderId="53" xfId="60" applyFont="1" applyFill="1" applyBorder="1" applyAlignment="1" applyProtection="1">
      <alignment horizontal="left" vertical="center" wrapText="1"/>
    </xf>
    <xf numFmtId="0" fontId="23" fillId="2" borderId="0" xfId="0" applyFont="1" applyFill="1" applyAlignment="1" applyProtection="1">
      <alignment vertical="center"/>
    </xf>
    <xf numFmtId="0" fontId="23" fillId="2" borderId="0" xfId="0" applyFont="1" applyFill="1" applyAlignment="1" applyProtection="1">
      <alignment horizontal="left" vertical="center"/>
    </xf>
    <xf numFmtId="0" fontId="23" fillId="2" borderId="0" xfId="60" applyFont="1" applyFill="1" applyAlignment="1" applyProtection="1">
      <alignment horizontal="left"/>
    </xf>
    <xf numFmtId="0" fontId="60" fillId="2" borderId="52" xfId="60" applyFont="1" applyFill="1" applyBorder="1" applyAlignment="1" applyProtection="1">
      <alignment horizontal="left" vertical="center" wrapText="1"/>
    </xf>
    <xf numFmtId="0" fontId="60" fillId="2" borderId="59" xfId="60" applyFont="1" applyFill="1" applyBorder="1" applyAlignment="1" applyProtection="1">
      <alignment horizontal="left" vertical="center" wrapText="1"/>
    </xf>
    <xf numFmtId="0" fontId="26" fillId="2" borderId="2" xfId="0" applyFont="1" applyFill="1" applyBorder="1" applyAlignment="1" applyProtection="1">
      <alignment horizontal="left" vertical="center" wrapText="1"/>
    </xf>
    <xf numFmtId="193" fontId="26" fillId="0" borderId="1" xfId="0" applyNumberFormat="1" applyFont="1" applyFill="1" applyBorder="1" applyAlignment="1" applyProtection="1">
      <alignment horizontal="left" vertical="center" wrapText="1"/>
      <protection locked="0"/>
    </xf>
    <xf numFmtId="10" fontId="60" fillId="2" borderId="2" xfId="0" applyNumberFormat="1" applyFont="1" applyFill="1" applyBorder="1" applyAlignment="1" applyProtection="1">
      <alignment horizontal="left" vertical="center"/>
    </xf>
    <xf numFmtId="0" fontId="101" fillId="2" borderId="0" xfId="0" applyFont="1" applyFill="1" applyBorder="1" applyAlignment="1" applyProtection="1">
      <alignment horizontal="left" vertical="center"/>
    </xf>
    <xf numFmtId="10" fontId="60" fillId="3" borderId="59" xfId="0" applyNumberFormat="1" applyFont="1" applyFill="1" applyBorder="1" applyAlignment="1" applyProtection="1">
      <alignment horizontal="left" vertical="center" wrapText="1"/>
      <protection locked="0"/>
    </xf>
    <xf numFmtId="10" fontId="91" fillId="2" borderId="1" xfId="0" applyNumberFormat="1" applyFont="1" applyFill="1" applyBorder="1" applyAlignment="1" applyProtection="1">
      <alignment horizontal="left" vertical="center" wrapText="1"/>
    </xf>
    <xf numFmtId="10" fontId="60" fillId="2" borderId="1" xfId="0" applyNumberFormat="1" applyFont="1" applyFill="1" applyBorder="1" applyAlignment="1" applyProtection="1">
      <alignment horizontal="left" vertical="center" wrapText="1"/>
    </xf>
    <xf numFmtId="10" fontId="60" fillId="7" borderId="59" xfId="0" applyNumberFormat="1" applyFont="1" applyFill="1" applyBorder="1" applyAlignment="1" applyProtection="1">
      <alignment horizontal="left" vertical="center" wrapText="1"/>
      <protection locked="0"/>
    </xf>
    <xf numFmtId="10" fontId="62" fillId="7" borderId="2" xfId="0" applyNumberFormat="1" applyFont="1" applyFill="1" applyBorder="1" applyAlignment="1" applyProtection="1">
      <alignment horizontal="left" vertical="center" wrapText="1"/>
      <protection locked="0"/>
    </xf>
    <xf numFmtId="10" fontId="67" fillId="2" borderId="2" xfId="0" applyNumberFormat="1" applyFont="1" applyFill="1" applyBorder="1" applyAlignment="1" applyProtection="1">
      <alignment horizontal="left" vertical="center" wrapText="1"/>
    </xf>
    <xf numFmtId="10" fontId="67" fillId="2" borderId="3" xfId="0" applyNumberFormat="1" applyFont="1" applyFill="1" applyBorder="1" applyAlignment="1" applyProtection="1">
      <alignment horizontal="left" vertical="center" wrapText="1"/>
    </xf>
    <xf numFmtId="10" fontId="67" fillId="2" borderId="59" xfId="0" applyNumberFormat="1" applyFont="1" applyFill="1" applyBorder="1" applyAlignment="1" applyProtection="1">
      <alignment horizontal="left" vertical="center" wrapText="1"/>
    </xf>
    <xf numFmtId="0" fontId="60" fillId="2" borderId="53" xfId="60" applyFont="1" applyFill="1" applyBorder="1" applyAlignment="1" applyProtection="1">
      <alignment horizontal="left" vertical="center" wrapText="1"/>
    </xf>
    <xf numFmtId="0" fontId="20" fillId="2" borderId="30" xfId="0" applyFont="1" applyFill="1" applyBorder="1" applyAlignment="1" applyProtection="1">
      <alignment horizontal="center" vertical="center"/>
    </xf>
    <xf numFmtId="0" fontId="20" fillId="2" borderId="51" xfId="0" applyFont="1" applyFill="1" applyBorder="1" applyAlignment="1" applyProtection="1">
      <alignment horizontal="center" vertical="center"/>
    </xf>
    <xf numFmtId="0" fontId="20" fillId="2" borderId="52" xfId="0" applyFont="1" applyFill="1" applyBorder="1" applyAlignment="1" applyProtection="1">
      <alignment horizontal="center" vertical="center"/>
    </xf>
    <xf numFmtId="0" fontId="102" fillId="2" borderId="148" xfId="0" applyFont="1" applyFill="1" applyBorder="1" applyProtection="1">
      <alignment vertical="center"/>
    </xf>
    <xf numFmtId="0" fontId="102" fillId="2" borderId="149" xfId="0" applyFont="1" applyFill="1" applyBorder="1" applyProtection="1">
      <alignment vertical="center"/>
    </xf>
    <xf numFmtId="0" fontId="102" fillId="2" borderId="1" xfId="0" applyFont="1" applyFill="1" applyBorder="1" applyAlignment="1" applyProtection="1">
      <alignment horizontal="left" vertical="center" wrapText="1"/>
    </xf>
    <xf numFmtId="0" fontId="102" fillId="2" borderId="17" xfId="0" applyFont="1" applyFill="1" applyBorder="1" applyAlignment="1" applyProtection="1">
      <alignment horizontal="left" vertical="center" wrapText="1"/>
    </xf>
    <xf numFmtId="0" fontId="20" fillId="2" borderId="4" xfId="0" applyFont="1" applyFill="1" applyBorder="1" applyAlignment="1" applyProtection="1">
      <alignment horizontal="left" vertical="center"/>
    </xf>
    <xf numFmtId="0" fontId="20" fillId="2" borderId="1" xfId="0" applyFont="1" applyFill="1" applyBorder="1" applyAlignment="1" applyProtection="1">
      <alignment horizontal="left" vertical="center"/>
    </xf>
    <xf numFmtId="0" fontId="103" fillId="2" borderId="1" xfId="0" applyFont="1" applyFill="1" applyBorder="1" applyAlignment="1" applyProtection="1">
      <alignment vertical="center" wrapText="1"/>
    </xf>
    <xf numFmtId="0" fontId="20" fillId="2" borderId="17" xfId="0" applyFont="1" applyFill="1" applyBorder="1" applyAlignment="1" applyProtection="1">
      <alignment horizontal="left" vertical="center"/>
    </xf>
    <xf numFmtId="0" fontId="103" fillId="2" borderId="16" xfId="0" applyFont="1" applyFill="1" applyBorder="1" applyAlignment="1" applyProtection="1">
      <alignment horizontal="left" vertical="center"/>
    </xf>
    <xf numFmtId="0" fontId="103" fillId="2" borderId="1" xfId="0" applyFont="1" applyFill="1" applyBorder="1" applyAlignment="1" applyProtection="1">
      <alignment horizontal="left" vertical="center" wrapText="1"/>
    </xf>
    <xf numFmtId="0" fontId="102" fillId="2" borderId="7" xfId="0" applyFont="1" applyFill="1" applyBorder="1" applyAlignment="1" applyProtection="1">
      <alignment horizontal="left" vertical="center" wrapText="1"/>
    </xf>
    <xf numFmtId="0" fontId="102" fillId="2" borderId="21" xfId="0" applyFont="1" applyFill="1" applyBorder="1" applyAlignment="1" applyProtection="1">
      <alignment horizontal="left" vertical="center" wrapText="1"/>
    </xf>
    <xf numFmtId="0" fontId="20" fillId="7" borderId="34" xfId="0" applyFont="1" applyFill="1" applyBorder="1" applyAlignment="1" applyProtection="1">
      <alignment horizontal="left" vertical="center" wrapText="1"/>
      <protection locked="0"/>
    </xf>
    <xf numFmtId="0" fontId="20" fillId="7" borderId="4" xfId="0" applyFont="1" applyFill="1" applyBorder="1" applyAlignment="1" applyProtection="1">
      <alignment horizontal="left" vertical="center" wrapText="1"/>
      <protection locked="0"/>
    </xf>
    <xf numFmtId="0" fontId="102" fillId="2" borderId="1" xfId="0" applyFont="1" applyFill="1" applyBorder="1" applyAlignment="1" applyProtection="1">
      <alignment vertical="center" wrapText="1"/>
    </xf>
    <xf numFmtId="0" fontId="103" fillId="2" borderId="2" xfId="0" applyFont="1" applyFill="1" applyBorder="1" applyAlignment="1" applyProtection="1">
      <alignment horizontal="left" vertical="center" wrapText="1"/>
    </xf>
    <xf numFmtId="0" fontId="102" fillId="2" borderId="2" xfId="0" applyFont="1" applyFill="1" applyBorder="1" applyAlignment="1" applyProtection="1">
      <alignment horizontal="left" vertical="center" wrapText="1"/>
    </xf>
    <xf numFmtId="0" fontId="102" fillId="2" borderId="59" xfId="0" applyFont="1" applyFill="1" applyBorder="1" applyAlignment="1" applyProtection="1">
      <alignment horizontal="left" vertical="center" wrapText="1"/>
    </xf>
    <xf numFmtId="0" fontId="8" fillId="2" borderId="1" xfId="0" applyFont="1" applyFill="1" applyBorder="1" applyAlignment="1" applyProtection="1">
      <alignment horizontal="left" vertical="center"/>
    </xf>
    <xf numFmtId="0" fontId="8" fillId="5" borderId="17" xfId="0" applyFont="1" applyFill="1" applyBorder="1" applyAlignment="1" applyProtection="1">
      <alignment horizontal="left" vertical="center"/>
    </xf>
    <xf numFmtId="0" fontId="103" fillId="2" borderId="48" xfId="0" applyFont="1" applyFill="1" applyBorder="1" applyAlignment="1" applyProtection="1">
      <alignment horizontal="left" vertical="center"/>
    </xf>
    <xf numFmtId="0" fontId="103" fillId="2" borderId="36" xfId="0" applyFont="1" applyFill="1" applyBorder="1" applyAlignment="1" applyProtection="1">
      <alignment horizontal="left" vertical="center" wrapText="1"/>
    </xf>
    <xf numFmtId="0" fontId="102" fillId="2" borderId="36" xfId="0" applyFont="1" applyFill="1" applyBorder="1" applyAlignment="1" applyProtection="1">
      <alignment horizontal="left" vertical="center" wrapText="1"/>
    </xf>
    <xf numFmtId="0" fontId="102" fillId="2" borderId="53" xfId="0" applyFont="1" applyFill="1" applyBorder="1" applyAlignment="1" applyProtection="1">
      <alignment horizontal="left" vertical="center" wrapText="1"/>
    </xf>
    <xf numFmtId="0" fontId="8" fillId="2" borderId="17" xfId="0" applyFont="1" applyFill="1" applyBorder="1" applyAlignment="1" applyProtection="1">
      <alignment horizontal="left" vertical="center"/>
    </xf>
    <xf numFmtId="0" fontId="8" fillId="2" borderId="16" xfId="0" applyFont="1" applyFill="1" applyBorder="1" applyAlignment="1" applyProtection="1">
      <alignment horizontal="left" vertical="center"/>
    </xf>
    <xf numFmtId="0" fontId="20" fillId="2" borderId="16" xfId="0" applyFont="1" applyFill="1" applyBorder="1" applyAlignment="1" applyProtection="1">
      <alignment horizontal="left" vertical="center"/>
    </xf>
    <xf numFmtId="0" fontId="62" fillId="2" borderId="17" xfId="0" applyFont="1" applyFill="1" applyBorder="1" applyAlignment="1" applyProtection="1">
      <alignment horizontal="left" vertical="center"/>
    </xf>
    <xf numFmtId="0" fontId="20" fillId="2" borderId="16" xfId="0" applyFont="1" applyFill="1" applyBorder="1" applyAlignment="1" applyProtection="1">
      <alignment horizontal="left" vertical="center" wrapText="1"/>
    </xf>
    <xf numFmtId="0" fontId="20" fillId="2" borderId="1" xfId="0" applyFont="1" applyFill="1" applyBorder="1" applyAlignment="1" applyProtection="1">
      <alignment horizontal="left" vertical="center" wrapText="1"/>
    </xf>
    <xf numFmtId="0" fontId="20" fillId="2" borderId="48" xfId="0" applyFont="1" applyFill="1" applyBorder="1" applyAlignment="1" applyProtection="1">
      <alignment horizontal="left" vertical="center" wrapText="1"/>
    </xf>
    <xf numFmtId="0" fontId="20" fillId="2" borderId="8" xfId="0" applyFont="1" applyFill="1" applyBorder="1" applyAlignment="1" applyProtection="1">
      <alignment horizontal="left" vertical="center" wrapText="1"/>
    </xf>
    <xf numFmtId="0" fontId="103" fillId="2" borderId="8" xfId="0" applyFont="1" applyFill="1" applyBorder="1" applyAlignment="1" applyProtection="1">
      <alignment vertical="center" wrapText="1"/>
    </xf>
    <xf numFmtId="0" fontId="8" fillId="2" borderId="38" xfId="0" applyFont="1" applyFill="1" applyBorder="1" applyAlignment="1" applyProtection="1">
      <alignment horizontal="left" vertical="center"/>
    </xf>
    <xf numFmtId="0" fontId="60" fillId="2" borderId="10" xfId="0" applyFont="1" applyFill="1" applyBorder="1" applyAlignment="1" applyProtection="1">
      <alignment horizontal="left" vertical="center" wrapText="1"/>
    </xf>
    <xf numFmtId="0" fontId="20" fillId="2" borderId="2" xfId="0" applyFont="1" applyFill="1" applyBorder="1" applyAlignment="1" applyProtection="1">
      <alignment horizontal="center" vertical="center"/>
    </xf>
    <xf numFmtId="0" fontId="20" fillId="2" borderId="3" xfId="0" applyFont="1" applyFill="1" applyBorder="1" applyAlignment="1" applyProtection="1">
      <alignment horizontal="center" vertical="center"/>
    </xf>
    <xf numFmtId="0" fontId="8" fillId="7" borderId="7" xfId="0" applyFont="1" applyFill="1" applyBorder="1" applyAlignment="1" applyProtection="1">
      <alignment horizontal="left" vertical="center" wrapText="1"/>
      <protection locked="0"/>
    </xf>
    <xf numFmtId="0" fontId="8" fillId="7" borderId="2" xfId="0" applyFont="1" applyFill="1" applyBorder="1" applyAlignment="1" applyProtection="1">
      <alignment horizontal="left" vertical="center" wrapText="1"/>
      <protection locked="0"/>
    </xf>
    <xf numFmtId="0" fontId="8" fillId="7" borderId="4" xfId="0" applyFont="1" applyFill="1" applyBorder="1" applyAlignment="1" applyProtection="1">
      <alignment horizontal="left" vertical="center" wrapText="1"/>
      <protection locked="0"/>
    </xf>
    <xf numFmtId="0" fontId="8" fillId="7" borderId="1" xfId="0" applyFont="1" applyFill="1" applyBorder="1" applyAlignment="1" applyProtection="1">
      <alignment horizontal="left" vertical="center" wrapText="1"/>
      <protection locked="0"/>
    </xf>
    <xf numFmtId="0" fontId="8" fillId="7" borderId="60" xfId="0" applyFont="1" applyFill="1" applyBorder="1" applyAlignment="1" applyProtection="1">
      <alignment horizontal="left" vertical="center" wrapText="1"/>
      <protection locked="0"/>
    </xf>
    <xf numFmtId="0" fontId="8" fillId="2" borderId="1" xfId="0" applyFont="1" applyFill="1" applyBorder="1" applyAlignment="1" applyProtection="1">
      <alignment horizontal="left" vertical="center" wrapText="1"/>
      <protection locked="0"/>
    </xf>
    <xf numFmtId="194" fontId="8" fillId="2" borderId="2" xfId="0" applyNumberFormat="1" applyFont="1" applyFill="1" applyBorder="1" applyAlignment="1" applyProtection="1">
      <alignment horizontal="left" vertical="center" wrapText="1"/>
    </xf>
    <xf numFmtId="194" fontId="8" fillId="2" borderId="4" xfId="0" applyNumberFormat="1" applyFont="1" applyFill="1" applyBorder="1" applyAlignment="1" applyProtection="1">
      <alignment horizontal="left" vertical="center" wrapText="1"/>
    </xf>
    <xf numFmtId="0" fontId="20" fillId="2" borderId="2" xfId="0" applyFont="1" applyFill="1" applyBorder="1" applyAlignment="1" applyProtection="1">
      <alignment horizontal="left" vertical="center" wrapText="1"/>
    </xf>
    <xf numFmtId="0" fontId="20" fillId="2" borderId="3" xfId="0" applyFont="1" applyFill="1" applyBorder="1" applyAlignment="1" applyProtection="1">
      <alignment horizontal="left" vertical="center" wrapText="1"/>
    </xf>
    <xf numFmtId="0" fontId="20" fillId="2" borderId="4" xfId="0" applyFont="1" applyFill="1" applyBorder="1" applyAlignment="1" applyProtection="1">
      <alignment horizontal="left" vertical="center" wrapText="1"/>
    </xf>
    <xf numFmtId="0" fontId="8" fillId="2" borderId="2" xfId="0" applyFont="1" applyFill="1" applyBorder="1" applyAlignment="1" applyProtection="1">
      <alignment horizontal="left" vertical="center" wrapText="1"/>
    </xf>
    <xf numFmtId="0" fontId="8" fillId="2" borderId="3" xfId="0" applyFont="1" applyFill="1" applyBorder="1" applyAlignment="1" applyProtection="1">
      <alignment horizontal="left" vertical="center" wrapText="1"/>
    </xf>
    <xf numFmtId="0" fontId="8" fillId="2" borderId="4" xfId="0" applyFont="1" applyFill="1" applyBorder="1" applyAlignment="1" applyProtection="1">
      <alignment horizontal="left" vertical="center" wrapText="1"/>
    </xf>
    <xf numFmtId="194" fontId="8" fillId="2" borderId="3" xfId="0" applyNumberFormat="1" applyFont="1" applyFill="1" applyBorder="1" applyAlignment="1" applyProtection="1">
      <alignment horizontal="left" vertical="center" wrapText="1"/>
    </xf>
    <xf numFmtId="180" fontId="60" fillId="2" borderId="0" xfId="0" applyNumberFormat="1" applyFont="1" applyFill="1" applyAlignment="1" applyProtection="1">
      <alignment horizontal="left" vertical="center"/>
    </xf>
    <xf numFmtId="0" fontId="60" fillId="2" borderId="0" xfId="60" applyFont="1" applyFill="1" applyBorder="1" applyAlignment="1" applyProtection="1">
      <alignment horizontal="left" vertical="center" wrapText="1"/>
    </xf>
    <xf numFmtId="0" fontId="23" fillId="0" borderId="0" xfId="0" applyFont="1" applyFill="1" applyProtection="1">
      <alignment vertical="center"/>
      <protection locked="0"/>
    </xf>
    <xf numFmtId="0" fontId="23" fillId="11" borderId="0" xfId="0" applyFont="1" applyFill="1" applyProtection="1">
      <alignment vertical="center"/>
      <protection locked="0"/>
    </xf>
    <xf numFmtId="0" fontId="23" fillId="2" borderId="0" xfId="60" applyFont="1" applyFill="1" applyAlignment="1" applyProtection="1">
      <alignment vertical="center" wrapText="1"/>
      <protection locked="0"/>
    </xf>
    <xf numFmtId="0" fontId="23" fillId="2" borderId="0" xfId="60" applyFont="1" applyFill="1" applyProtection="1">
      <protection locked="0"/>
    </xf>
    <xf numFmtId="0" fontId="104" fillId="11" borderId="0" xfId="0" applyFont="1" applyFill="1" applyProtection="1">
      <alignment vertical="center"/>
    </xf>
    <xf numFmtId="0" fontId="23" fillId="0" borderId="16" xfId="0" applyFont="1" applyFill="1" applyBorder="1" applyProtection="1">
      <alignment vertical="center"/>
      <protection locked="0"/>
    </xf>
    <xf numFmtId="0" fontId="31" fillId="11" borderId="0" xfId="0" applyFont="1" applyFill="1" applyProtection="1">
      <alignment vertical="center"/>
    </xf>
    <xf numFmtId="0" fontId="20" fillId="2" borderId="4" xfId="0" applyFont="1" applyFill="1" applyBorder="1" applyAlignment="1" applyProtection="1">
      <alignment horizontal="center" vertical="center"/>
    </xf>
    <xf numFmtId="0" fontId="23" fillId="11" borderId="0" xfId="0" applyFont="1" applyFill="1" applyProtection="1">
      <alignment vertical="center"/>
    </xf>
    <xf numFmtId="0" fontId="92" fillId="0" borderId="5" xfId="0" applyFont="1" applyBorder="1" applyAlignment="1" applyProtection="1">
      <alignment horizontal="left" vertical="center"/>
    </xf>
    <xf numFmtId="0" fontId="60" fillId="0" borderId="6" xfId="0" applyFont="1" applyBorder="1" applyAlignment="1" applyProtection="1">
      <alignment horizontal="left" vertical="center" wrapText="1"/>
    </xf>
    <xf numFmtId="0" fontId="27" fillId="7" borderId="6" xfId="0" applyFont="1" applyFill="1" applyBorder="1" applyAlignment="1" applyProtection="1">
      <alignment horizontal="left" vertical="center" wrapText="1"/>
      <protection locked="0"/>
    </xf>
    <xf numFmtId="0" fontId="60" fillId="11" borderId="6" xfId="0" applyFont="1" applyFill="1" applyBorder="1" applyAlignment="1" applyProtection="1">
      <alignment horizontal="center" vertical="center" wrapText="1"/>
    </xf>
    <xf numFmtId="0" fontId="60" fillId="11" borderId="6" xfId="0" applyFont="1" applyFill="1" applyBorder="1" applyAlignment="1" applyProtection="1">
      <alignment horizontal="center" vertical="center"/>
    </xf>
    <xf numFmtId="0" fontId="60" fillId="11" borderId="57" xfId="0" applyFont="1" applyFill="1" applyBorder="1" applyAlignment="1" applyProtection="1">
      <alignment horizontal="left" vertical="center" wrapText="1"/>
      <protection locked="0"/>
    </xf>
    <xf numFmtId="0" fontId="60" fillId="11" borderId="0" xfId="0" applyFont="1" applyFill="1" applyBorder="1" applyAlignment="1" applyProtection="1">
      <alignment horizontal="left" vertical="center" wrapText="1"/>
      <protection locked="0"/>
    </xf>
    <xf numFmtId="0" fontId="60" fillId="11" borderId="0" xfId="0" applyFont="1" applyFill="1" applyBorder="1" applyAlignment="1" applyProtection="1">
      <alignment horizontal="center" vertical="center" wrapText="1"/>
      <protection locked="0"/>
    </xf>
    <xf numFmtId="0" fontId="60" fillId="11" borderId="0" xfId="0" applyFont="1" applyFill="1" applyBorder="1" applyAlignment="1" applyProtection="1">
      <alignment horizontal="center" vertical="center"/>
      <protection locked="0"/>
    </xf>
    <xf numFmtId="0" fontId="60" fillId="11" borderId="50" xfId="0" applyFont="1" applyFill="1" applyBorder="1" applyAlignment="1" applyProtection="1">
      <alignment horizontal="left" vertical="center" wrapText="1"/>
      <protection locked="0"/>
    </xf>
    <xf numFmtId="0" fontId="60" fillId="11" borderId="47" xfId="0" applyFont="1" applyFill="1" applyBorder="1" applyAlignment="1" applyProtection="1">
      <alignment horizontal="left" vertical="center" wrapText="1"/>
      <protection locked="0"/>
    </xf>
    <xf numFmtId="0" fontId="60" fillId="11" borderId="47" xfId="0" applyFont="1" applyFill="1" applyBorder="1" applyAlignment="1" applyProtection="1">
      <alignment horizontal="center" vertical="center" wrapText="1"/>
      <protection locked="0"/>
    </xf>
    <xf numFmtId="0" fontId="60" fillId="11" borderId="47" xfId="0" applyFont="1" applyFill="1" applyBorder="1" applyAlignment="1" applyProtection="1">
      <alignment horizontal="center" vertical="center"/>
      <protection locked="0"/>
    </xf>
    <xf numFmtId="0" fontId="62" fillId="11" borderId="47" xfId="0" applyFont="1" applyFill="1" applyBorder="1" applyAlignment="1" applyProtection="1">
      <alignment horizontal="left" vertical="center"/>
      <protection locked="0"/>
    </xf>
    <xf numFmtId="0" fontId="60" fillId="11" borderId="47" xfId="0" applyFont="1" applyFill="1" applyBorder="1" applyProtection="1">
      <alignment vertical="center"/>
      <protection locked="0"/>
    </xf>
    <xf numFmtId="0" fontId="62" fillId="11" borderId="0" xfId="0" applyFont="1" applyFill="1" applyAlignment="1" applyProtection="1">
      <alignment horizontal="left" vertical="center"/>
      <protection locked="0"/>
    </xf>
    <xf numFmtId="2" fontId="60" fillId="11" borderId="0" xfId="0" applyNumberFormat="1" applyFont="1" applyFill="1" applyAlignment="1" applyProtection="1">
      <alignment vertical="center" wrapText="1"/>
      <protection locked="0"/>
    </xf>
    <xf numFmtId="0" fontId="62" fillId="11" borderId="0" xfId="0" applyFont="1" applyFill="1" applyAlignment="1" applyProtection="1">
      <alignment vertical="center" wrapText="1"/>
      <protection locked="0"/>
    </xf>
    <xf numFmtId="0" fontId="60" fillId="11" borderId="0" xfId="0" applyFont="1" applyFill="1" applyAlignment="1" applyProtection="1">
      <alignment vertical="center" wrapText="1"/>
      <protection locked="0"/>
    </xf>
    <xf numFmtId="0" fontId="60" fillId="11" borderId="22" xfId="0" applyFont="1" applyFill="1" applyBorder="1" applyProtection="1">
      <alignment vertical="center"/>
    </xf>
    <xf numFmtId="0" fontId="60" fillId="11" borderId="45" xfId="0" applyFont="1" applyFill="1" applyBorder="1" applyProtection="1">
      <alignment vertical="center"/>
      <protection locked="0"/>
    </xf>
    <xf numFmtId="0" fontId="60" fillId="11" borderId="43" xfId="0" applyFont="1" applyFill="1" applyBorder="1" applyProtection="1">
      <alignment vertical="center"/>
      <protection locked="0"/>
    </xf>
    <xf numFmtId="0" fontId="60" fillId="11" borderId="47" xfId="0" applyFont="1" applyFill="1" applyBorder="1" applyAlignment="1" applyProtection="1">
      <alignment horizontal="right" vertical="center"/>
      <protection locked="0"/>
    </xf>
    <xf numFmtId="0" fontId="0" fillId="0" borderId="0" xfId="64" applyAlignment="1" applyProtection="1">
      <alignment horizontal="left"/>
      <protection locked="0"/>
    </xf>
    <xf numFmtId="0" fontId="105" fillId="2" borderId="1" xfId="64" applyFont="1" applyFill="1" applyBorder="1" applyAlignment="1" applyProtection="1">
      <alignment horizontal="left" vertical="center" wrapText="1"/>
    </xf>
    <xf numFmtId="0" fontId="105" fillId="6" borderId="0" xfId="64" applyFont="1" applyFill="1" applyBorder="1" applyAlignment="1" applyProtection="1">
      <alignment horizontal="left" vertical="center" wrapText="1"/>
      <protection locked="0"/>
    </xf>
    <xf numFmtId="0" fontId="0" fillId="6" borderId="0" xfId="64" applyFill="1" applyBorder="1" applyAlignment="1" applyProtection="1">
      <alignment horizontal="left"/>
      <protection locked="0"/>
    </xf>
    <xf numFmtId="0" fontId="0" fillId="6" borderId="0" xfId="64" applyFill="1" applyAlignment="1" applyProtection="1">
      <alignment horizontal="left"/>
      <protection locked="0"/>
    </xf>
    <xf numFmtId="14" fontId="105" fillId="2" borderId="1" xfId="64" applyNumberFormat="1" applyFont="1" applyFill="1" applyBorder="1" applyAlignment="1" applyProtection="1">
      <alignment horizontal="left" vertical="center" wrapText="1"/>
    </xf>
    <xf numFmtId="0" fontId="105" fillId="0" borderId="1" xfId="64" applyFont="1" applyFill="1" applyBorder="1" applyAlignment="1" applyProtection="1">
      <alignment horizontal="left" vertical="center" wrapText="1"/>
      <protection locked="0"/>
    </xf>
    <xf numFmtId="0" fontId="0" fillId="2" borderId="1" xfId="64" applyFill="1" applyBorder="1" applyAlignment="1" applyProtection="1">
      <alignment horizontal="left" vertical="center"/>
    </xf>
    <xf numFmtId="0" fontId="105" fillId="2" borderId="7" xfId="64" applyFont="1" applyFill="1" applyBorder="1" applyAlignment="1" applyProtection="1">
      <alignment horizontal="left" vertical="center" wrapText="1"/>
    </xf>
    <xf numFmtId="0" fontId="0" fillId="0" borderId="1" xfId="64" applyFont="1" applyFill="1" applyBorder="1" applyAlignment="1" applyProtection="1">
      <alignment horizontal="left"/>
      <protection locked="0"/>
    </xf>
    <xf numFmtId="0" fontId="105" fillId="0" borderId="7" xfId="64" applyFont="1" applyFill="1" applyBorder="1" applyAlignment="1" applyProtection="1">
      <alignment horizontal="left" vertical="center" wrapText="1"/>
      <protection locked="0"/>
    </xf>
    <xf numFmtId="0" fontId="0" fillId="0" borderId="1" xfId="64" applyBorder="1" applyAlignment="1" applyProtection="1">
      <alignment horizontal="left"/>
      <protection locked="0"/>
    </xf>
    <xf numFmtId="0" fontId="105" fillId="0" borderId="1" xfId="64" applyFont="1" applyBorder="1" applyAlignment="1" applyProtection="1">
      <alignment horizontal="left" vertical="center" wrapText="1"/>
      <protection locked="0"/>
    </xf>
    <xf numFmtId="0" fontId="98" fillId="0" borderId="0" xfId="0" applyFont="1" applyAlignment="1" applyProtection="1">
      <alignment vertical="center"/>
      <protection locked="0"/>
    </xf>
    <xf numFmtId="0" fontId="8" fillId="0" borderId="0" xfId="0" applyFont="1" applyFill="1" applyAlignment="1" applyProtection="1">
      <alignment vertical="center"/>
      <protection locked="0"/>
    </xf>
    <xf numFmtId="0" fontId="8" fillId="0" borderId="0" xfId="0" applyFont="1" applyAlignment="1" applyProtection="1">
      <alignment vertical="center"/>
      <protection locked="0"/>
    </xf>
    <xf numFmtId="0" fontId="8" fillId="0" borderId="0" xfId="0" applyFont="1" applyAlignment="1" applyProtection="1">
      <alignment vertical="center" wrapText="1"/>
      <protection locked="0"/>
    </xf>
    <xf numFmtId="0" fontId="8" fillId="0" borderId="0" xfId="0" applyFont="1" applyFill="1" applyAlignment="1" applyProtection="1">
      <alignment vertical="center" wrapText="1"/>
      <protection locked="0"/>
    </xf>
    <xf numFmtId="0" fontId="8" fillId="0" borderId="0" xfId="0" applyNumberFormat="1" applyFont="1" applyFill="1" applyAlignment="1" applyProtection="1">
      <alignment vertical="center" wrapText="1"/>
      <protection locked="0"/>
    </xf>
    <xf numFmtId="0" fontId="8" fillId="11" borderId="0" xfId="0" applyFont="1" applyFill="1" applyAlignment="1" applyProtection="1">
      <alignment vertical="center" wrapText="1"/>
      <protection locked="0"/>
    </xf>
    <xf numFmtId="0" fontId="8" fillId="11" borderId="0" xfId="0" applyNumberFormat="1" applyFont="1" applyFill="1" applyAlignment="1" applyProtection="1">
      <alignment vertical="center" wrapText="1"/>
      <protection locked="0"/>
    </xf>
    <xf numFmtId="0" fontId="8" fillId="11" borderId="0" xfId="0" applyNumberFormat="1" applyFont="1" applyFill="1" applyAlignment="1" applyProtection="1">
      <alignment vertical="center"/>
      <protection locked="0"/>
    </xf>
    <xf numFmtId="0" fontId="22" fillId="2" borderId="150" xfId="0" applyFont="1" applyFill="1" applyBorder="1" applyAlignment="1" applyProtection="1">
      <alignment vertical="center"/>
    </xf>
    <xf numFmtId="0" fontId="22" fillId="2" borderId="151" xfId="0" applyFont="1" applyFill="1" applyBorder="1" applyAlignment="1" applyProtection="1">
      <alignment vertical="center"/>
    </xf>
    <xf numFmtId="0" fontId="97" fillId="11" borderId="151" xfId="0" applyFont="1" applyFill="1" applyBorder="1" applyAlignment="1" applyProtection="1">
      <alignment vertical="center" wrapText="1"/>
      <protection locked="0"/>
    </xf>
    <xf numFmtId="0" fontId="62" fillId="2" borderId="23" xfId="0" applyFont="1" applyFill="1" applyBorder="1" applyAlignment="1" applyProtection="1">
      <alignment vertical="center" wrapText="1"/>
    </xf>
    <xf numFmtId="0" fontId="62" fillId="2" borderId="28" xfId="0" applyFont="1" applyFill="1" applyBorder="1" applyAlignment="1" applyProtection="1">
      <alignment vertical="center" wrapText="1"/>
    </xf>
    <xf numFmtId="0" fontId="62" fillId="2" borderId="125" xfId="0" applyFont="1" applyFill="1" applyBorder="1" applyAlignment="1" applyProtection="1">
      <alignment vertical="center"/>
    </xf>
    <xf numFmtId="0" fontId="62" fillId="2" borderId="0" xfId="0" applyFont="1" applyFill="1" applyBorder="1" applyAlignment="1" applyProtection="1">
      <alignment vertical="center" wrapText="1"/>
    </xf>
    <xf numFmtId="0" fontId="60" fillId="2" borderId="24" xfId="0" applyFont="1" applyFill="1" applyBorder="1" applyAlignment="1" applyProtection="1">
      <alignment vertical="center"/>
    </xf>
    <xf numFmtId="0" fontId="62" fillId="2" borderId="29" xfId="0" applyFont="1" applyFill="1" applyBorder="1" applyAlignment="1" applyProtection="1">
      <alignment vertical="center" wrapText="1"/>
    </xf>
    <xf numFmtId="0" fontId="60" fillId="2" borderId="56" xfId="0" applyFont="1" applyFill="1" applyBorder="1" applyAlignment="1" applyProtection="1">
      <alignment vertical="center" wrapText="1"/>
    </xf>
    <xf numFmtId="49" fontId="63" fillId="0" borderId="12" xfId="0" applyNumberFormat="1" applyFont="1" applyFill="1" applyBorder="1" applyAlignment="1" applyProtection="1">
      <alignment vertical="center" wrapText="1"/>
      <protection locked="0"/>
    </xf>
    <xf numFmtId="49" fontId="60" fillId="2" borderId="0" xfId="0" applyNumberFormat="1" applyFont="1" applyFill="1" applyBorder="1" applyAlignment="1" applyProtection="1">
      <alignment vertical="center" wrapText="1"/>
      <protection locked="0"/>
    </xf>
    <xf numFmtId="0" fontId="62" fillId="2" borderId="31" xfId="0" applyFont="1" applyFill="1" applyBorder="1" applyAlignment="1" applyProtection="1">
      <alignment vertical="center" wrapText="1"/>
    </xf>
    <xf numFmtId="0" fontId="60" fillId="2" borderId="43" xfId="0" applyFont="1" applyFill="1" applyBorder="1" applyAlignment="1" applyProtection="1">
      <alignment vertical="center" wrapText="1"/>
    </xf>
    <xf numFmtId="0" fontId="63" fillId="0" borderId="42" xfId="0" applyNumberFormat="1" applyFont="1" applyFill="1" applyBorder="1" applyAlignment="1" applyProtection="1">
      <alignment vertical="center" wrapText="1"/>
      <protection locked="0"/>
    </xf>
    <xf numFmtId="49" fontId="63" fillId="0" borderId="17" xfId="0" applyNumberFormat="1" applyFont="1" applyFill="1" applyBorder="1" applyAlignment="1" applyProtection="1">
      <alignment vertical="center" wrapText="1"/>
      <protection locked="0"/>
    </xf>
    <xf numFmtId="49" fontId="60" fillId="2" borderId="31" xfId="0" applyNumberFormat="1" applyFont="1" applyFill="1" applyBorder="1" applyAlignment="1" applyProtection="1">
      <alignment vertical="center" wrapText="1"/>
    </xf>
    <xf numFmtId="0" fontId="63" fillId="0" borderId="17" xfId="0" applyFont="1" applyBorder="1" applyAlignment="1" applyProtection="1">
      <alignment vertical="center" wrapText="1"/>
      <protection locked="0"/>
    </xf>
    <xf numFmtId="0" fontId="60" fillId="2" borderId="0" xfId="0" applyFont="1" applyFill="1" applyBorder="1" applyAlignment="1" applyProtection="1">
      <alignment vertical="center" wrapText="1"/>
      <protection locked="0"/>
    </xf>
    <xf numFmtId="49" fontId="60" fillId="2" borderId="35" xfId="0" applyNumberFormat="1" applyFont="1" applyFill="1" applyBorder="1" applyAlignment="1" applyProtection="1">
      <alignment vertical="center" wrapText="1"/>
    </xf>
    <xf numFmtId="0" fontId="60" fillId="2" borderId="49" xfId="0" applyFont="1" applyFill="1" applyBorder="1" applyAlignment="1" applyProtection="1">
      <alignment vertical="center" wrapText="1"/>
    </xf>
    <xf numFmtId="0" fontId="63" fillId="0" borderId="38" xfId="0" applyNumberFormat="1" applyFont="1" applyFill="1" applyBorder="1" applyAlignment="1" applyProtection="1">
      <alignment vertical="center" wrapText="1"/>
      <protection locked="0"/>
    </xf>
    <xf numFmtId="0" fontId="62" fillId="2" borderId="35" xfId="0" applyFont="1" applyFill="1" applyBorder="1" applyAlignment="1" applyProtection="1">
      <alignment vertical="center" wrapText="1"/>
    </xf>
    <xf numFmtId="0" fontId="60" fillId="2" borderId="8" xfId="0" applyFont="1" applyFill="1" applyBorder="1" applyAlignment="1" applyProtection="1">
      <alignment vertical="center" wrapText="1"/>
    </xf>
    <xf numFmtId="0" fontId="63" fillId="0" borderId="38" xfId="0" applyFont="1" applyBorder="1" applyAlignment="1" applyProtection="1">
      <alignment vertical="center"/>
      <protection locked="0"/>
    </xf>
    <xf numFmtId="0" fontId="8" fillId="11" borderId="0" xfId="0" applyFont="1" applyFill="1" applyBorder="1" applyAlignment="1" applyProtection="1">
      <alignment vertical="center" wrapText="1"/>
      <protection locked="0"/>
    </xf>
    <xf numFmtId="0" fontId="62" fillId="2" borderId="0" xfId="0" applyFont="1" applyFill="1" applyBorder="1" applyAlignment="1" applyProtection="1">
      <alignment vertical="center" wrapText="1"/>
      <protection locked="0"/>
    </xf>
    <xf numFmtId="0" fontId="60" fillId="2" borderId="0" xfId="0" applyNumberFormat="1" applyFont="1" applyFill="1" applyBorder="1" applyAlignment="1" applyProtection="1">
      <alignment vertical="center" wrapText="1"/>
      <protection locked="0"/>
    </xf>
    <xf numFmtId="0" fontId="59" fillId="2" borderId="0" xfId="0" applyFont="1" applyFill="1" applyBorder="1" applyAlignment="1" applyProtection="1">
      <alignment vertical="center"/>
    </xf>
    <xf numFmtId="0" fontId="97" fillId="11" borderId="0" xfId="0" applyFont="1" applyFill="1" applyBorder="1" applyAlignment="1" applyProtection="1">
      <alignment vertical="center" wrapText="1"/>
      <protection locked="0"/>
    </xf>
    <xf numFmtId="0" fontId="22" fillId="2" borderId="152" xfId="0" applyFont="1" applyFill="1" applyBorder="1" applyAlignment="1" applyProtection="1">
      <alignment vertical="center"/>
    </xf>
    <xf numFmtId="0" fontId="62" fillId="2" borderId="9" xfId="0" applyFont="1" applyFill="1" applyBorder="1" applyAlignment="1" applyProtection="1">
      <alignment vertical="center" wrapText="1"/>
    </xf>
    <xf numFmtId="0" fontId="62" fillId="2" borderId="75" xfId="0" applyFont="1" applyFill="1" applyBorder="1" applyAlignment="1" applyProtection="1">
      <alignment vertical="center" wrapText="1"/>
    </xf>
    <xf numFmtId="0" fontId="62" fillId="2" borderId="146" xfId="0" applyFont="1" applyFill="1" applyBorder="1" applyAlignment="1" applyProtection="1">
      <alignment vertical="center" wrapText="1"/>
    </xf>
    <xf numFmtId="0" fontId="62" fillId="2" borderId="130" xfId="0" applyFont="1" applyFill="1" applyBorder="1" applyAlignment="1" applyProtection="1">
      <alignment vertical="center" wrapText="1"/>
    </xf>
    <xf numFmtId="0" fontId="60" fillId="2" borderId="11" xfId="0" applyFont="1" applyFill="1" applyBorder="1" applyAlignment="1" applyProtection="1">
      <alignment vertical="center" wrapText="1"/>
    </xf>
    <xf numFmtId="49" fontId="60" fillId="2" borderId="39" xfId="0" applyNumberFormat="1" applyFont="1" applyFill="1" applyBorder="1" applyAlignment="1" applyProtection="1">
      <alignment vertical="center" wrapText="1"/>
    </xf>
    <xf numFmtId="49" fontId="62" fillId="2" borderId="130" xfId="0" applyNumberFormat="1" applyFont="1" applyFill="1" applyBorder="1" applyAlignment="1" applyProtection="1">
      <alignment vertical="center" wrapText="1"/>
    </xf>
    <xf numFmtId="0" fontId="60" fillId="2" borderId="12" xfId="0" applyNumberFormat="1" applyFont="1" applyFill="1" applyBorder="1" applyAlignment="1" applyProtection="1">
      <alignment vertical="center" wrapText="1"/>
    </xf>
    <xf numFmtId="0" fontId="62" fillId="2" borderId="131" xfId="0" applyFont="1" applyFill="1" applyBorder="1" applyAlignment="1" applyProtection="1">
      <alignment vertical="center" wrapText="1"/>
    </xf>
    <xf numFmtId="0" fontId="60" fillId="2" borderId="32" xfId="0" applyFont="1" applyFill="1" applyBorder="1" applyAlignment="1" applyProtection="1">
      <alignment vertical="center" wrapText="1"/>
    </xf>
    <xf numFmtId="49" fontId="60" fillId="2" borderId="17" xfId="0" applyNumberFormat="1" applyFont="1" applyFill="1" applyBorder="1" applyAlignment="1" applyProtection="1">
      <alignment vertical="center" wrapText="1"/>
    </xf>
    <xf numFmtId="49" fontId="62" fillId="2" borderId="131" xfId="0" applyNumberFormat="1" applyFont="1" applyFill="1" applyBorder="1" applyAlignment="1" applyProtection="1">
      <alignment vertical="center" wrapText="1"/>
    </xf>
    <xf numFmtId="0" fontId="60" fillId="2" borderId="16" xfId="0" applyFont="1" applyFill="1" applyBorder="1" applyAlignment="1" applyProtection="1">
      <alignment vertical="center" wrapText="1"/>
    </xf>
    <xf numFmtId="0" fontId="60" fillId="2" borderId="17" xfId="0" applyNumberFormat="1" applyFont="1" applyFill="1" applyBorder="1" applyAlignment="1" applyProtection="1">
      <alignment vertical="center" wrapText="1"/>
    </xf>
    <xf numFmtId="0" fontId="60" fillId="0" borderId="17" xfId="0" applyNumberFormat="1" applyFont="1" applyFill="1" applyBorder="1" applyAlignment="1" applyProtection="1">
      <alignment vertical="center" wrapText="1"/>
      <protection locked="0"/>
    </xf>
    <xf numFmtId="0" fontId="60" fillId="7" borderId="17" xfId="0" applyNumberFormat="1" applyFont="1" applyFill="1" applyBorder="1" applyAlignment="1" applyProtection="1">
      <alignment vertical="center" wrapText="1"/>
      <protection locked="0"/>
    </xf>
    <xf numFmtId="49" fontId="62" fillId="2" borderId="132" xfId="0" applyNumberFormat="1" applyFont="1" applyFill="1" applyBorder="1" applyAlignment="1" applyProtection="1">
      <alignment vertical="center" wrapText="1"/>
    </xf>
    <xf numFmtId="0" fontId="60" fillId="2" borderId="48" xfId="0" applyFont="1" applyFill="1" applyBorder="1" applyAlignment="1" applyProtection="1">
      <alignment vertical="center" wrapText="1"/>
    </xf>
    <xf numFmtId="0" fontId="95" fillId="0" borderId="38" xfId="0" applyNumberFormat="1" applyFont="1" applyFill="1" applyBorder="1" applyAlignment="1" applyProtection="1">
      <alignment vertical="center" wrapText="1"/>
      <protection locked="0"/>
    </xf>
    <xf numFmtId="0" fontId="62" fillId="2" borderId="132" xfId="0" applyFont="1" applyFill="1" applyBorder="1" applyAlignment="1" applyProtection="1">
      <alignment vertical="center" wrapText="1"/>
    </xf>
    <xf numFmtId="0" fontId="60" fillId="2" borderId="38" xfId="0" applyNumberFormat="1" applyFont="1" applyFill="1" applyBorder="1" applyAlignment="1" applyProtection="1">
      <alignment vertical="center" wrapText="1"/>
    </xf>
    <xf numFmtId="0" fontId="60" fillId="2" borderId="0" xfId="0" applyFont="1" applyFill="1" applyAlignment="1" applyProtection="1">
      <alignment vertical="center" wrapText="1"/>
      <protection locked="0"/>
    </xf>
    <xf numFmtId="0" fontId="60" fillId="2" borderId="0" xfId="0" applyNumberFormat="1" applyFont="1" applyFill="1" applyAlignment="1" applyProtection="1">
      <alignment vertical="center" wrapText="1"/>
      <protection locked="0"/>
    </xf>
    <xf numFmtId="0" fontId="97" fillId="11" borderId="151" xfId="0" applyNumberFormat="1" applyFont="1" applyFill="1" applyBorder="1" applyAlignment="1" applyProtection="1">
      <alignment vertical="center" wrapText="1"/>
      <protection locked="0"/>
    </xf>
    <xf numFmtId="0" fontId="8" fillId="11" borderId="0" xfId="0" applyNumberFormat="1" applyFont="1" applyFill="1" applyBorder="1" applyAlignment="1" applyProtection="1">
      <alignment vertical="center" wrapText="1"/>
      <protection locked="0"/>
    </xf>
    <xf numFmtId="49" fontId="8" fillId="11" borderId="0" xfId="0" applyNumberFormat="1" applyFont="1" applyFill="1" applyBorder="1" applyAlignment="1" applyProtection="1">
      <alignment vertical="center" wrapText="1"/>
      <protection locked="0"/>
    </xf>
    <xf numFmtId="0" fontId="97" fillId="11" borderId="0" xfId="0" applyNumberFormat="1" applyFont="1" applyFill="1" applyBorder="1" applyAlignment="1" applyProtection="1">
      <alignment vertical="center" wrapText="1"/>
      <protection locked="0"/>
    </xf>
    <xf numFmtId="0" fontId="97" fillId="11" borderId="45" xfId="0" applyNumberFormat="1" applyFont="1" applyFill="1" applyBorder="1" applyAlignment="1" applyProtection="1">
      <alignment vertical="center" wrapText="1"/>
      <protection locked="0"/>
    </xf>
    <xf numFmtId="0" fontId="98" fillId="11" borderId="0" xfId="0" applyFont="1" applyFill="1" applyAlignment="1" applyProtection="1">
      <alignment vertical="center" wrapText="1"/>
      <protection locked="0"/>
    </xf>
    <xf numFmtId="0" fontId="98" fillId="11" borderId="0" xfId="0" applyNumberFormat="1" applyFont="1" applyFill="1" applyAlignment="1" applyProtection="1">
      <alignment vertical="center" wrapText="1"/>
      <protection locked="0"/>
    </xf>
    <xf numFmtId="0" fontId="97" fillId="11" borderId="153" xfId="0" applyFont="1" applyFill="1" applyBorder="1" applyAlignment="1" applyProtection="1">
      <alignment vertical="center" wrapText="1"/>
      <protection locked="0"/>
    </xf>
    <xf numFmtId="0" fontId="98" fillId="11" borderId="0" xfId="0" applyNumberFormat="1" applyFont="1" applyFill="1" applyAlignment="1" applyProtection="1">
      <alignment vertical="center"/>
      <protection locked="0"/>
    </xf>
    <xf numFmtId="0" fontId="98" fillId="11" borderId="0" xfId="0" applyFont="1" applyFill="1" applyAlignment="1" applyProtection="1">
      <alignment vertical="center"/>
      <protection locked="0"/>
    </xf>
    <xf numFmtId="0" fontId="8" fillId="0" borderId="0" xfId="0" applyFont="1" applyAlignment="1" applyProtection="1">
      <alignment vertical="center"/>
    </xf>
    <xf numFmtId="0" fontId="8" fillId="0" borderId="0" xfId="0" applyFont="1" applyAlignment="1" applyProtection="1">
      <alignment vertical="center" wrapText="1"/>
    </xf>
    <xf numFmtId="0" fontId="60" fillId="0" borderId="0" xfId="0" applyFont="1" applyFill="1" applyAlignment="1" applyProtection="1">
      <alignment vertical="center"/>
    </xf>
    <xf numFmtId="0" fontId="60" fillId="0" borderId="0" xfId="0" applyFont="1" applyAlignment="1" applyProtection="1">
      <alignment vertical="center"/>
      <protection locked="0"/>
    </xf>
    <xf numFmtId="0" fontId="60" fillId="0" borderId="0" xfId="0" applyFont="1" applyAlignment="1" applyProtection="1">
      <alignment vertical="center" wrapText="1"/>
    </xf>
    <xf numFmtId="0" fontId="60" fillId="0" borderId="0" xfId="0" applyFont="1" applyAlignment="1" applyProtection="1">
      <alignment vertical="center"/>
    </xf>
    <xf numFmtId="179" fontId="60" fillId="0" borderId="0" xfId="0" applyNumberFormat="1" applyFont="1" applyAlignment="1" applyProtection="1">
      <alignment vertical="center"/>
    </xf>
    <xf numFmtId="0" fontId="60" fillId="0" borderId="0" xfId="0" applyFont="1" applyAlignment="1" applyProtection="1">
      <alignment horizontal="center" vertical="center"/>
    </xf>
    <xf numFmtId="0" fontId="93" fillId="2" borderId="0" xfId="0" applyFont="1" applyFill="1" applyAlignment="1" applyProtection="1">
      <alignment vertical="center" wrapText="1"/>
    </xf>
    <xf numFmtId="0" fontId="60" fillId="2" borderId="0" xfId="0" applyFont="1" applyFill="1" applyAlignment="1" applyProtection="1">
      <alignment vertical="center"/>
    </xf>
    <xf numFmtId="179" fontId="60" fillId="2" borderId="0" xfId="0" applyNumberFormat="1" applyFont="1" applyFill="1" applyAlignment="1" applyProtection="1">
      <alignment vertical="center"/>
      <protection locked="0"/>
    </xf>
    <xf numFmtId="0" fontId="20" fillId="2" borderId="25" xfId="0" applyFont="1" applyFill="1" applyBorder="1" applyAlignment="1" applyProtection="1">
      <alignment vertical="center" wrapText="1"/>
    </xf>
    <xf numFmtId="14" fontId="8" fillId="2" borderId="26" xfId="0" applyNumberFormat="1" applyFont="1" applyFill="1" applyBorder="1" applyAlignment="1" applyProtection="1">
      <alignment horizontal="center" vertical="center"/>
    </xf>
    <xf numFmtId="0" fontId="8" fillId="2" borderId="0" xfId="0" applyFont="1" applyFill="1" applyAlignment="1" applyProtection="1">
      <alignment vertical="center"/>
      <protection locked="0"/>
    </xf>
    <xf numFmtId="179" fontId="8" fillId="2" borderId="0" xfId="0" applyNumberFormat="1" applyFont="1" applyFill="1" applyAlignment="1" applyProtection="1">
      <alignment vertical="center"/>
      <protection locked="0"/>
    </xf>
    <xf numFmtId="0" fontId="8" fillId="2" borderId="0" xfId="0" applyFont="1" applyFill="1" applyAlignment="1" applyProtection="1">
      <alignment vertical="center" wrapText="1"/>
    </xf>
    <xf numFmtId="0" fontId="8" fillId="2" borderId="0" xfId="0" applyFont="1" applyFill="1" applyAlignment="1" applyProtection="1">
      <alignment vertical="center"/>
    </xf>
    <xf numFmtId="0" fontId="8" fillId="2" borderId="24" xfId="0" applyFont="1" applyFill="1" applyBorder="1" applyAlignment="1" applyProtection="1">
      <alignment vertical="center"/>
    </xf>
    <xf numFmtId="179" fontId="8" fillId="2" borderId="24" xfId="0" applyNumberFormat="1" applyFont="1" applyFill="1" applyBorder="1" applyAlignment="1" applyProtection="1">
      <alignment vertical="center"/>
    </xf>
    <xf numFmtId="0" fontId="8" fillId="2" borderId="11" xfId="59" applyFont="1" applyFill="1" applyBorder="1" applyAlignment="1" applyProtection="1">
      <alignment vertical="center" wrapText="1"/>
    </xf>
    <xf numFmtId="0" fontId="8" fillId="2" borderId="56" xfId="59" applyFont="1" applyFill="1" applyBorder="1" applyAlignment="1" applyProtection="1">
      <alignment vertical="center" wrapText="1"/>
    </xf>
    <xf numFmtId="0" fontId="8" fillId="2" borderId="14" xfId="59" applyFont="1" applyFill="1" applyBorder="1" applyAlignment="1" applyProtection="1">
      <alignment vertical="center" wrapText="1"/>
    </xf>
    <xf numFmtId="178" fontId="13" fillId="2" borderId="11" xfId="59" applyNumberFormat="1" applyFont="1" applyFill="1" applyBorder="1" applyAlignment="1" applyProtection="1">
      <alignment horizontal="center" vertical="center" wrapText="1"/>
    </xf>
    <xf numFmtId="0" fontId="8" fillId="2" borderId="56" xfId="0" applyFont="1" applyFill="1" applyBorder="1" applyAlignment="1" applyProtection="1">
      <alignment horizontal="center" vertical="center" wrapText="1"/>
    </xf>
    <xf numFmtId="179" fontId="8" fillId="2" borderId="56" xfId="0" applyNumberFormat="1" applyFont="1" applyFill="1" applyBorder="1" applyAlignment="1" applyProtection="1">
      <alignment horizontal="center" vertical="center" wrapText="1"/>
    </xf>
    <xf numFmtId="181" fontId="60" fillId="2" borderId="16" xfId="59" applyNumberFormat="1" applyFont="1" applyFill="1" applyBorder="1" applyAlignment="1" applyProtection="1">
      <alignment horizontal="left" vertical="center"/>
    </xf>
    <xf numFmtId="181" fontId="8" fillId="2" borderId="1" xfId="59" applyNumberFormat="1" applyFont="1" applyFill="1" applyBorder="1" applyAlignment="1" applyProtection="1">
      <alignment vertical="center"/>
    </xf>
    <xf numFmtId="181" fontId="8" fillId="3" borderId="2" xfId="59" applyNumberFormat="1" applyFont="1" applyFill="1" applyBorder="1" applyAlignment="1" applyProtection="1">
      <alignment vertical="center"/>
      <protection locked="0"/>
    </xf>
    <xf numFmtId="181" fontId="60" fillId="2" borderId="16" xfId="59" applyNumberFormat="1" applyFont="1" applyFill="1" applyBorder="1" applyAlignment="1" applyProtection="1">
      <alignment horizontal="center" vertical="center"/>
    </xf>
    <xf numFmtId="183" fontId="60" fillId="2" borderId="1" xfId="0" applyNumberFormat="1" applyFont="1" applyFill="1" applyBorder="1" applyAlignment="1" applyProtection="1">
      <alignment horizontal="center" vertical="center"/>
    </xf>
    <xf numFmtId="179" fontId="13" fillId="2" borderId="1" xfId="59" applyNumberFormat="1" applyFont="1" applyFill="1" applyBorder="1" applyAlignment="1" applyProtection="1">
      <alignment horizontal="center" vertical="center"/>
    </xf>
    <xf numFmtId="178" fontId="13" fillId="2" borderId="1" xfId="59" applyNumberFormat="1" applyFont="1" applyFill="1" applyBorder="1" applyAlignment="1" applyProtection="1">
      <alignment horizontal="center" vertical="center"/>
    </xf>
    <xf numFmtId="180" fontId="6" fillId="0" borderId="1" xfId="0" applyNumberFormat="1" applyFont="1" applyFill="1" applyBorder="1" applyAlignment="1" applyProtection="1">
      <alignment horizontal="center" vertical="center"/>
      <protection locked="0"/>
    </xf>
    <xf numFmtId="180" fontId="8" fillId="0" borderId="1" xfId="0" applyNumberFormat="1" applyFont="1" applyFill="1" applyBorder="1" applyAlignment="1" applyProtection="1">
      <alignment horizontal="center" vertical="center"/>
      <protection locked="0"/>
    </xf>
    <xf numFmtId="181" fontId="8" fillId="2" borderId="16" xfId="59" applyNumberFormat="1" applyFont="1" applyFill="1" applyBorder="1" applyAlignment="1" applyProtection="1">
      <alignment horizontal="left" vertical="center" wrapText="1"/>
      <protection locked="0"/>
    </xf>
    <xf numFmtId="181" fontId="8" fillId="2" borderId="2" xfId="59" applyNumberFormat="1" applyFont="1" applyFill="1" applyBorder="1" applyAlignment="1" applyProtection="1">
      <alignment vertical="center"/>
    </xf>
    <xf numFmtId="180" fontId="10" fillId="2" borderId="1" xfId="0" applyNumberFormat="1" applyFont="1" applyFill="1" applyBorder="1" applyAlignment="1" applyProtection="1">
      <alignment horizontal="center" vertical="center"/>
      <protection locked="0"/>
    </xf>
    <xf numFmtId="0" fontId="20" fillId="2" borderId="48" xfId="59" applyFont="1" applyFill="1" applyBorder="1" applyAlignment="1" applyProtection="1">
      <alignment vertical="center" wrapText="1"/>
    </xf>
    <xf numFmtId="0" fontId="20" fillId="2" borderId="8" xfId="59" applyFont="1" applyFill="1" applyBorder="1" applyAlignment="1" applyProtection="1">
      <alignment vertical="center"/>
    </xf>
    <xf numFmtId="0" fontId="20" fillId="2" borderId="48" xfId="59" applyFont="1" applyFill="1" applyBorder="1" applyAlignment="1" applyProtection="1">
      <alignment vertical="center"/>
    </xf>
    <xf numFmtId="0" fontId="20" fillId="2" borderId="8" xfId="59" applyFont="1" applyFill="1" applyBorder="1" applyAlignment="1" applyProtection="1">
      <alignment horizontal="center" vertical="center"/>
    </xf>
    <xf numFmtId="180" fontId="20" fillId="2" borderId="8" xfId="59" applyNumberFormat="1" applyFont="1" applyFill="1" applyBorder="1" applyAlignment="1" applyProtection="1">
      <alignment vertical="center"/>
    </xf>
    <xf numFmtId="0" fontId="62" fillId="2" borderId="0" xfId="0" applyFont="1" applyFill="1" applyAlignment="1" applyProtection="1">
      <alignment vertical="center" wrapText="1"/>
    </xf>
    <xf numFmtId="0" fontId="60" fillId="6" borderId="0" xfId="0" applyFont="1" applyFill="1" applyAlignment="1" applyProtection="1">
      <alignment vertical="center"/>
    </xf>
    <xf numFmtId="179" fontId="60" fillId="6" borderId="0" xfId="0" applyNumberFormat="1" applyFont="1" applyFill="1" applyAlignment="1" applyProtection="1">
      <alignment vertical="center"/>
      <protection locked="0"/>
    </xf>
    <xf numFmtId="0" fontId="8" fillId="6" borderId="0" xfId="0" applyFont="1" applyFill="1" applyAlignment="1" applyProtection="1">
      <alignment vertical="center"/>
    </xf>
    <xf numFmtId="0" fontId="8" fillId="6" borderId="0" xfId="0" applyFont="1" applyFill="1" applyAlignment="1" applyProtection="1">
      <alignment vertical="center"/>
      <protection locked="0"/>
    </xf>
    <xf numFmtId="179" fontId="8" fillId="6" borderId="0" xfId="0" applyNumberFormat="1" applyFont="1" applyFill="1" applyAlignment="1" applyProtection="1">
      <alignment vertical="center"/>
      <protection locked="0"/>
    </xf>
    <xf numFmtId="184" fontId="13" fillId="2" borderId="11" xfId="59" applyNumberFormat="1" applyFont="1" applyFill="1" applyBorder="1" applyAlignment="1" applyProtection="1">
      <alignment vertical="center" wrapText="1"/>
    </xf>
    <xf numFmtId="184" fontId="13" fillId="0" borderId="12" xfId="59" applyNumberFormat="1" applyFont="1" applyFill="1" applyBorder="1" applyAlignment="1" applyProtection="1">
      <alignment horizontal="center" vertical="center"/>
      <protection locked="0"/>
    </xf>
    <xf numFmtId="0" fontId="104" fillId="6" borderId="0" xfId="0" applyFont="1" applyFill="1" applyAlignment="1" applyProtection="1">
      <alignment vertical="center"/>
    </xf>
    <xf numFmtId="184" fontId="13" fillId="2" borderId="16" xfId="59" applyNumberFormat="1" applyFont="1" applyFill="1" applyBorder="1" applyAlignment="1" applyProtection="1">
      <alignment vertical="center" wrapText="1"/>
    </xf>
    <xf numFmtId="184" fontId="8" fillId="0" borderId="17" xfId="59" applyNumberFormat="1" applyFont="1" applyFill="1" applyBorder="1" applyAlignment="1" applyProtection="1">
      <alignment horizontal="center" vertical="center"/>
      <protection locked="0"/>
    </xf>
    <xf numFmtId="0" fontId="31" fillId="6" borderId="0" xfId="0" applyFont="1" applyFill="1" applyAlignment="1" applyProtection="1">
      <alignment vertical="center"/>
    </xf>
    <xf numFmtId="184" fontId="8" fillId="2" borderId="16" xfId="59" applyNumberFormat="1" applyFont="1" applyFill="1" applyBorder="1" applyAlignment="1" applyProtection="1">
      <alignment vertical="center" wrapText="1"/>
    </xf>
    <xf numFmtId="184" fontId="13" fillId="2" borderId="17" xfId="59" applyNumberFormat="1" applyFont="1" applyFill="1" applyBorder="1" applyAlignment="1" applyProtection="1">
      <alignment horizontal="center" vertical="center"/>
    </xf>
    <xf numFmtId="184" fontId="13" fillId="2" borderId="48" xfId="59" applyNumberFormat="1" applyFont="1" applyFill="1" applyBorder="1" applyAlignment="1" applyProtection="1">
      <alignment vertical="center" wrapText="1"/>
    </xf>
    <xf numFmtId="184" fontId="13" fillId="2" borderId="38" xfId="59" applyNumberFormat="1" applyFont="1" applyFill="1" applyBorder="1" applyAlignment="1" applyProtection="1">
      <alignment horizontal="center" vertical="center"/>
    </xf>
    <xf numFmtId="0" fontId="8" fillId="2" borderId="28" xfId="0" applyFont="1" applyFill="1" applyBorder="1" applyAlignment="1" applyProtection="1">
      <alignment horizontal="center" vertical="center"/>
    </xf>
    <xf numFmtId="0" fontId="8" fillId="6" borderId="26" xfId="0" applyFont="1" applyFill="1" applyBorder="1" applyAlignment="1" applyProtection="1">
      <alignment horizontal="center" vertical="center"/>
      <protection locked="0"/>
    </xf>
    <xf numFmtId="0" fontId="8" fillId="2" borderId="11" xfId="0" applyFont="1" applyFill="1" applyBorder="1" applyAlignment="1" applyProtection="1">
      <alignment vertical="center" wrapText="1"/>
    </xf>
    <xf numFmtId="0" fontId="26" fillId="0" borderId="12" xfId="59" applyNumberFormat="1" applyFont="1" applyFill="1" applyBorder="1" applyAlignment="1" applyProtection="1">
      <alignment horizontal="center" vertical="center"/>
      <protection locked="0"/>
    </xf>
    <xf numFmtId="0" fontId="106" fillId="6" borderId="0" xfId="0" applyFont="1" applyFill="1" applyAlignment="1" applyProtection="1">
      <alignment horizontal="left" vertical="center"/>
    </xf>
    <xf numFmtId="179" fontId="8" fillId="6" borderId="0" xfId="0" applyNumberFormat="1" applyFont="1" applyFill="1" applyAlignment="1" applyProtection="1">
      <alignment horizontal="center" vertical="center"/>
      <protection locked="0"/>
    </xf>
    <xf numFmtId="0" fontId="8" fillId="2" borderId="16" xfId="0" applyFont="1" applyFill="1" applyBorder="1" applyAlignment="1" applyProtection="1">
      <alignment vertical="center" wrapText="1"/>
    </xf>
    <xf numFmtId="0" fontId="26" fillId="0" borderId="17" xfId="59" applyNumberFormat="1" applyFont="1" applyFill="1" applyBorder="1" applyAlignment="1" applyProtection="1">
      <alignment horizontal="center" vertical="center"/>
      <protection locked="0"/>
    </xf>
    <xf numFmtId="0" fontId="31" fillId="6" borderId="0" xfId="0" applyFont="1" applyFill="1" applyAlignment="1" applyProtection="1">
      <alignment horizontal="center" vertical="center"/>
      <protection locked="0"/>
    </xf>
    <xf numFmtId="0" fontId="8" fillId="2" borderId="48" xfId="0" applyFont="1" applyFill="1" applyBorder="1" applyAlignment="1" applyProtection="1">
      <alignment vertical="center" wrapText="1"/>
    </xf>
    <xf numFmtId="0" fontId="26" fillId="0" borderId="38" xfId="59" applyNumberFormat="1" applyFont="1" applyFill="1" applyBorder="1" applyAlignment="1" applyProtection="1">
      <alignment horizontal="center" vertical="center"/>
      <protection locked="0"/>
    </xf>
    <xf numFmtId="0" fontId="31" fillId="6" borderId="0" xfId="0" applyFont="1" applyFill="1" applyAlignment="1" applyProtection="1">
      <alignment horizontal="left" vertical="center"/>
    </xf>
    <xf numFmtId="0" fontId="8" fillId="2" borderId="32" xfId="0" applyFont="1" applyFill="1" applyBorder="1" applyAlignment="1" applyProtection="1">
      <alignment vertical="center" wrapText="1"/>
    </xf>
    <xf numFmtId="0" fontId="26" fillId="0" borderId="42" xfId="59" applyNumberFormat="1" applyFont="1" applyFill="1" applyBorder="1" applyAlignment="1" applyProtection="1">
      <alignment horizontal="center" vertical="center"/>
      <protection locked="0"/>
    </xf>
    <xf numFmtId="0" fontId="13" fillId="2" borderId="17" xfId="59" applyNumberFormat="1" applyFont="1" applyFill="1" applyBorder="1" applyAlignment="1" applyProtection="1">
      <alignment horizontal="center" vertical="center"/>
    </xf>
    <xf numFmtId="0" fontId="31" fillId="6" borderId="0" xfId="0" applyFont="1" applyFill="1" applyAlignment="1" applyProtection="1">
      <alignment horizontal="left" vertical="center"/>
      <protection locked="0"/>
    </xf>
    <xf numFmtId="0" fontId="8" fillId="2" borderId="20" xfId="0" applyFont="1" applyFill="1" applyBorder="1" applyAlignment="1" applyProtection="1">
      <alignment vertical="center" wrapText="1"/>
    </xf>
    <xf numFmtId="0" fontId="26" fillId="0" borderId="21" xfId="59" applyNumberFormat="1" applyFont="1" applyFill="1" applyBorder="1" applyAlignment="1" applyProtection="1">
      <alignment horizontal="center" vertical="center"/>
      <protection locked="0"/>
    </xf>
    <xf numFmtId="180" fontId="60" fillId="0" borderId="12" xfId="0" applyNumberFormat="1" applyFont="1" applyFill="1" applyBorder="1" applyAlignment="1" applyProtection="1">
      <alignment horizontal="center" vertical="center"/>
      <protection locked="0"/>
    </xf>
    <xf numFmtId="0" fontId="67" fillId="6" borderId="0" xfId="0" applyFont="1" applyFill="1" applyAlignment="1" applyProtection="1">
      <alignment vertical="center"/>
    </xf>
    <xf numFmtId="180" fontId="60" fillId="0" borderId="17" xfId="0" applyNumberFormat="1" applyFont="1" applyFill="1" applyBorder="1" applyAlignment="1" applyProtection="1">
      <alignment horizontal="center" vertical="center"/>
      <protection locked="0"/>
    </xf>
    <xf numFmtId="179" fontId="31" fillId="6" borderId="0" xfId="0" applyNumberFormat="1" applyFont="1" applyFill="1" applyAlignment="1" applyProtection="1">
      <alignment vertical="center"/>
      <protection locked="0"/>
    </xf>
    <xf numFmtId="180" fontId="60" fillId="0" borderId="38" xfId="0" applyNumberFormat="1" applyFont="1" applyFill="1" applyBorder="1" applyAlignment="1" applyProtection="1">
      <alignment horizontal="center" vertical="center"/>
      <protection locked="0"/>
    </xf>
    <xf numFmtId="180" fontId="60" fillId="0" borderId="42" xfId="0" applyNumberFormat="1" applyFont="1" applyFill="1" applyBorder="1" applyAlignment="1" applyProtection="1">
      <alignment horizontal="center" vertical="center"/>
      <protection locked="0"/>
    </xf>
    <xf numFmtId="180" fontId="60" fillId="2" borderId="21" xfId="0" applyNumberFormat="1" applyFont="1" applyFill="1" applyBorder="1" applyAlignment="1" applyProtection="1">
      <alignment horizontal="center" vertical="center"/>
    </xf>
    <xf numFmtId="0" fontId="67" fillId="6" borderId="0" xfId="0" applyFont="1" applyFill="1" applyAlignment="1" applyProtection="1">
      <alignment vertical="center"/>
      <protection locked="0"/>
    </xf>
    <xf numFmtId="0" fontId="8" fillId="7" borderId="20" xfId="0" applyFont="1" applyFill="1" applyBorder="1" applyAlignment="1" applyProtection="1">
      <alignment vertical="center" wrapText="1"/>
      <protection locked="0"/>
    </xf>
    <xf numFmtId="10" fontId="60" fillId="2" borderId="21" xfId="0" applyNumberFormat="1" applyFont="1" applyFill="1" applyBorder="1" applyAlignment="1" applyProtection="1">
      <alignment horizontal="center" vertical="center"/>
    </xf>
    <xf numFmtId="10" fontId="67" fillId="0" borderId="16" xfId="0" applyNumberFormat="1" applyFont="1" applyFill="1" applyBorder="1" applyAlignment="1" applyProtection="1">
      <alignment vertical="center"/>
      <protection locked="0"/>
    </xf>
    <xf numFmtId="10" fontId="8" fillId="2" borderId="12" xfId="0" applyNumberFormat="1" applyFont="1" applyFill="1" applyBorder="1" applyAlignment="1" applyProtection="1">
      <alignment horizontal="center" vertical="center"/>
    </xf>
    <xf numFmtId="0" fontId="8" fillId="2" borderId="20" xfId="0" applyFont="1" applyFill="1" applyBorder="1" applyAlignment="1" applyProtection="1">
      <alignment horizontal="left" vertical="center" wrapText="1"/>
    </xf>
    <xf numFmtId="10" fontId="8" fillId="0" borderId="21" xfId="0" applyNumberFormat="1" applyFont="1" applyFill="1" applyBorder="1" applyAlignment="1" applyProtection="1">
      <alignment horizontal="center" vertical="center"/>
      <protection locked="0"/>
    </xf>
    <xf numFmtId="180" fontId="23" fillId="6" borderId="0" xfId="0" applyNumberFormat="1" applyFont="1" applyFill="1" applyAlignment="1" applyProtection="1">
      <alignment horizontal="center" vertical="center"/>
    </xf>
    <xf numFmtId="191" fontId="8" fillId="2" borderId="21" xfId="0" applyNumberFormat="1" applyFont="1" applyFill="1" applyBorder="1" applyAlignment="1" applyProtection="1">
      <alignment horizontal="center" vertical="center"/>
    </xf>
    <xf numFmtId="0" fontId="8" fillId="2" borderId="20" xfId="0" applyFont="1" applyFill="1" applyBorder="1" applyAlignment="1" applyProtection="1">
      <alignment horizontal="right" vertical="center" wrapText="1"/>
    </xf>
    <xf numFmtId="10" fontId="8" fillId="3" borderId="21" xfId="0" applyNumberFormat="1" applyFont="1" applyFill="1" applyBorder="1" applyAlignment="1" applyProtection="1">
      <alignment horizontal="center" vertical="center"/>
      <protection locked="0"/>
    </xf>
    <xf numFmtId="0" fontId="8" fillId="2" borderId="48" xfId="0" applyFont="1" applyFill="1" applyBorder="1" applyAlignment="1" applyProtection="1">
      <alignment horizontal="right" vertical="center" wrapText="1"/>
    </xf>
    <xf numFmtId="10" fontId="8" fillId="0" borderId="38" xfId="0" applyNumberFormat="1" applyFont="1" applyFill="1" applyBorder="1" applyAlignment="1" applyProtection="1">
      <alignment horizontal="center" vertical="center"/>
      <protection locked="0"/>
    </xf>
    <xf numFmtId="0" fontId="104" fillId="6" borderId="0" xfId="0" applyFont="1" applyFill="1" applyAlignment="1" applyProtection="1">
      <alignment horizontal="left" vertical="center"/>
    </xf>
    <xf numFmtId="0" fontId="8" fillId="2" borderId="31" xfId="0" applyFont="1" applyFill="1" applyBorder="1" applyAlignment="1" applyProtection="1">
      <alignment vertical="center" wrapText="1"/>
    </xf>
    <xf numFmtId="10" fontId="8" fillId="0" borderId="44" xfId="0" applyNumberFormat="1" applyFont="1" applyFill="1" applyBorder="1" applyAlignment="1" applyProtection="1">
      <alignment horizontal="center" vertical="center"/>
      <protection locked="0"/>
    </xf>
    <xf numFmtId="0" fontId="8" fillId="2" borderId="29" xfId="0" applyFont="1" applyFill="1" applyBorder="1" applyAlignment="1" applyProtection="1">
      <alignment vertical="center" wrapText="1"/>
    </xf>
    <xf numFmtId="10" fontId="8" fillId="2" borderId="39" xfId="0" applyNumberFormat="1" applyFont="1" applyFill="1" applyBorder="1" applyAlignment="1" applyProtection="1">
      <alignment horizontal="center" vertical="center"/>
    </xf>
    <xf numFmtId="10" fontId="8" fillId="2" borderId="38" xfId="0" applyNumberFormat="1" applyFont="1" applyFill="1" applyBorder="1" applyAlignment="1" applyProtection="1">
      <alignment horizontal="center" vertical="center"/>
    </xf>
    <xf numFmtId="186" fontId="8" fillId="2" borderId="39" xfId="0" applyNumberFormat="1" applyFont="1" applyFill="1" applyBorder="1" applyAlignment="1" applyProtection="1">
      <alignment horizontal="center" vertical="center"/>
    </xf>
    <xf numFmtId="0" fontId="8" fillId="3" borderId="17" xfId="0" applyFont="1" applyFill="1" applyBorder="1" applyAlignment="1" applyProtection="1">
      <alignment horizontal="center" vertical="center"/>
      <protection locked="0"/>
    </xf>
    <xf numFmtId="0" fontId="107" fillId="6" borderId="0" xfId="0" applyFont="1" applyFill="1" applyAlignment="1" applyProtection="1">
      <alignment vertical="center"/>
    </xf>
    <xf numFmtId="0" fontId="8" fillId="0" borderId="16" xfId="0" applyFont="1" applyBorder="1" applyAlignment="1" applyProtection="1">
      <alignment horizontal="right" vertical="center" wrapText="1"/>
      <protection locked="0"/>
    </xf>
    <xf numFmtId="0" fontId="8" fillId="0" borderId="17" xfId="0" applyFont="1" applyBorder="1" applyAlignment="1" applyProtection="1">
      <alignment horizontal="center" vertical="center"/>
      <protection locked="0"/>
    </xf>
    <xf numFmtId="0" fontId="8" fillId="0" borderId="48" xfId="0" applyFont="1" applyBorder="1" applyAlignment="1" applyProtection="1">
      <alignment horizontal="right" vertical="center" wrapText="1"/>
      <protection locked="0"/>
    </xf>
    <xf numFmtId="0" fontId="8" fillId="0" borderId="38" xfId="0" applyFont="1" applyBorder="1" applyAlignment="1" applyProtection="1">
      <alignment vertical="center"/>
      <protection locked="0"/>
    </xf>
    <xf numFmtId="0" fontId="60" fillId="6" borderId="0" xfId="0" applyFont="1" applyFill="1" applyAlignment="1" applyProtection="1">
      <alignment vertical="center" wrapText="1"/>
      <protection locked="0"/>
    </xf>
    <xf numFmtId="0" fontId="8" fillId="2" borderId="0" xfId="0" applyFont="1" applyFill="1" applyAlignment="1" applyProtection="1">
      <alignment horizontal="center" vertical="center"/>
      <protection locked="0"/>
    </xf>
    <xf numFmtId="0" fontId="8" fillId="2" borderId="125" xfId="0" applyFont="1" applyFill="1" applyBorder="1" applyAlignment="1" applyProtection="1">
      <alignment vertical="center"/>
    </xf>
    <xf numFmtId="0" fontId="8" fillId="2" borderId="23" xfId="0" applyFont="1" applyFill="1" applyBorder="1" applyAlignment="1" applyProtection="1">
      <alignment horizontal="center" vertical="center"/>
    </xf>
    <xf numFmtId="0" fontId="8" fillId="2" borderId="24" xfId="0" applyFont="1" applyFill="1" applyBorder="1" applyAlignment="1" applyProtection="1">
      <alignment horizontal="center" vertical="center"/>
    </xf>
    <xf numFmtId="0" fontId="23" fillId="2" borderId="12" xfId="0" applyFont="1" applyFill="1" applyBorder="1" applyAlignment="1" applyProtection="1">
      <alignment horizontal="center" vertical="center" wrapText="1"/>
    </xf>
    <xf numFmtId="181" fontId="8" fillId="2" borderId="11" xfId="59" applyNumberFormat="1" applyFont="1" applyFill="1" applyBorder="1" applyAlignment="1" applyProtection="1">
      <alignment horizontal="center" vertical="center" wrapText="1"/>
    </xf>
    <xf numFmtId="0" fontId="8" fillId="2" borderId="56" xfId="59" applyFont="1" applyFill="1" applyBorder="1" applyAlignment="1" applyProtection="1">
      <alignment horizontal="center" vertical="center" wrapText="1"/>
    </xf>
    <xf numFmtId="179" fontId="8" fillId="2" borderId="56" xfId="59" applyNumberFormat="1" applyFont="1" applyFill="1" applyBorder="1" applyAlignment="1" applyProtection="1">
      <alignment horizontal="center" vertical="center" wrapText="1"/>
    </xf>
    <xf numFmtId="0" fontId="8" fillId="7" borderId="56" xfId="59" applyFont="1" applyFill="1" applyBorder="1" applyAlignment="1" applyProtection="1">
      <alignment horizontal="center" vertical="center" wrapText="1"/>
      <protection locked="0"/>
    </xf>
    <xf numFmtId="0" fontId="8" fillId="2" borderId="14" xfId="59" applyFont="1" applyFill="1" applyBorder="1" applyAlignment="1" applyProtection="1">
      <alignment horizontal="center" vertical="center" wrapText="1"/>
    </xf>
    <xf numFmtId="179" fontId="60" fillId="2" borderId="16" xfId="59" applyNumberFormat="1" applyFont="1" applyFill="1" applyBorder="1" applyAlignment="1" applyProtection="1">
      <alignment horizontal="center" vertical="center"/>
    </xf>
    <xf numFmtId="181" fontId="60" fillId="0" borderId="1" xfId="59" applyNumberFormat="1" applyFont="1" applyFill="1" applyBorder="1" applyAlignment="1" applyProtection="1">
      <alignment horizontal="center" vertical="center"/>
      <protection locked="0"/>
    </xf>
    <xf numFmtId="0" fontId="8" fillId="2" borderId="1" xfId="59" applyNumberFormat="1" applyFont="1" applyFill="1" applyBorder="1" applyAlignment="1" applyProtection="1">
      <alignment horizontal="center" vertical="center"/>
    </xf>
    <xf numFmtId="10" fontId="60" fillId="0" borderId="1" xfId="59" applyNumberFormat="1" applyFont="1" applyFill="1" applyBorder="1" applyAlignment="1" applyProtection="1">
      <alignment horizontal="center" vertical="center"/>
      <protection locked="0"/>
    </xf>
    <xf numFmtId="0" fontId="8" fillId="2" borderId="2" xfId="0" applyNumberFormat="1" applyFont="1" applyFill="1" applyBorder="1" applyAlignment="1" applyProtection="1">
      <alignment horizontal="center" vertical="center"/>
    </xf>
    <xf numFmtId="181" fontId="8" fillId="0" borderId="1" xfId="59" applyNumberFormat="1" applyFont="1" applyFill="1" applyBorder="1" applyAlignment="1" applyProtection="1">
      <alignment horizontal="center" vertical="center"/>
      <protection locked="0"/>
    </xf>
    <xf numFmtId="10" fontId="8" fillId="0" borderId="1" xfId="59" applyNumberFormat="1" applyFont="1" applyFill="1" applyBorder="1" applyAlignment="1" applyProtection="1">
      <alignment horizontal="center" vertical="center"/>
      <protection locked="0"/>
    </xf>
    <xf numFmtId="181" fontId="8" fillId="2" borderId="1" xfId="59" applyNumberFormat="1" applyFont="1" applyFill="1" applyBorder="1" applyAlignment="1" applyProtection="1">
      <alignment horizontal="center" vertical="center"/>
    </xf>
    <xf numFmtId="10" fontId="8" fillId="2" borderId="1" xfId="59" applyNumberFormat="1" applyFont="1" applyFill="1" applyBorder="1" applyAlignment="1" applyProtection="1">
      <alignment horizontal="center" vertical="center"/>
    </xf>
    <xf numFmtId="0" fontId="20" fillId="2" borderId="38" xfId="59" applyFont="1" applyFill="1" applyBorder="1" applyAlignment="1" applyProtection="1">
      <alignment vertical="center"/>
    </xf>
    <xf numFmtId="184" fontId="8" fillId="2" borderId="48" xfId="0" applyNumberFormat="1" applyFont="1" applyFill="1" applyBorder="1" applyAlignment="1" applyProtection="1">
      <alignment horizontal="center" vertical="center"/>
    </xf>
    <xf numFmtId="0" fontId="8" fillId="2" borderId="8" xfId="59" applyNumberFormat="1" applyFont="1" applyFill="1" applyBorder="1" applyAlignment="1" applyProtection="1">
      <alignment horizontal="center" vertical="center"/>
    </xf>
    <xf numFmtId="10" fontId="8" fillId="2" borderId="8" xfId="59" applyNumberFormat="1" applyFont="1" applyFill="1" applyBorder="1" applyAlignment="1" applyProtection="1">
      <alignment horizontal="center" vertical="center"/>
    </xf>
    <xf numFmtId="0" fontId="60" fillId="6" borderId="0" xfId="0" applyFont="1" applyFill="1" applyAlignment="1" applyProtection="1">
      <alignment horizontal="center" vertical="center"/>
      <protection locked="0"/>
    </xf>
    <xf numFmtId="0" fontId="95" fillId="6" borderId="0" xfId="0" applyFont="1" applyFill="1" applyAlignment="1" applyProtection="1">
      <alignment vertical="center"/>
      <protection locked="0"/>
    </xf>
    <xf numFmtId="0" fontId="0" fillId="0" borderId="1" xfId="0" applyBorder="1" applyAlignment="1" applyProtection="1">
      <alignment horizontal="left" vertical="center"/>
      <protection locked="0"/>
    </xf>
    <xf numFmtId="0" fontId="8" fillId="6" borderId="0" xfId="0" applyFont="1" applyFill="1" applyBorder="1" applyAlignment="1" applyProtection="1">
      <alignment vertical="center"/>
      <protection locked="0"/>
    </xf>
    <xf numFmtId="0" fontId="60" fillId="2" borderId="146" xfId="0" applyFont="1" applyFill="1" applyBorder="1" applyAlignment="1" applyProtection="1">
      <alignment horizontal="center" vertical="center"/>
    </xf>
    <xf numFmtId="0" fontId="8" fillId="2" borderId="11" xfId="59" applyFont="1" applyFill="1" applyBorder="1" applyAlignment="1" applyProtection="1">
      <alignment horizontal="center" vertical="center" wrapText="1"/>
    </xf>
    <xf numFmtId="0" fontId="8" fillId="2" borderId="10" xfId="59" applyFont="1" applyFill="1" applyBorder="1" applyAlignment="1" applyProtection="1">
      <alignment horizontal="center" vertical="center" wrapText="1"/>
    </xf>
    <xf numFmtId="0" fontId="8" fillId="2" borderId="39" xfId="59" applyFont="1" applyFill="1" applyBorder="1" applyAlignment="1" applyProtection="1">
      <alignment horizontal="center" vertical="center" wrapText="1"/>
    </xf>
    <xf numFmtId="0" fontId="8" fillId="2" borderId="11" xfId="0" applyFont="1" applyFill="1" applyBorder="1" applyAlignment="1" applyProtection="1">
      <alignment horizontal="center" vertical="center" wrapText="1"/>
    </xf>
    <xf numFmtId="9" fontId="60" fillId="0" borderId="2" xfId="0" applyNumberFormat="1" applyFont="1" applyFill="1" applyBorder="1" applyAlignment="1" applyProtection="1">
      <alignment horizontal="center" vertical="center"/>
      <protection locked="0"/>
    </xf>
    <xf numFmtId="179" fontId="8" fillId="2" borderId="16" xfId="59" applyNumberFormat="1" applyFont="1" applyFill="1" applyBorder="1" applyAlignment="1" applyProtection="1">
      <alignment horizontal="center" vertical="center"/>
    </xf>
    <xf numFmtId="179" fontId="8" fillId="2" borderId="1" xfId="0" applyNumberFormat="1" applyFont="1" applyFill="1" applyBorder="1" applyAlignment="1" applyProtection="1">
      <alignment horizontal="center" vertical="center"/>
    </xf>
    <xf numFmtId="0" fontId="8" fillId="2" borderId="17" xfId="59" applyNumberFormat="1" applyFont="1" applyFill="1" applyBorder="1" applyAlignment="1" applyProtection="1">
      <alignment horizontal="center" vertical="center"/>
    </xf>
    <xf numFmtId="0" fontId="8" fillId="0" borderId="16" xfId="0" applyFont="1" applyBorder="1" applyAlignment="1" applyProtection="1">
      <alignment vertical="center"/>
      <protection locked="0"/>
    </xf>
    <xf numFmtId="180" fontId="8" fillId="0" borderId="1" xfId="0" applyNumberFormat="1" applyFont="1" applyBorder="1" applyAlignment="1" applyProtection="1">
      <alignment vertical="center"/>
      <protection locked="0"/>
    </xf>
    <xf numFmtId="180" fontId="8" fillId="2" borderId="2" xfId="0" applyNumberFormat="1" applyFont="1" applyFill="1" applyBorder="1" applyAlignment="1" applyProtection="1">
      <alignment horizontal="center" vertical="center"/>
    </xf>
    <xf numFmtId="0" fontId="60" fillId="0" borderId="16" xfId="0" applyFont="1" applyBorder="1" applyAlignment="1" applyProtection="1">
      <alignment vertical="center"/>
      <protection locked="0"/>
    </xf>
    <xf numFmtId="180" fontId="60" fillId="0" borderId="1" xfId="0" applyNumberFormat="1" applyFont="1" applyBorder="1" applyAlignment="1" applyProtection="1">
      <alignment vertical="center"/>
      <protection locked="0"/>
    </xf>
    <xf numFmtId="9" fontId="8" fillId="0" borderId="2" xfId="0" applyNumberFormat="1" applyFont="1" applyFill="1" applyBorder="1" applyAlignment="1" applyProtection="1">
      <alignment horizontal="center" vertical="center"/>
      <protection locked="0"/>
    </xf>
    <xf numFmtId="0" fontId="8" fillId="0" borderId="16" xfId="0" applyFont="1" applyBorder="1" applyAlignment="1" applyProtection="1">
      <alignment horizontal="center" vertical="center"/>
      <protection locked="0"/>
    </xf>
    <xf numFmtId="9" fontId="8" fillId="2" borderId="2" xfId="0" applyNumberFormat="1" applyFont="1" applyFill="1" applyBorder="1" applyAlignment="1" applyProtection="1">
      <alignment horizontal="center" vertical="center"/>
    </xf>
    <xf numFmtId="0" fontId="8" fillId="2" borderId="16" xfId="0" applyFont="1" applyFill="1" applyBorder="1" applyAlignment="1" applyProtection="1">
      <alignment vertical="center"/>
    </xf>
    <xf numFmtId="180" fontId="8" fillId="2" borderId="1" xfId="0" applyNumberFormat="1" applyFont="1" applyFill="1" applyBorder="1" applyAlignment="1" applyProtection="1">
      <alignment vertical="center"/>
    </xf>
    <xf numFmtId="180" fontId="8" fillId="2" borderId="2" xfId="0" applyNumberFormat="1" applyFont="1" applyFill="1" applyBorder="1" applyAlignment="1" applyProtection="1">
      <alignment vertical="center"/>
    </xf>
    <xf numFmtId="9" fontId="8" fillId="2" borderId="36" xfId="0" applyNumberFormat="1" applyFont="1" applyFill="1" applyBorder="1" applyAlignment="1" applyProtection="1">
      <alignment horizontal="center" vertical="center"/>
    </xf>
    <xf numFmtId="179" fontId="8" fillId="2" borderId="48" xfId="59" applyNumberFormat="1" applyFont="1" applyFill="1" applyBorder="1" applyAlignment="1" applyProtection="1">
      <alignment horizontal="center" vertical="center"/>
    </xf>
    <xf numFmtId="179" fontId="8" fillId="2" borderId="49" xfId="59" applyNumberFormat="1" applyFont="1" applyFill="1" applyBorder="1" applyAlignment="1" applyProtection="1">
      <alignment horizontal="center" vertical="center"/>
    </xf>
    <xf numFmtId="0" fontId="8" fillId="2" borderId="53" xfId="59" applyNumberFormat="1" applyFont="1" applyFill="1" applyBorder="1" applyAlignment="1" applyProtection="1">
      <alignment horizontal="center" vertical="center"/>
    </xf>
    <xf numFmtId="0" fontId="8" fillId="2" borderId="48" xfId="0" applyFont="1" applyFill="1" applyBorder="1" applyAlignment="1" applyProtection="1">
      <alignment vertical="center"/>
    </xf>
    <xf numFmtId="0" fontId="8" fillId="2" borderId="8" xfId="0" applyFont="1" applyFill="1" applyBorder="1" applyAlignment="1" applyProtection="1">
      <alignment vertical="center"/>
    </xf>
    <xf numFmtId="0" fontId="8" fillId="2" borderId="36" xfId="0" applyFont="1" applyFill="1" applyBorder="1" applyAlignment="1" applyProtection="1">
      <alignment vertical="center"/>
    </xf>
    <xf numFmtId="0" fontId="91" fillId="19" borderId="0" xfId="0" applyFont="1" applyFill="1" applyAlignment="1" applyProtection="1">
      <alignment horizontal="left" vertical="center"/>
      <protection locked="0"/>
    </xf>
    <xf numFmtId="0" fontId="60" fillId="19" borderId="0" xfId="0" applyFont="1" applyFill="1" applyAlignment="1" applyProtection="1">
      <alignment horizontal="left" vertical="center"/>
      <protection locked="0"/>
    </xf>
    <xf numFmtId="0" fontId="95" fillId="19" borderId="0" xfId="0" applyFont="1" applyFill="1" applyAlignment="1" applyProtection="1">
      <alignment horizontal="left" vertical="center"/>
      <protection locked="0"/>
    </xf>
    <xf numFmtId="0" fontId="60" fillId="6" borderId="0" xfId="0" applyFont="1" applyFill="1" applyAlignment="1" applyProtection="1">
      <alignment horizontal="left" vertical="center"/>
      <protection locked="0"/>
    </xf>
    <xf numFmtId="0" fontId="8" fillId="2" borderId="10" xfId="0" applyFont="1" applyFill="1" applyBorder="1" applyAlignment="1" applyProtection="1">
      <alignment vertical="center"/>
    </xf>
    <xf numFmtId="0" fontId="8" fillId="2" borderId="9" xfId="0" applyFont="1" applyFill="1" applyBorder="1" applyAlignment="1" applyProtection="1">
      <alignment vertical="center"/>
    </xf>
    <xf numFmtId="0" fontId="8" fillId="2" borderId="13" xfId="0" applyFont="1" applyFill="1" applyBorder="1" applyAlignment="1" applyProtection="1">
      <alignment horizontal="center" vertical="center" wrapText="1"/>
    </xf>
    <xf numFmtId="180" fontId="8" fillId="0" borderId="17" xfId="0" applyNumberFormat="1" applyFont="1" applyBorder="1" applyAlignment="1" applyProtection="1">
      <alignment vertical="center"/>
      <protection locked="0"/>
    </xf>
    <xf numFmtId="0" fontId="8" fillId="0" borderId="4" xfId="0" applyFont="1" applyBorder="1" applyAlignment="1" applyProtection="1">
      <alignment vertical="center"/>
      <protection locked="0"/>
    </xf>
    <xf numFmtId="180" fontId="8" fillId="0" borderId="2" xfId="0" applyNumberFormat="1" applyFont="1" applyBorder="1" applyAlignment="1" applyProtection="1">
      <alignment vertical="center"/>
      <protection locked="0"/>
    </xf>
    <xf numFmtId="0" fontId="8" fillId="2" borderId="16" xfId="0" applyFont="1" applyFill="1" applyBorder="1" applyAlignment="1" applyProtection="1">
      <alignment horizontal="center" vertical="center"/>
    </xf>
    <xf numFmtId="180" fontId="60" fillId="0" borderId="17" xfId="0" applyNumberFormat="1" applyFont="1" applyBorder="1" applyAlignment="1" applyProtection="1">
      <alignment vertical="center"/>
      <protection locked="0"/>
    </xf>
    <xf numFmtId="0" fontId="8" fillId="0" borderId="4" xfId="0" applyFont="1" applyBorder="1" applyAlignment="1" applyProtection="1">
      <alignment horizontal="center" vertical="center"/>
      <protection locked="0"/>
    </xf>
    <xf numFmtId="180" fontId="8" fillId="2" borderId="17" xfId="0" applyNumberFormat="1" applyFont="1" applyFill="1" applyBorder="1" applyAlignment="1" applyProtection="1">
      <alignment vertical="center"/>
    </xf>
    <xf numFmtId="0" fontId="8" fillId="2" borderId="4" xfId="0" applyFont="1" applyFill="1" applyBorder="1" applyAlignment="1" applyProtection="1">
      <alignment vertical="center"/>
    </xf>
    <xf numFmtId="180" fontId="8" fillId="2" borderId="1" xfId="0" applyNumberFormat="1" applyFont="1" applyFill="1" applyBorder="1" applyAlignment="1" applyProtection="1">
      <alignment horizontal="center" vertical="center"/>
    </xf>
    <xf numFmtId="0" fontId="8" fillId="2" borderId="38" xfId="0" applyFont="1" applyFill="1" applyBorder="1" applyAlignment="1" applyProtection="1">
      <alignment vertical="center"/>
    </xf>
    <xf numFmtId="0" fontId="8" fillId="2" borderId="49" xfId="0" applyFont="1" applyFill="1" applyBorder="1" applyAlignment="1" applyProtection="1">
      <alignment vertical="center"/>
    </xf>
    <xf numFmtId="0" fontId="8" fillId="2" borderId="75" xfId="0" applyFont="1" applyFill="1" applyBorder="1" applyAlignment="1" applyProtection="1">
      <alignment vertical="center"/>
    </xf>
    <xf numFmtId="0" fontId="8" fillId="2" borderId="4" xfId="0" applyFont="1" applyFill="1" applyBorder="1" applyAlignment="1" applyProtection="1">
      <alignment horizontal="center" vertical="center" wrapText="1"/>
      <protection locked="0"/>
    </xf>
    <xf numFmtId="0" fontId="8" fillId="7" borderId="4" xfId="0" applyFont="1" applyFill="1" applyBorder="1" applyAlignment="1" applyProtection="1">
      <alignment horizontal="center" vertical="center"/>
      <protection locked="0"/>
    </xf>
    <xf numFmtId="0" fontId="8" fillId="0" borderId="1" xfId="0" applyNumberFormat="1" applyFont="1" applyBorder="1" applyAlignment="1" applyProtection="1">
      <alignment horizontal="center" vertical="center"/>
      <protection locked="0"/>
    </xf>
    <xf numFmtId="10" fontId="8" fillId="0" borderId="1" xfId="0" applyNumberFormat="1" applyFont="1" applyBorder="1" applyAlignment="1" applyProtection="1">
      <alignment horizontal="center" vertical="center"/>
      <protection locked="0"/>
    </xf>
    <xf numFmtId="191" fontId="8" fillId="0" borderId="1" xfId="0" applyNumberFormat="1" applyFont="1" applyBorder="1" applyAlignment="1" applyProtection="1">
      <alignment horizontal="center" vertical="center"/>
      <protection locked="0"/>
    </xf>
    <xf numFmtId="180" fontId="8" fillId="0" borderId="17" xfId="0" applyNumberFormat="1" applyFont="1" applyBorder="1" applyAlignment="1" applyProtection="1">
      <alignment horizontal="center" vertical="center"/>
      <protection locked="0"/>
    </xf>
    <xf numFmtId="0" fontId="23" fillId="3" borderId="4" xfId="0" applyFont="1" applyFill="1" applyBorder="1" applyAlignment="1" applyProtection="1">
      <alignment horizontal="center" vertical="center"/>
      <protection locked="0"/>
    </xf>
    <xf numFmtId="0" fontId="60" fillId="0" borderId="16" xfId="0" applyFont="1" applyBorder="1" applyAlignment="1" applyProtection="1">
      <alignment horizontal="center" vertical="center"/>
      <protection locked="0"/>
    </xf>
    <xf numFmtId="10" fontId="60" fillId="0" borderId="1" xfId="0" applyNumberFormat="1" applyFont="1" applyBorder="1" applyAlignment="1" applyProtection="1">
      <alignment horizontal="center" vertical="center"/>
      <protection locked="0"/>
    </xf>
    <xf numFmtId="191" fontId="60" fillId="0" borderId="1" xfId="0" applyNumberFormat="1" applyFont="1" applyBorder="1" applyAlignment="1" applyProtection="1">
      <alignment horizontal="center" vertical="center"/>
      <protection locked="0"/>
    </xf>
    <xf numFmtId="180" fontId="60" fillId="0" borderId="17" xfId="0" applyNumberFormat="1" applyFont="1" applyBorder="1" applyAlignment="1" applyProtection="1">
      <alignment horizontal="center" vertical="center"/>
      <protection locked="0"/>
    </xf>
    <xf numFmtId="10" fontId="8" fillId="0" borderId="1" xfId="0" applyNumberFormat="1" applyFont="1" applyFill="1" applyBorder="1" applyAlignment="1" applyProtection="1">
      <alignment horizontal="center" vertical="center"/>
      <protection locked="0"/>
    </xf>
    <xf numFmtId="191" fontId="8" fillId="0" borderId="1" xfId="0" applyNumberFormat="1" applyFont="1" applyFill="1" applyBorder="1" applyAlignment="1" applyProtection="1">
      <alignment horizontal="center" vertical="center"/>
      <protection locked="0"/>
    </xf>
    <xf numFmtId="180" fontId="8" fillId="0" borderId="17" xfId="0" applyNumberFormat="1" applyFont="1" applyFill="1" applyBorder="1" applyAlignment="1" applyProtection="1">
      <alignment horizontal="center" vertical="center"/>
      <protection locked="0"/>
    </xf>
    <xf numFmtId="10" fontId="8" fillId="2" borderId="1" xfId="0" applyNumberFormat="1" applyFont="1" applyFill="1" applyBorder="1" applyAlignment="1" applyProtection="1">
      <alignment horizontal="center" vertical="center"/>
    </xf>
    <xf numFmtId="191" fontId="8" fillId="2" borderId="1" xfId="0" applyNumberFormat="1" applyFont="1" applyFill="1" applyBorder="1" applyAlignment="1" applyProtection="1">
      <alignment horizontal="center" vertical="center"/>
    </xf>
    <xf numFmtId="180" fontId="8" fillId="2" borderId="17" xfId="0" applyNumberFormat="1" applyFont="1" applyFill="1" applyBorder="1" applyAlignment="1" applyProtection="1">
      <alignment horizontal="center" vertical="center"/>
    </xf>
    <xf numFmtId="0" fontId="8" fillId="2" borderId="1" xfId="0" applyFont="1" applyFill="1" applyBorder="1" applyAlignment="1" applyProtection="1">
      <alignment vertical="center" wrapText="1"/>
    </xf>
    <xf numFmtId="0" fontId="8" fillId="2" borderId="1" xfId="0" applyFont="1" applyFill="1" applyBorder="1" applyAlignment="1" applyProtection="1">
      <alignment horizontal="right" vertical="center" wrapText="1"/>
    </xf>
    <xf numFmtId="0" fontId="8" fillId="2" borderId="1" xfId="59" applyFont="1" applyFill="1" applyBorder="1" applyAlignment="1" applyProtection="1">
      <alignment horizontal="center" vertical="center" wrapText="1"/>
    </xf>
    <xf numFmtId="0" fontId="8" fillId="2" borderId="1" xfId="0" applyFont="1" applyFill="1" applyBorder="1" applyAlignment="1" applyProtection="1">
      <alignment horizontal="right" vertical="center"/>
    </xf>
    <xf numFmtId="179" fontId="60" fillId="11" borderId="0" xfId="0" applyNumberFormat="1" applyFont="1" applyFill="1" applyAlignment="1" applyProtection="1">
      <alignment vertical="center"/>
      <protection locked="0"/>
    </xf>
    <xf numFmtId="0" fontId="60" fillId="0" borderId="0" xfId="0" applyFont="1" applyAlignment="1" applyProtection="1">
      <alignment vertical="center" wrapText="1"/>
      <protection locked="0"/>
    </xf>
    <xf numFmtId="179" fontId="60" fillId="0" borderId="0" xfId="0" applyNumberFormat="1" applyFont="1" applyAlignment="1" applyProtection="1">
      <alignment vertical="center"/>
      <protection locked="0"/>
    </xf>
    <xf numFmtId="0" fontId="8" fillId="0" borderId="0" xfId="0" applyFont="1" applyProtection="1">
      <alignment vertical="center"/>
      <protection locked="0"/>
    </xf>
    <xf numFmtId="0" fontId="8" fillId="0" borderId="0" xfId="0" applyFont="1" applyFill="1" applyProtection="1">
      <alignment vertical="center"/>
      <protection locked="0"/>
    </xf>
    <xf numFmtId="184" fontId="18" fillId="2" borderId="1" xfId="59" applyNumberFormat="1" applyFont="1" applyFill="1" applyBorder="1" applyAlignment="1" applyProtection="1">
      <alignment horizontal="center" vertical="center"/>
    </xf>
    <xf numFmtId="0" fontId="8" fillId="6" borderId="0" xfId="0" applyFont="1" applyFill="1" applyProtection="1">
      <alignment vertical="center"/>
      <protection locked="0"/>
    </xf>
    <xf numFmtId="0" fontId="8" fillId="2" borderId="30" xfId="0" applyFont="1" applyFill="1" applyBorder="1" applyProtection="1">
      <alignment vertical="center"/>
    </xf>
    <xf numFmtId="0" fontId="8" fillId="2" borderId="51" xfId="0" applyFont="1" applyFill="1" applyBorder="1" applyProtection="1">
      <alignment vertical="center"/>
    </xf>
    <xf numFmtId="0" fontId="20" fillId="2" borderId="7" xfId="0" applyFont="1" applyFill="1" applyBorder="1" applyAlignment="1" applyProtection="1">
      <alignment horizontal="center" vertical="center"/>
    </xf>
    <xf numFmtId="0" fontId="20" fillId="2" borderId="7" xfId="0" applyFont="1" applyFill="1" applyBorder="1" applyAlignment="1" applyProtection="1">
      <alignment vertical="center"/>
    </xf>
    <xf numFmtId="0" fontId="8" fillId="2" borderId="20" xfId="0" applyFont="1" applyFill="1" applyBorder="1" applyProtection="1">
      <alignment vertical="center"/>
    </xf>
    <xf numFmtId="0" fontId="20" fillId="2" borderId="13" xfId="0" applyFont="1" applyFill="1" applyBorder="1" applyAlignment="1" applyProtection="1">
      <alignment horizontal="center" vertical="center"/>
    </xf>
    <xf numFmtId="0" fontId="20" fillId="2" borderId="56" xfId="0" applyFont="1" applyFill="1" applyBorder="1" applyAlignment="1" applyProtection="1">
      <alignment horizontal="center" vertical="center"/>
    </xf>
    <xf numFmtId="184" fontId="18" fillId="2" borderId="12" xfId="59" applyNumberFormat="1" applyFont="1" applyFill="1" applyBorder="1" applyAlignment="1" applyProtection="1">
      <alignment horizontal="center" vertical="center"/>
    </xf>
    <xf numFmtId="0" fontId="8" fillId="2" borderId="32" xfId="0" applyFont="1" applyFill="1" applyBorder="1" applyProtection="1">
      <alignment vertical="center"/>
    </xf>
    <xf numFmtId="0" fontId="8" fillId="2" borderId="20" xfId="0" applyFont="1" applyFill="1" applyBorder="1" applyAlignment="1" applyProtection="1">
      <alignment vertical="center"/>
    </xf>
    <xf numFmtId="0" fontId="8" fillId="2" borderId="1" xfId="0" applyFont="1" applyFill="1" applyBorder="1" applyAlignment="1" applyProtection="1">
      <alignment vertical="center"/>
    </xf>
    <xf numFmtId="184" fontId="8" fillId="2" borderId="17" xfId="0" applyNumberFormat="1" applyFont="1" applyFill="1" applyBorder="1" applyAlignment="1" applyProtection="1">
      <alignment vertical="center"/>
    </xf>
    <xf numFmtId="0" fontId="8" fillId="2" borderId="35" xfId="0" applyFont="1" applyFill="1" applyBorder="1" applyAlignment="1" applyProtection="1">
      <alignment vertical="center"/>
    </xf>
    <xf numFmtId="0" fontId="8" fillId="2" borderId="31" xfId="0" applyFont="1" applyFill="1" applyBorder="1" applyProtection="1">
      <alignment vertical="center"/>
    </xf>
    <xf numFmtId="0" fontId="8" fillId="2" borderId="7" xfId="0" applyFont="1" applyFill="1" applyBorder="1" applyProtection="1">
      <alignment vertical="center"/>
    </xf>
    <xf numFmtId="0" fontId="8" fillId="2" borderId="30" xfId="0" applyFont="1" applyFill="1" applyBorder="1" applyAlignment="1" applyProtection="1">
      <alignment horizontal="center" vertical="center"/>
    </xf>
    <xf numFmtId="0" fontId="8" fillId="2" borderId="51" xfId="0" applyFont="1" applyFill="1" applyBorder="1" applyAlignment="1" applyProtection="1">
      <alignment horizontal="center" vertical="center"/>
    </xf>
    <xf numFmtId="0" fontId="8" fillId="2" borderId="13" xfId="0" applyFont="1" applyFill="1" applyBorder="1" applyAlignment="1" applyProtection="1">
      <alignment horizontal="center" vertical="center"/>
    </xf>
    <xf numFmtId="184" fontId="20" fillId="2" borderId="12" xfId="59" applyNumberFormat="1" applyFont="1" applyFill="1" applyBorder="1" applyAlignment="1" applyProtection="1">
      <alignment horizontal="center" vertical="center"/>
    </xf>
    <xf numFmtId="0" fontId="8" fillId="2" borderId="37" xfId="0" applyFont="1" applyFill="1" applyBorder="1" applyProtection="1">
      <alignment vertical="center"/>
    </xf>
    <xf numFmtId="0" fontId="8" fillId="2" borderId="49" xfId="0" applyFont="1" applyFill="1" applyBorder="1" applyProtection="1">
      <alignment vertical="center"/>
    </xf>
    <xf numFmtId="0" fontId="8" fillId="2" borderId="7" xfId="0" applyFont="1" applyFill="1" applyBorder="1" applyAlignment="1" applyProtection="1">
      <alignment vertical="center"/>
    </xf>
    <xf numFmtId="0" fontId="8" fillId="2" borderId="17" xfId="0" applyFont="1" applyFill="1" applyBorder="1" applyAlignment="1" applyProtection="1">
      <alignment vertical="center"/>
    </xf>
    <xf numFmtId="0" fontId="8" fillId="6" borderId="0" xfId="0" applyFont="1" applyFill="1" applyBorder="1" applyProtection="1">
      <alignment vertical="center"/>
      <protection locked="0"/>
    </xf>
    <xf numFmtId="0" fontId="8" fillId="2" borderId="31" xfId="0" applyFont="1" applyFill="1" applyBorder="1" applyAlignment="1" applyProtection="1">
      <alignment vertical="center"/>
    </xf>
    <xf numFmtId="0" fontId="8" fillId="2" borderId="58" xfId="0" applyFont="1" applyFill="1" applyBorder="1" applyAlignment="1" applyProtection="1">
      <alignment vertical="center"/>
    </xf>
    <xf numFmtId="0" fontId="8" fillId="0" borderId="17" xfId="0" applyFont="1" applyFill="1" applyBorder="1" applyAlignment="1" applyProtection="1">
      <alignment vertical="center"/>
      <protection locked="0"/>
    </xf>
    <xf numFmtId="0" fontId="8" fillId="2" borderId="21" xfId="0" applyFont="1" applyFill="1" applyBorder="1" applyAlignment="1" applyProtection="1">
      <alignment vertical="center"/>
    </xf>
    <xf numFmtId="0" fontId="20" fillId="2" borderId="30" xfId="0" applyFont="1" applyFill="1" applyBorder="1" applyProtection="1">
      <alignment vertical="center"/>
    </xf>
    <xf numFmtId="0" fontId="8" fillId="2" borderId="63" xfId="0" applyFont="1" applyFill="1" applyBorder="1" applyProtection="1">
      <alignment vertical="center"/>
    </xf>
    <xf numFmtId="0" fontId="20" fillId="2" borderId="63" xfId="0" applyFont="1" applyFill="1" applyBorder="1" applyAlignment="1" applyProtection="1">
      <alignment horizontal="center" vertical="center"/>
    </xf>
    <xf numFmtId="184" fontId="18" fillId="2" borderId="73" xfId="59" applyNumberFormat="1" applyFont="1" applyFill="1" applyBorder="1" applyAlignment="1" applyProtection="1">
      <alignment horizontal="center" vertical="center"/>
    </xf>
    <xf numFmtId="184" fontId="18" fillId="2" borderId="51" xfId="59" applyNumberFormat="1" applyFont="1" applyFill="1" applyBorder="1" applyAlignment="1" applyProtection="1">
      <alignment horizontal="center" vertical="center"/>
    </xf>
    <xf numFmtId="184" fontId="18" fillId="2" borderId="52" xfId="59" applyNumberFormat="1" applyFont="1" applyFill="1" applyBorder="1" applyAlignment="1" applyProtection="1">
      <alignment horizontal="center" vertical="center"/>
    </xf>
    <xf numFmtId="0" fontId="20" fillId="2" borderId="129" xfId="0" applyFont="1" applyFill="1" applyBorder="1" applyAlignment="1" applyProtection="1">
      <alignment horizontal="right" vertical="center"/>
    </xf>
    <xf numFmtId="0" fontId="8" fillId="2" borderId="60" xfId="0" applyFont="1" applyFill="1" applyBorder="1" applyAlignment="1" applyProtection="1">
      <alignment vertical="center"/>
    </xf>
    <xf numFmtId="0" fontId="8" fillId="2" borderId="0" xfId="0" applyFont="1" applyFill="1" applyBorder="1" applyAlignment="1" applyProtection="1">
      <alignment vertical="center"/>
    </xf>
    <xf numFmtId="0" fontId="20" fillId="2" borderId="60" xfId="0" applyFont="1" applyFill="1" applyBorder="1" applyAlignment="1" applyProtection="1">
      <alignment horizontal="center" vertical="center"/>
    </xf>
    <xf numFmtId="184" fontId="13" fillId="2" borderId="60" xfId="59" applyNumberFormat="1" applyFont="1" applyFill="1" applyBorder="1" applyAlignment="1" applyProtection="1">
      <alignment horizontal="center" vertical="center"/>
    </xf>
    <xf numFmtId="0" fontId="8" fillId="2" borderId="43" xfId="0" applyFont="1" applyFill="1" applyBorder="1" applyAlignment="1" applyProtection="1">
      <alignment horizontal="center" vertical="center"/>
    </xf>
    <xf numFmtId="0" fontId="8" fillId="2" borderId="42" xfId="0" applyFont="1" applyFill="1" applyBorder="1" applyAlignment="1" applyProtection="1">
      <alignment horizontal="center" vertical="center"/>
    </xf>
    <xf numFmtId="0" fontId="8" fillId="2" borderId="15" xfId="0" applyFont="1" applyFill="1" applyBorder="1" applyProtection="1">
      <alignment vertical="center"/>
    </xf>
    <xf numFmtId="181" fontId="95" fillId="0" borderId="1" xfId="59" applyNumberFormat="1" applyFont="1" applyFill="1" applyBorder="1" applyAlignment="1" applyProtection="1">
      <alignment vertical="center"/>
      <protection locked="0" hidden="1"/>
    </xf>
    <xf numFmtId="184" fontId="8" fillId="2" borderId="1" xfId="0" applyNumberFormat="1" applyFont="1" applyFill="1" applyBorder="1" applyAlignment="1" applyProtection="1">
      <alignment vertical="center"/>
    </xf>
    <xf numFmtId="0" fontId="60" fillId="0" borderId="4" xfId="0" applyFont="1" applyFill="1" applyBorder="1" applyProtection="1">
      <alignment vertical="center"/>
      <protection locked="0"/>
    </xf>
    <xf numFmtId="0" fontId="60" fillId="0" borderId="17" xfId="0" applyFont="1" applyFill="1" applyBorder="1" applyProtection="1">
      <alignment vertical="center"/>
      <protection locked="0"/>
    </xf>
    <xf numFmtId="0" fontId="8" fillId="2" borderId="15" xfId="0" applyFont="1" applyFill="1" applyBorder="1" applyAlignment="1" applyProtection="1">
      <alignment vertical="center"/>
    </xf>
    <xf numFmtId="181" fontId="60" fillId="0" borderId="1" xfId="59" applyNumberFormat="1" applyFont="1" applyFill="1" applyBorder="1" applyAlignment="1" applyProtection="1">
      <alignment vertical="center"/>
      <protection locked="0" hidden="1"/>
    </xf>
    <xf numFmtId="181" fontId="8" fillId="0" borderId="1" xfId="59" applyNumberFormat="1" applyFont="1" applyFill="1" applyBorder="1" applyAlignment="1" applyProtection="1">
      <alignment vertical="center"/>
      <protection locked="0"/>
    </xf>
    <xf numFmtId="0" fontId="8" fillId="0" borderId="22" xfId="0" applyFont="1" applyFill="1" applyBorder="1" applyProtection="1">
      <alignment vertical="center"/>
      <protection locked="0"/>
    </xf>
    <xf numFmtId="0" fontId="8" fillId="0" borderId="21" xfId="0" applyFont="1" applyFill="1" applyBorder="1" applyProtection="1">
      <alignment vertical="center"/>
      <protection locked="0"/>
    </xf>
    <xf numFmtId="181" fontId="8" fillId="0" borderId="4" xfId="59" applyNumberFormat="1" applyFont="1" applyFill="1" applyBorder="1" applyAlignment="1" applyProtection="1">
      <alignment vertical="center"/>
      <protection locked="0"/>
    </xf>
    <xf numFmtId="184" fontId="20" fillId="2" borderId="1" xfId="0" applyNumberFormat="1" applyFont="1" applyFill="1" applyBorder="1" applyAlignment="1" applyProtection="1">
      <alignment vertical="center"/>
    </xf>
    <xf numFmtId="184" fontId="20" fillId="2" borderId="1" xfId="0" applyNumberFormat="1" applyFont="1" applyFill="1" applyBorder="1" applyAlignment="1" applyProtection="1">
      <alignment horizontal="center" vertical="center"/>
    </xf>
    <xf numFmtId="184" fontId="20" fillId="2" borderId="17" xfId="0" applyNumberFormat="1" applyFont="1" applyFill="1" applyBorder="1" applyAlignment="1" applyProtection="1">
      <alignment vertical="center"/>
    </xf>
    <xf numFmtId="184" fontId="20" fillId="2" borderId="48" xfId="0" applyNumberFormat="1" applyFont="1" applyFill="1" applyBorder="1" applyAlignment="1" applyProtection="1">
      <alignment vertical="center"/>
    </xf>
    <xf numFmtId="0" fontId="8" fillId="2" borderId="59" xfId="0" applyFont="1" applyFill="1" applyBorder="1" applyProtection="1">
      <alignment vertical="center"/>
    </xf>
    <xf numFmtId="0" fontId="8" fillId="2" borderId="22" xfId="0" applyFont="1" applyFill="1" applyBorder="1" applyProtection="1">
      <alignment vertical="center"/>
    </xf>
    <xf numFmtId="0" fontId="8" fillId="2" borderId="21" xfId="0" applyFont="1" applyFill="1" applyBorder="1" applyProtection="1">
      <alignment vertical="center"/>
    </xf>
    <xf numFmtId="0" fontId="20" fillId="2" borderId="22" xfId="0" applyFont="1" applyFill="1" applyBorder="1" applyAlignment="1" applyProtection="1">
      <alignment horizontal="left" vertical="center"/>
    </xf>
    <xf numFmtId="0" fontId="8" fillId="2" borderId="18" xfId="0" applyFont="1" applyFill="1" applyBorder="1" applyAlignment="1" applyProtection="1">
      <alignment vertical="center"/>
    </xf>
    <xf numFmtId="0" fontId="8" fillId="2" borderId="36" xfId="0" applyFont="1" applyFill="1" applyBorder="1" applyProtection="1">
      <alignment vertical="center"/>
    </xf>
    <xf numFmtId="179" fontId="20" fillId="2" borderId="49" xfId="0" applyNumberFormat="1" applyFont="1" applyFill="1" applyBorder="1" applyAlignment="1" applyProtection="1">
      <alignment vertical="center"/>
    </xf>
    <xf numFmtId="179" fontId="20" fillId="2" borderId="8" xfId="0" applyNumberFormat="1" applyFont="1" applyFill="1" applyBorder="1" applyAlignment="1" applyProtection="1">
      <alignment vertical="center"/>
    </xf>
    <xf numFmtId="179" fontId="20" fillId="2" borderId="38" xfId="0" applyNumberFormat="1" applyFont="1" applyFill="1" applyBorder="1" applyAlignment="1" applyProtection="1">
      <alignment vertical="center"/>
    </xf>
    <xf numFmtId="0" fontId="8" fillId="2" borderId="60" xfId="0" applyFont="1" applyFill="1" applyBorder="1" applyProtection="1">
      <alignment vertical="center"/>
    </xf>
    <xf numFmtId="179" fontId="8" fillId="2" borderId="60" xfId="0" applyNumberFormat="1" applyFont="1" applyFill="1" applyBorder="1" applyProtection="1">
      <alignment vertical="center"/>
    </xf>
    <xf numFmtId="184" fontId="8" fillId="0" borderId="0" xfId="0" applyNumberFormat="1" applyFont="1" applyProtection="1">
      <alignment vertical="center"/>
      <protection locked="0"/>
    </xf>
    <xf numFmtId="0" fontId="8" fillId="2" borderId="17" xfId="0" applyFont="1" applyFill="1" applyBorder="1" applyAlignment="1" applyProtection="1">
      <alignment horizontal="center" vertical="center"/>
    </xf>
    <xf numFmtId="0" fontId="8" fillId="2" borderId="21" xfId="0" applyFont="1" applyFill="1" applyBorder="1" applyAlignment="1" applyProtection="1">
      <alignment horizontal="center" vertical="center"/>
    </xf>
    <xf numFmtId="0" fontId="8" fillId="0" borderId="38" xfId="0" applyFont="1" applyFill="1" applyBorder="1" applyAlignment="1" applyProtection="1">
      <alignment horizontal="center" vertical="center"/>
      <protection locked="0"/>
    </xf>
    <xf numFmtId="0" fontId="8" fillId="2" borderId="52" xfId="0" applyFont="1" applyFill="1" applyBorder="1" applyProtection="1">
      <alignment vertical="center"/>
    </xf>
    <xf numFmtId="0" fontId="20" fillId="2" borderId="29" xfId="0" applyFont="1" applyFill="1" applyBorder="1" applyAlignment="1" applyProtection="1">
      <alignment horizontal="center" vertical="center"/>
    </xf>
    <xf numFmtId="0" fontId="20" fillId="2" borderId="39" xfId="0" applyFont="1" applyFill="1" applyBorder="1" applyAlignment="1" applyProtection="1">
      <alignment horizontal="center" vertical="center"/>
    </xf>
    <xf numFmtId="179" fontId="20" fillId="3" borderId="17" xfId="0" applyNumberFormat="1" applyFont="1" applyFill="1" applyBorder="1" applyAlignment="1" applyProtection="1">
      <alignment horizontal="center" vertical="center"/>
      <protection locked="0"/>
    </xf>
    <xf numFmtId="0" fontId="8" fillId="2" borderId="11" xfId="0" applyFont="1" applyFill="1" applyBorder="1" applyAlignment="1" applyProtection="1">
      <alignment horizontal="center" vertical="center"/>
    </xf>
    <xf numFmtId="0" fontId="8" fillId="2" borderId="56" xfId="0" applyFont="1" applyFill="1" applyBorder="1" applyAlignment="1" applyProtection="1">
      <alignment horizontal="center" vertical="center"/>
    </xf>
    <xf numFmtId="0" fontId="8" fillId="2" borderId="12" xfId="0" applyFont="1" applyFill="1" applyBorder="1" applyAlignment="1" applyProtection="1">
      <alignment horizontal="center" vertical="center"/>
    </xf>
    <xf numFmtId="179" fontId="8" fillId="2" borderId="17" xfId="0" applyNumberFormat="1" applyFont="1" applyFill="1" applyBorder="1" applyAlignment="1" applyProtection="1">
      <alignment horizontal="center" vertical="center"/>
    </xf>
    <xf numFmtId="0" fontId="8" fillId="2" borderId="16" xfId="0" applyFont="1" applyFill="1" applyBorder="1" applyProtection="1">
      <alignment vertical="center"/>
    </xf>
    <xf numFmtId="0" fontId="8" fillId="2" borderId="17" xfId="0" applyFont="1" applyFill="1" applyBorder="1" applyProtection="1">
      <alignment vertical="center"/>
    </xf>
    <xf numFmtId="0" fontId="8" fillId="0" borderId="16" xfId="0" applyFont="1" applyBorder="1" applyProtection="1">
      <alignment vertical="center"/>
      <protection locked="0"/>
    </xf>
    <xf numFmtId="0" fontId="8" fillId="0" borderId="1" xfId="0" applyFont="1" applyBorder="1" applyProtection="1">
      <alignment vertical="center"/>
      <protection locked="0"/>
    </xf>
    <xf numFmtId="0" fontId="8" fillId="0" borderId="20" xfId="0" applyFont="1" applyBorder="1" applyProtection="1">
      <alignment vertical="center"/>
      <protection locked="0"/>
    </xf>
    <xf numFmtId="0" fontId="8" fillId="0" borderId="7" xfId="0" applyFont="1" applyBorder="1" applyProtection="1">
      <alignment vertical="center"/>
      <protection locked="0"/>
    </xf>
    <xf numFmtId="184" fontId="20" fillId="2" borderId="69" xfId="0" applyNumberFormat="1" applyFont="1" applyFill="1" applyBorder="1" applyAlignment="1" applyProtection="1">
      <alignment vertical="center"/>
    </xf>
    <xf numFmtId="0" fontId="20" fillId="2" borderId="48" xfId="0" applyFont="1" applyFill="1" applyBorder="1" applyProtection="1">
      <alignment vertical="center"/>
    </xf>
    <xf numFmtId="0" fontId="20" fillId="2" borderId="8" xfId="0" applyFont="1" applyFill="1" applyBorder="1" applyProtection="1">
      <alignment vertical="center"/>
    </xf>
    <xf numFmtId="0" fontId="20" fillId="2" borderId="38" xfId="0" applyFont="1" applyFill="1" applyBorder="1" applyProtection="1">
      <alignment vertical="center"/>
    </xf>
    <xf numFmtId="0" fontId="8" fillId="2" borderId="38" xfId="0" applyFont="1" applyFill="1" applyBorder="1" applyProtection="1">
      <alignment vertical="center"/>
    </xf>
    <xf numFmtId="0" fontId="8" fillId="2" borderId="2" xfId="0" applyFont="1" applyFill="1" applyBorder="1" applyProtection="1">
      <alignment vertical="center"/>
    </xf>
    <xf numFmtId="184" fontId="8" fillId="2" borderId="1" xfId="0" applyNumberFormat="1" applyFont="1" applyFill="1" applyBorder="1" applyProtection="1">
      <alignment vertical="center"/>
    </xf>
    <xf numFmtId="0" fontId="0" fillId="0" borderId="0" xfId="0" applyAlignment="1">
      <alignment vertical="center" wrapText="1"/>
    </xf>
    <xf numFmtId="0" fontId="108" fillId="0" borderId="1" xfId="0" applyFont="1" applyFill="1" applyBorder="1" applyAlignment="1" applyProtection="1">
      <alignment horizontal="center" vertical="center" wrapText="1"/>
    </xf>
    <xf numFmtId="0" fontId="109" fillId="0" borderId="1" xfId="0" applyFont="1" applyBorder="1" applyAlignment="1">
      <alignment horizontal="center" vertical="center" wrapText="1"/>
    </xf>
    <xf numFmtId="0" fontId="109" fillId="0" borderId="1" xfId="0" applyFont="1" applyBorder="1" applyAlignment="1">
      <alignment vertical="center" wrapText="1"/>
    </xf>
    <xf numFmtId="0" fontId="60" fillId="0" borderId="0" xfId="0" applyFont="1" applyAlignment="1" applyProtection="1">
      <alignment horizontal="center" vertical="center" wrapText="1"/>
    </xf>
    <xf numFmtId="0" fontId="60" fillId="0" borderId="0" xfId="0" applyFont="1" applyFill="1" applyAlignment="1" applyProtection="1">
      <alignment horizontal="center" vertical="center" wrapText="1"/>
    </xf>
    <xf numFmtId="184" fontId="60" fillId="0" borderId="0" xfId="0" applyNumberFormat="1" applyFont="1" applyAlignment="1" applyProtection="1">
      <alignment horizontal="center" vertical="center" wrapText="1"/>
    </xf>
    <xf numFmtId="0" fontId="8" fillId="0" borderId="0" xfId="0" applyFont="1" applyFill="1" applyAlignment="1" applyProtection="1">
      <alignment horizontal="center" vertical="center" wrapText="1"/>
    </xf>
    <xf numFmtId="0" fontId="10" fillId="0" borderId="0" xfId="0" applyFont="1" applyAlignment="1" applyProtection="1">
      <alignment horizontal="center" vertical="center" wrapText="1"/>
    </xf>
    <xf numFmtId="0" fontId="8" fillId="0" borderId="0" xfId="0" applyFont="1" applyAlignment="1" applyProtection="1">
      <alignment horizontal="center" vertical="center" wrapText="1"/>
    </xf>
    <xf numFmtId="0" fontId="93" fillId="2" borderId="0" xfId="0" applyFont="1" applyFill="1" applyAlignment="1" applyProtection="1">
      <alignment horizontal="left" vertical="center"/>
    </xf>
    <xf numFmtId="0" fontId="8" fillId="2" borderId="0" xfId="0" applyFont="1" applyFill="1" applyAlignment="1" applyProtection="1">
      <alignment horizontal="center" vertical="center" wrapText="1"/>
    </xf>
    <xf numFmtId="0" fontId="60" fillId="2" borderId="0" xfId="0" applyFont="1" applyFill="1" applyAlignment="1" applyProtection="1">
      <alignment horizontal="center" vertical="center" wrapText="1"/>
    </xf>
    <xf numFmtId="179" fontId="60" fillId="0" borderId="1" xfId="0" applyNumberFormat="1" applyFont="1" applyBorder="1" applyAlignment="1" applyProtection="1">
      <alignment horizontal="center" vertical="center" wrapText="1"/>
      <protection locked="0"/>
    </xf>
    <xf numFmtId="179" fontId="6" fillId="2" borderId="1" xfId="0" applyNumberFormat="1" applyFont="1" applyFill="1" applyBorder="1" applyAlignment="1" applyProtection="1">
      <alignment horizontal="center" vertical="center" wrapText="1"/>
    </xf>
    <xf numFmtId="0" fontId="60" fillId="3" borderId="1" xfId="0" applyFont="1" applyFill="1" applyBorder="1" applyAlignment="1" applyProtection="1">
      <alignment horizontal="center" vertical="center" wrapText="1"/>
      <protection locked="0"/>
    </xf>
    <xf numFmtId="0" fontId="61" fillId="2" borderId="50" xfId="0" applyFont="1" applyFill="1" applyBorder="1" applyAlignment="1" applyProtection="1">
      <alignment horizontal="left" vertical="center"/>
    </xf>
    <xf numFmtId="179" fontId="60" fillId="2" borderId="0" xfId="0" applyNumberFormat="1" applyFont="1" applyFill="1" applyBorder="1" applyAlignment="1" applyProtection="1">
      <alignment horizontal="center" vertical="center" wrapText="1"/>
    </xf>
    <xf numFmtId="179" fontId="61" fillId="2" borderId="0" xfId="0" applyNumberFormat="1" applyFont="1" applyFill="1" applyBorder="1" applyAlignment="1" applyProtection="1">
      <alignment horizontal="center" vertical="center" wrapText="1"/>
    </xf>
    <xf numFmtId="184" fontId="60" fillId="2" borderId="1" xfId="0" applyNumberFormat="1" applyFont="1" applyFill="1" applyBorder="1" applyAlignment="1" applyProtection="1">
      <alignment horizontal="center" vertical="center" wrapText="1"/>
    </xf>
    <xf numFmtId="184" fontId="60" fillId="2" borderId="3" xfId="0" applyNumberFormat="1" applyFont="1" applyFill="1" applyBorder="1" applyAlignment="1" applyProtection="1">
      <alignment horizontal="center" vertical="center" wrapText="1"/>
    </xf>
    <xf numFmtId="184" fontId="60" fillId="2" borderId="4" xfId="0" applyNumberFormat="1" applyFont="1" applyFill="1" applyBorder="1" applyAlignment="1" applyProtection="1">
      <alignment horizontal="center" vertical="center" wrapText="1"/>
    </xf>
    <xf numFmtId="184" fontId="60" fillId="2" borderId="7" xfId="0" applyNumberFormat="1" applyFont="1" applyFill="1" applyBorder="1" applyAlignment="1" applyProtection="1">
      <alignment horizontal="center" vertical="center" wrapText="1"/>
    </xf>
    <xf numFmtId="0" fontId="60" fillId="2" borderId="57" xfId="0" applyFont="1" applyFill="1" applyBorder="1" applyAlignment="1" applyProtection="1">
      <alignment horizontal="center" vertical="center" wrapText="1"/>
    </xf>
    <xf numFmtId="0" fontId="60" fillId="2" borderId="6" xfId="0" applyFont="1" applyFill="1" applyBorder="1" applyAlignment="1" applyProtection="1">
      <alignment horizontal="center" vertical="center" wrapText="1"/>
    </xf>
    <xf numFmtId="0" fontId="60" fillId="2" borderId="57" xfId="0" applyFont="1" applyFill="1" applyBorder="1" applyAlignment="1" applyProtection="1">
      <alignment horizontal="center" vertical="center"/>
    </xf>
    <xf numFmtId="0" fontId="60" fillId="2" borderId="5" xfId="0" applyFont="1" applyFill="1" applyBorder="1" applyAlignment="1" applyProtection="1">
      <alignment horizontal="center" vertical="center"/>
    </xf>
    <xf numFmtId="179" fontId="60" fillId="2" borderId="2" xfId="0" applyNumberFormat="1" applyFont="1" applyFill="1" applyBorder="1" applyAlignment="1" applyProtection="1">
      <alignment horizontal="left" vertical="center"/>
    </xf>
    <xf numFmtId="179" fontId="60" fillId="2" borderId="0" xfId="0" applyNumberFormat="1" applyFont="1" applyFill="1" applyBorder="1" applyAlignment="1" applyProtection="1">
      <alignment horizontal="center" vertical="center"/>
    </xf>
    <xf numFmtId="0" fontId="60" fillId="2" borderId="45" xfId="0" applyFont="1" applyFill="1" applyBorder="1" applyAlignment="1" applyProtection="1">
      <alignment horizontal="center" vertical="center"/>
    </xf>
    <xf numFmtId="179" fontId="60" fillId="2" borderId="45" xfId="0" applyNumberFormat="1" applyFont="1" applyFill="1" applyBorder="1" applyAlignment="1" applyProtection="1">
      <alignment horizontal="center" vertical="center"/>
    </xf>
    <xf numFmtId="0" fontId="60" fillId="2" borderId="50" xfId="0" applyFont="1" applyFill="1" applyBorder="1" applyAlignment="1" applyProtection="1">
      <alignment horizontal="center" vertical="center" wrapText="1"/>
    </xf>
    <xf numFmtId="179" fontId="60" fillId="2" borderId="43" xfId="0" applyNumberFormat="1" applyFont="1" applyFill="1" applyBorder="1" applyAlignment="1" applyProtection="1">
      <alignment horizontal="center" vertical="center" wrapText="1"/>
    </xf>
    <xf numFmtId="0" fontId="60" fillId="0" borderId="1" xfId="0" applyFont="1" applyBorder="1" applyAlignment="1" applyProtection="1">
      <alignment horizontal="center" vertical="center" wrapText="1"/>
      <protection locked="0"/>
    </xf>
    <xf numFmtId="0" fontId="60" fillId="3" borderId="60" xfId="0" applyFont="1" applyFill="1" applyBorder="1" applyAlignment="1" applyProtection="1">
      <alignment horizontal="center" vertical="center" wrapText="1"/>
      <protection locked="0"/>
    </xf>
    <xf numFmtId="184" fontId="60" fillId="0" borderId="60" xfId="0" applyNumberFormat="1" applyFont="1" applyFill="1" applyBorder="1" applyAlignment="1" applyProtection="1">
      <alignment horizontal="center" vertical="center" wrapText="1"/>
      <protection locked="0"/>
    </xf>
    <xf numFmtId="184" fontId="60" fillId="2" borderId="60" xfId="0" applyNumberFormat="1" applyFont="1" applyFill="1" applyBorder="1" applyAlignment="1" applyProtection="1">
      <alignment horizontal="center" vertical="center" wrapText="1"/>
    </xf>
    <xf numFmtId="0" fontId="60" fillId="0" borderId="1" xfId="0" applyFont="1" applyBorder="1" applyAlignment="1" applyProtection="1">
      <alignment vertical="center" wrapText="1"/>
      <protection locked="0"/>
    </xf>
    <xf numFmtId="0" fontId="8" fillId="0" borderId="1" xfId="0" applyFont="1" applyBorder="1" applyAlignment="1" applyProtection="1">
      <alignment horizontal="center" vertical="center" wrapText="1"/>
      <protection locked="0"/>
    </xf>
    <xf numFmtId="0" fontId="8" fillId="0" borderId="60" xfId="0" applyFont="1" applyBorder="1" applyAlignment="1" applyProtection="1">
      <alignment horizontal="center" vertical="center" wrapText="1"/>
      <protection locked="0"/>
    </xf>
    <xf numFmtId="0" fontId="8" fillId="7" borderId="60" xfId="0" applyFont="1" applyFill="1" applyBorder="1" applyAlignment="1" applyProtection="1">
      <alignment horizontal="center" vertical="center" wrapText="1"/>
      <protection locked="0"/>
    </xf>
    <xf numFmtId="184" fontId="8" fillId="2" borderId="1" xfId="0" applyNumberFormat="1" applyFont="1" applyFill="1" applyBorder="1" applyAlignment="1" applyProtection="1">
      <alignment horizontal="center" vertical="center" wrapText="1"/>
    </xf>
    <xf numFmtId="184" fontId="8" fillId="0" borderId="60" xfId="0" applyNumberFormat="1" applyFont="1" applyFill="1" applyBorder="1" applyAlignment="1" applyProtection="1">
      <alignment horizontal="center" vertical="center" wrapText="1"/>
      <protection locked="0"/>
    </xf>
    <xf numFmtId="184" fontId="8" fillId="2" borderId="60" xfId="0" applyNumberFormat="1" applyFont="1" applyFill="1" applyBorder="1" applyAlignment="1" applyProtection="1">
      <alignment horizontal="center" vertical="center" wrapText="1"/>
    </xf>
    <xf numFmtId="184" fontId="8" fillId="2" borderId="7" xfId="0" applyNumberFormat="1" applyFont="1" applyFill="1" applyBorder="1" applyAlignment="1" applyProtection="1">
      <alignment horizontal="center" vertical="center" wrapText="1"/>
    </xf>
    <xf numFmtId="0" fontId="61" fillId="2" borderId="3" xfId="0" applyFont="1" applyFill="1" applyBorder="1" applyAlignment="1" applyProtection="1">
      <alignment horizontal="center" vertical="center"/>
    </xf>
    <xf numFmtId="0" fontId="60" fillId="3" borderId="50" xfId="0" applyFont="1" applyFill="1" applyBorder="1" applyAlignment="1" applyProtection="1">
      <alignment horizontal="left" vertical="center"/>
      <protection locked="0"/>
    </xf>
    <xf numFmtId="0" fontId="60" fillId="3" borderId="2" xfId="0" applyFont="1" applyFill="1" applyBorder="1" applyAlignment="1" applyProtection="1">
      <alignment horizontal="left" vertical="center"/>
      <protection locked="0"/>
    </xf>
    <xf numFmtId="0" fontId="60" fillId="3" borderId="3" xfId="0" applyFont="1" applyFill="1" applyBorder="1" applyAlignment="1" applyProtection="1">
      <alignment horizontal="left" vertical="center"/>
      <protection locked="0"/>
    </xf>
    <xf numFmtId="0" fontId="61" fillId="2" borderId="4" xfId="0" applyFont="1" applyFill="1" applyBorder="1" applyAlignment="1" applyProtection="1">
      <alignment horizontal="left" vertical="center"/>
    </xf>
    <xf numFmtId="184" fontId="60" fillId="0" borderId="1" xfId="0" applyNumberFormat="1" applyFont="1" applyBorder="1" applyAlignment="1" applyProtection="1">
      <alignment vertical="center" wrapText="1"/>
      <protection locked="0"/>
    </xf>
    <xf numFmtId="184" fontId="8" fillId="0" borderId="1" xfId="0" applyNumberFormat="1" applyFont="1" applyBorder="1" applyAlignment="1" applyProtection="1">
      <alignment vertical="center" wrapText="1"/>
      <protection locked="0"/>
    </xf>
    <xf numFmtId="179" fontId="60" fillId="2" borderId="3" xfId="0" applyNumberFormat="1" applyFont="1" applyFill="1" applyBorder="1" applyAlignment="1" applyProtection="1">
      <alignment horizontal="center" vertical="center"/>
    </xf>
    <xf numFmtId="0" fontId="61" fillId="2" borderId="3" xfId="0" applyFont="1" applyFill="1" applyBorder="1" applyAlignment="1" applyProtection="1">
      <alignment horizontal="left" vertical="center"/>
    </xf>
    <xf numFmtId="179" fontId="60" fillId="2" borderId="4" xfId="0" applyNumberFormat="1" applyFont="1" applyFill="1" applyBorder="1" applyAlignment="1" applyProtection="1">
      <alignment horizontal="center" vertical="center"/>
    </xf>
    <xf numFmtId="0" fontId="61" fillId="2" borderId="6" xfId="0" applyFont="1" applyFill="1" applyBorder="1" applyAlignment="1" applyProtection="1">
      <alignment horizontal="center" vertical="center"/>
    </xf>
    <xf numFmtId="0" fontId="60" fillId="2" borderId="6" xfId="0" applyFont="1" applyFill="1" applyBorder="1" applyAlignment="1" applyProtection="1">
      <alignment horizontal="center" vertical="center"/>
    </xf>
    <xf numFmtId="0" fontId="60" fillId="2" borderId="4" xfId="0" applyFont="1" applyFill="1" applyBorder="1" applyAlignment="1" applyProtection="1">
      <alignment horizontal="right" vertical="center"/>
    </xf>
    <xf numFmtId="0" fontId="67" fillId="2" borderId="2" xfId="0" applyFont="1" applyFill="1" applyBorder="1" applyAlignment="1" applyProtection="1">
      <alignment horizontal="left" vertical="center"/>
    </xf>
    <xf numFmtId="179" fontId="60" fillId="2" borderId="60" xfId="0" applyNumberFormat="1" applyFont="1" applyFill="1" applyBorder="1" applyAlignment="1" applyProtection="1">
      <alignment horizontal="center" vertical="center" wrapText="1"/>
    </xf>
    <xf numFmtId="184" fontId="60" fillId="0" borderId="1" xfId="0" applyNumberFormat="1" applyFont="1" applyBorder="1" applyAlignment="1" applyProtection="1">
      <alignment horizontal="center" vertical="center" wrapText="1"/>
      <protection locked="0"/>
    </xf>
    <xf numFmtId="184" fontId="8" fillId="0" borderId="1" xfId="0" applyNumberFormat="1" applyFont="1" applyBorder="1" applyAlignment="1" applyProtection="1">
      <alignment horizontal="center" vertical="center" wrapText="1"/>
      <protection locked="0"/>
    </xf>
    <xf numFmtId="0" fontId="110" fillId="2" borderId="4" xfId="0" applyFont="1" applyFill="1" applyBorder="1" applyAlignment="1" applyProtection="1">
      <alignment horizontal="right" vertical="center"/>
    </xf>
    <xf numFmtId="0" fontId="14" fillId="2" borderId="0" xfId="0" applyFont="1" applyFill="1" applyAlignment="1" applyProtection="1">
      <alignment horizontal="left" vertical="center"/>
    </xf>
    <xf numFmtId="184" fontId="60" fillId="2" borderId="2" xfId="0" applyNumberFormat="1" applyFont="1" applyFill="1" applyBorder="1" applyAlignment="1" applyProtection="1">
      <alignment horizontal="center" vertical="center" wrapText="1"/>
    </xf>
    <xf numFmtId="0" fontId="60" fillId="2" borderId="7" xfId="0" applyFont="1" applyFill="1" applyBorder="1" applyAlignment="1" applyProtection="1">
      <alignment horizontal="center" vertical="center" wrapText="1"/>
    </xf>
    <xf numFmtId="0" fontId="60" fillId="2" borderId="43" xfId="0" applyFont="1" applyFill="1" applyBorder="1" applyAlignment="1" applyProtection="1">
      <alignment horizontal="left" vertical="center"/>
    </xf>
    <xf numFmtId="179" fontId="60" fillId="2" borderId="50" xfId="0" applyNumberFormat="1" applyFont="1" applyFill="1" applyBorder="1" applyAlignment="1" applyProtection="1">
      <alignment horizontal="center" vertical="center" wrapText="1"/>
    </xf>
    <xf numFmtId="0" fontId="60" fillId="2" borderId="58" xfId="0" applyFont="1" applyFill="1" applyBorder="1" applyAlignment="1" applyProtection="1">
      <alignment horizontal="center" vertical="center" wrapText="1"/>
    </xf>
    <xf numFmtId="184" fontId="60" fillId="0" borderId="60" xfId="0" applyNumberFormat="1" applyFont="1" applyBorder="1" applyAlignment="1" applyProtection="1">
      <alignment horizontal="center" vertical="center" wrapText="1"/>
      <protection locked="0"/>
    </xf>
    <xf numFmtId="0" fontId="60" fillId="0" borderId="50" xfId="0" applyFont="1" applyBorder="1" applyAlignment="1" applyProtection="1">
      <alignment horizontal="center" vertical="center" wrapText="1"/>
      <protection locked="0"/>
    </xf>
    <xf numFmtId="184" fontId="8" fillId="0" borderId="60" xfId="0" applyNumberFormat="1" applyFont="1" applyBorder="1" applyAlignment="1" applyProtection="1">
      <alignment horizontal="center" vertical="center" wrapText="1"/>
      <protection locked="0"/>
    </xf>
    <xf numFmtId="0" fontId="8" fillId="0" borderId="50" xfId="0" applyFont="1" applyBorder="1" applyAlignment="1" applyProtection="1">
      <alignment horizontal="center" vertical="center" wrapText="1"/>
      <protection locked="0"/>
    </xf>
    <xf numFmtId="0" fontId="60" fillId="2" borderId="5"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protection locked="0"/>
    </xf>
    <xf numFmtId="0" fontId="60" fillId="4" borderId="2" xfId="0" applyFont="1" applyFill="1" applyBorder="1" applyAlignment="1" applyProtection="1">
      <alignment horizontal="center" vertical="center" wrapText="1"/>
      <protection locked="0"/>
    </xf>
    <xf numFmtId="184" fontId="60" fillId="0" borderId="1" xfId="0" applyNumberFormat="1" applyFont="1" applyFill="1" applyBorder="1" applyAlignment="1" applyProtection="1">
      <alignment horizontal="center" vertical="center" wrapText="1"/>
      <protection locked="0"/>
    </xf>
    <xf numFmtId="184" fontId="60" fillId="2" borderId="0" xfId="0" applyNumberFormat="1" applyFont="1" applyFill="1" applyAlignment="1" applyProtection="1">
      <alignment horizontal="center" vertical="center" wrapText="1"/>
    </xf>
    <xf numFmtId="0" fontId="60" fillId="2" borderId="11" xfId="0" applyFont="1" applyFill="1" applyBorder="1" applyAlignment="1" applyProtection="1">
      <alignment horizontal="center" vertical="center" wrapText="1"/>
    </xf>
    <xf numFmtId="184" fontId="60" fillId="2" borderId="56" xfId="0" applyNumberFormat="1" applyFont="1" applyFill="1" applyBorder="1" applyAlignment="1" applyProtection="1">
      <alignment horizontal="center" vertical="center" wrapText="1"/>
    </xf>
    <xf numFmtId="184" fontId="60" fillId="2" borderId="16" xfId="0" applyNumberFormat="1" applyFont="1" applyFill="1" applyBorder="1" applyAlignment="1" applyProtection="1">
      <alignment horizontal="center" vertical="center" wrapText="1"/>
    </xf>
    <xf numFmtId="179" fontId="60" fillId="2" borderId="50" xfId="0" applyNumberFormat="1" applyFont="1" applyFill="1" applyBorder="1" applyAlignment="1" applyProtection="1">
      <alignment horizontal="center" vertical="center"/>
    </xf>
    <xf numFmtId="0" fontId="61" fillId="2" borderId="47" xfId="0" applyFont="1" applyFill="1" applyBorder="1" applyAlignment="1" applyProtection="1">
      <alignment horizontal="center" vertical="center"/>
    </xf>
    <xf numFmtId="0" fontId="60" fillId="2" borderId="43" xfId="0" applyFont="1" applyFill="1" applyBorder="1" applyAlignment="1" applyProtection="1">
      <alignment horizontal="center" vertical="center"/>
    </xf>
    <xf numFmtId="0" fontId="60" fillId="2" borderId="45" xfId="0" applyFont="1" applyFill="1" applyBorder="1" applyAlignment="1" applyProtection="1">
      <alignment horizontal="center" vertical="center" wrapText="1"/>
    </xf>
    <xf numFmtId="179" fontId="60" fillId="2" borderId="1" xfId="0" applyNumberFormat="1" applyFont="1" applyFill="1" applyBorder="1" applyAlignment="1" applyProtection="1">
      <alignment horizontal="center" vertical="center"/>
    </xf>
    <xf numFmtId="0" fontId="8" fillId="2" borderId="4" xfId="0" applyFont="1" applyFill="1" applyBorder="1" applyAlignment="1" applyProtection="1">
      <alignment horizontal="center" vertical="center" wrapText="1"/>
    </xf>
    <xf numFmtId="179" fontId="60" fillId="2" borderId="43" xfId="0" applyNumberFormat="1" applyFont="1" applyFill="1" applyBorder="1" applyAlignment="1" applyProtection="1">
      <alignment horizontal="center" vertical="center"/>
    </xf>
    <xf numFmtId="184" fontId="60" fillId="2" borderId="12" xfId="0" applyNumberFormat="1" applyFont="1" applyFill="1" applyBorder="1" applyAlignment="1" applyProtection="1">
      <alignment horizontal="center" vertical="center" wrapText="1"/>
    </xf>
    <xf numFmtId="184" fontId="60" fillId="2" borderId="17" xfId="0" applyNumberFormat="1" applyFont="1" applyFill="1" applyBorder="1" applyAlignment="1" applyProtection="1">
      <alignment horizontal="center" vertical="center" wrapText="1"/>
    </xf>
    <xf numFmtId="0" fontId="60" fillId="2" borderId="88" xfId="0" applyFont="1" applyFill="1" applyBorder="1" applyAlignment="1" applyProtection="1">
      <alignment horizontal="center" vertical="center" wrapText="1"/>
    </xf>
    <xf numFmtId="0" fontId="60" fillId="2" borderId="42" xfId="0" applyFont="1" applyFill="1" applyBorder="1" applyAlignment="1" applyProtection="1">
      <alignment horizontal="center" vertical="center"/>
    </xf>
    <xf numFmtId="0" fontId="60" fillId="2" borderId="21" xfId="0" applyFont="1" applyFill="1" applyBorder="1" applyAlignment="1" applyProtection="1">
      <alignment horizontal="center" vertical="center"/>
    </xf>
    <xf numFmtId="184" fontId="8" fillId="2" borderId="17" xfId="0" applyNumberFormat="1" applyFont="1" applyFill="1" applyBorder="1" applyAlignment="1" applyProtection="1">
      <alignment horizontal="center" vertical="center" wrapText="1"/>
    </xf>
    <xf numFmtId="184" fontId="8" fillId="0" borderId="1" xfId="0" applyNumberFormat="1" applyFont="1" applyFill="1" applyBorder="1" applyAlignment="1" applyProtection="1">
      <alignment horizontal="center" vertical="center" wrapText="1"/>
      <protection locked="0"/>
    </xf>
    <xf numFmtId="0" fontId="8" fillId="0" borderId="1" xfId="0" applyFont="1" applyBorder="1" applyAlignment="1" applyProtection="1">
      <alignment vertical="center" wrapText="1"/>
      <protection locked="0"/>
    </xf>
    <xf numFmtId="0" fontId="8" fillId="0" borderId="2" xfId="0" applyFont="1" applyBorder="1" applyAlignment="1" applyProtection="1">
      <alignment horizontal="center" vertical="center" wrapText="1"/>
      <protection locked="0"/>
    </xf>
    <xf numFmtId="0" fontId="8" fillId="0" borderId="0" xfId="0" applyFont="1" applyFill="1" applyBorder="1" applyAlignment="1" applyProtection="1">
      <alignment horizontal="center" vertical="center" wrapText="1"/>
    </xf>
    <xf numFmtId="184" fontId="8" fillId="0" borderId="0" xfId="0" applyNumberFormat="1" applyFont="1" applyFill="1" applyBorder="1" applyAlignment="1" applyProtection="1">
      <alignment horizontal="center" vertical="center" wrapText="1"/>
    </xf>
    <xf numFmtId="0" fontId="10" fillId="0" borderId="0" xfId="0" applyFont="1" applyAlignment="1" applyProtection="1">
      <alignment horizontal="center" vertical="center"/>
    </xf>
    <xf numFmtId="0" fontId="62" fillId="0" borderId="154" xfId="0" applyFont="1" applyBorder="1" applyAlignment="1" applyProtection="1">
      <alignment vertical="center" wrapText="1"/>
    </xf>
    <xf numFmtId="49" fontId="60" fillId="0" borderId="57" xfId="0" applyNumberFormat="1" applyFont="1" applyBorder="1" applyAlignment="1" applyProtection="1">
      <alignment horizontal="center" vertical="center" wrapText="1"/>
      <protection locked="0"/>
    </xf>
    <xf numFmtId="49" fontId="60" fillId="0" borderId="0" xfId="0" applyNumberFormat="1" applyFont="1" applyAlignment="1" applyProtection="1">
      <alignment horizontal="center" vertical="center" wrapText="1"/>
      <protection locked="0"/>
    </xf>
    <xf numFmtId="0" fontId="60" fillId="2" borderId="25" xfId="0" applyFont="1" applyFill="1" applyBorder="1" applyAlignment="1" applyProtection="1">
      <alignment vertical="center" wrapText="1"/>
    </xf>
    <xf numFmtId="0" fontId="60" fillId="2" borderId="28" xfId="0" applyFont="1" applyFill="1" applyBorder="1" applyAlignment="1" applyProtection="1">
      <alignment horizontal="left" vertical="center" wrapText="1"/>
    </xf>
    <xf numFmtId="0" fontId="60" fillId="2" borderId="24" xfId="0" applyFont="1" applyFill="1" applyBorder="1" applyAlignment="1" applyProtection="1">
      <alignment horizontal="left" vertical="center" wrapText="1"/>
    </xf>
    <xf numFmtId="0" fontId="60" fillId="2" borderId="0" xfId="0" applyFont="1" applyFill="1" applyBorder="1" applyAlignment="1" applyProtection="1">
      <alignment vertical="center" wrapText="1"/>
    </xf>
    <xf numFmtId="0" fontId="60" fillId="0" borderId="0" xfId="0" applyFont="1" applyFill="1" applyBorder="1" applyAlignment="1" applyProtection="1">
      <alignment vertical="center"/>
      <protection locked="0"/>
    </xf>
    <xf numFmtId="0" fontId="60" fillId="0" borderId="0" xfId="0" applyFont="1" applyFill="1" applyBorder="1" applyAlignment="1" applyProtection="1">
      <alignment vertical="center" wrapText="1"/>
    </xf>
    <xf numFmtId="0" fontId="60" fillId="6" borderId="0" xfId="0" applyFont="1" applyFill="1" applyBorder="1" applyAlignment="1" applyProtection="1">
      <alignment vertical="center" wrapText="1"/>
    </xf>
    <xf numFmtId="0" fontId="60" fillId="6" borderId="0" xfId="0" applyFont="1" applyFill="1" applyBorder="1" applyAlignment="1" applyProtection="1">
      <alignment horizontal="center" vertical="center" wrapText="1"/>
      <protection locked="0"/>
    </xf>
    <xf numFmtId="0" fontId="60" fillId="6" borderId="0" xfId="0" applyFont="1" applyFill="1" applyBorder="1" applyAlignment="1" applyProtection="1">
      <alignment vertical="center" wrapText="1"/>
      <protection locked="0"/>
    </xf>
    <xf numFmtId="14" fontId="60" fillId="0" borderId="7" xfId="0" applyNumberFormat="1" applyFont="1" applyFill="1" applyBorder="1" applyAlignment="1" applyProtection="1">
      <alignment horizontal="left" vertical="center"/>
      <protection locked="0"/>
    </xf>
    <xf numFmtId="0" fontId="60" fillId="20" borderId="1" xfId="0" applyFont="1" applyFill="1" applyBorder="1" applyAlignment="1" applyProtection="1">
      <alignment vertical="center" wrapText="1"/>
    </xf>
    <xf numFmtId="14" fontId="60" fillId="7" borderId="65" xfId="0" applyNumberFormat="1" applyFont="1" applyFill="1" applyBorder="1" applyAlignment="1" applyProtection="1">
      <alignment horizontal="center" vertical="center"/>
      <protection locked="0"/>
    </xf>
    <xf numFmtId="0" fontId="60" fillId="2" borderId="65" xfId="0" applyFont="1" applyFill="1" applyBorder="1" applyAlignment="1" applyProtection="1">
      <alignment horizontal="right" vertical="center" shrinkToFit="1"/>
    </xf>
    <xf numFmtId="0" fontId="60" fillId="2" borderId="65" xfId="0" applyNumberFormat="1" applyFont="1" applyFill="1" applyBorder="1" applyAlignment="1" applyProtection="1">
      <alignment horizontal="right" vertical="center" shrinkToFit="1"/>
    </xf>
    <xf numFmtId="0" fontId="60" fillId="2" borderId="50" xfId="0" applyFont="1" applyFill="1" applyBorder="1" applyAlignment="1" applyProtection="1">
      <alignment vertical="center" wrapText="1"/>
    </xf>
    <xf numFmtId="0" fontId="60" fillId="11" borderId="155" xfId="0" applyFont="1" applyFill="1" applyBorder="1" applyAlignment="1" applyProtection="1">
      <alignment vertical="center" wrapText="1"/>
      <protection locked="0"/>
    </xf>
    <xf numFmtId="0" fontId="60" fillId="11" borderId="47" xfId="0" applyFont="1" applyFill="1" applyBorder="1" applyAlignment="1" applyProtection="1">
      <alignment vertical="center" wrapText="1"/>
    </xf>
    <xf numFmtId="0" fontId="60" fillId="11" borderId="43" xfId="0" applyFont="1" applyFill="1" applyBorder="1" applyAlignment="1" applyProtection="1">
      <alignment vertical="center" wrapText="1"/>
    </xf>
    <xf numFmtId="0" fontId="60" fillId="2" borderId="5" xfId="0" applyFont="1" applyFill="1" applyBorder="1" applyAlignment="1" applyProtection="1">
      <alignment vertical="center" wrapText="1"/>
    </xf>
    <xf numFmtId="0" fontId="60" fillId="11" borderId="2" xfId="0" applyFont="1" applyFill="1" applyBorder="1" applyAlignment="1" applyProtection="1">
      <alignment vertical="center"/>
      <protection locked="0"/>
    </xf>
    <xf numFmtId="0" fontId="60" fillId="11" borderId="3" xfId="0" applyFont="1" applyFill="1" applyBorder="1" applyAlignment="1" applyProtection="1">
      <alignment vertical="center" wrapText="1"/>
    </xf>
    <xf numFmtId="0" fontId="60" fillId="11" borderId="22" xfId="0" applyFont="1" applyFill="1" applyBorder="1" applyAlignment="1" applyProtection="1">
      <alignment vertical="center" wrapText="1"/>
    </xf>
    <xf numFmtId="0" fontId="60" fillId="11" borderId="2" xfId="0" applyFont="1" applyFill="1" applyBorder="1" applyAlignment="1" applyProtection="1">
      <alignment vertical="center" wrapText="1"/>
      <protection locked="0"/>
    </xf>
    <xf numFmtId="0" fontId="60" fillId="20" borderId="5" xfId="0" applyFont="1" applyFill="1" applyBorder="1" applyAlignment="1" applyProtection="1">
      <alignment vertical="center" wrapText="1"/>
    </xf>
    <xf numFmtId="0" fontId="60" fillId="7" borderId="2" xfId="0" applyFont="1" applyFill="1" applyBorder="1" applyAlignment="1" applyProtection="1">
      <alignment horizontal="left" vertical="center" wrapText="1"/>
      <protection locked="0"/>
    </xf>
    <xf numFmtId="0" fontId="60" fillId="7" borderId="3" xfId="0" applyFont="1" applyFill="1" applyBorder="1" applyAlignment="1" applyProtection="1">
      <alignment vertical="center" wrapText="1"/>
    </xf>
    <xf numFmtId="0" fontId="60" fillId="20" borderId="7" xfId="0" applyFont="1" applyFill="1" applyBorder="1" applyAlignment="1" applyProtection="1">
      <alignment horizontal="center" vertical="center" wrapText="1"/>
    </xf>
    <xf numFmtId="0" fontId="60" fillId="7" borderId="7" xfId="0" applyFont="1" applyFill="1" applyBorder="1" applyAlignment="1" applyProtection="1">
      <alignment horizontal="left" vertical="center"/>
      <protection locked="0"/>
    </xf>
    <xf numFmtId="0" fontId="60" fillId="7" borderId="22" xfId="0" applyFont="1" applyFill="1" applyBorder="1" applyAlignment="1" applyProtection="1">
      <alignment vertical="center" wrapText="1"/>
    </xf>
    <xf numFmtId="0" fontId="60" fillId="20" borderId="127" xfId="0" applyFont="1" applyFill="1" applyBorder="1" applyAlignment="1" applyProtection="1">
      <alignment vertical="center" wrapText="1"/>
    </xf>
    <xf numFmtId="0" fontId="60" fillId="7" borderId="127" xfId="0" applyFont="1" applyFill="1" applyBorder="1" applyAlignment="1" applyProtection="1">
      <alignment horizontal="left" vertical="center"/>
      <protection locked="0"/>
    </xf>
    <xf numFmtId="0" fontId="60" fillId="7" borderId="128" xfId="0" applyFont="1" applyFill="1" applyBorder="1" applyAlignment="1" applyProtection="1">
      <alignment vertical="center" wrapText="1"/>
    </xf>
    <xf numFmtId="0" fontId="60" fillId="20" borderId="133" xfId="0" applyFont="1" applyFill="1" applyBorder="1" applyAlignment="1" applyProtection="1">
      <alignment horizontal="center" vertical="center" wrapText="1"/>
    </xf>
    <xf numFmtId="0" fontId="60" fillId="7" borderId="135" xfId="0" applyFont="1" applyFill="1" applyBorder="1" applyAlignment="1" applyProtection="1">
      <alignment vertical="center" wrapText="1"/>
    </xf>
    <xf numFmtId="0" fontId="60" fillId="6" borderId="72" xfId="0" applyFont="1" applyFill="1" applyBorder="1" applyAlignment="1" applyProtection="1">
      <alignment vertical="center" wrapText="1"/>
      <protection locked="0"/>
    </xf>
    <xf numFmtId="0" fontId="60" fillId="20" borderId="60" xfId="0" applyFont="1" applyFill="1" applyBorder="1" applyAlignment="1" applyProtection="1">
      <alignment horizontal="left" vertical="center"/>
    </xf>
    <xf numFmtId="0" fontId="60" fillId="3" borderId="43" xfId="0" applyFont="1" applyFill="1" applyBorder="1" applyAlignment="1" applyProtection="1">
      <alignment horizontal="center" vertical="center" wrapText="1"/>
      <protection locked="0"/>
    </xf>
    <xf numFmtId="0" fontId="60" fillId="11" borderId="47" xfId="0" applyFont="1" applyFill="1" applyBorder="1" applyAlignment="1" applyProtection="1">
      <alignment vertical="center" wrapText="1"/>
      <protection locked="0"/>
    </xf>
    <xf numFmtId="49" fontId="60" fillId="2" borderId="60" xfId="0" applyNumberFormat="1" applyFont="1" applyFill="1" applyBorder="1" applyAlignment="1" applyProtection="1">
      <alignment horizontal="left" vertical="center" wrapText="1"/>
    </xf>
    <xf numFmtId="49" fontId="63" fillId="6" borderId="50" xfId="0" applyNumberFormat="1" applyFont="1" applyFill="1" applyBorder="1" applyAlignment="1" applyProtection="1">
      <alignment horizontal="left" vertical="center"/>
      <protection locked="0"/>
    </xf>
    <xf numFmtId="0" fontId="60" fillId="6" borderId="47" xfId="0" applyFont="1" applyFill="1" applyBorder="1" applyAlignment="1" applyProtection="1">
      <alignment vertical="center" wrapText="1"/>
    </xf>
    <xf numFmtId="0" fontId="60" fillId="6" borderId="47" xfId="0" applyFont="1" applyFill="1" applyBorder="1" applyAlignment="1" applyProtection="1">
      <alignment horizontal="center" vertical="center" wrapText="1"/>
    </xf>
    <xf numFmtId="0" fontId="60" fillId="20" borderId="5" xfId="0" applyFont="1" applyFill="1" applyBorder="1" applyAlignment="1" applyProtection="1">
      <alignment horizontal="left" vertical="center"/>
    </xf>
    <xf numFmtId="0" fontId="60" fillId="7" borderId="7" xfId="0" applyFont="1" applyFill="1" applyBorder="1" applyAlignment="1" applyProtection="1">
      <alignment horizontal="center" vertical="center" wrapText="1"/>
      <protection locked="0"/>
    </xf>
    <xf numFmtId="0" fontId="60" fillId="11" borderId="3" xfId="0" applyFont="1" applyFill="1" applyBorder="1" applyAlignment="1" applyProtection="1">
      <alignment vertical="center" wrapText="1"/>
      <protection locked="0"/>
    </xf>
    <xf numFmtId="0" fontId="60" fillId="11" borderId="4" xfId="0" applyFont="1" applyFill="1" applyBorder="1" applyAlignment="1" applyProtection="1">
      <alignment vertical="center" wrapText="1"/>
    </xf>
    <xf numFmtId="0" fontId="60" fillId="2" borderId="0" xfId="0" applyFont="1" applyFill="1" applyAlignment="1" applyProtection="1">
      <alignment vertical="center" wrapText="1"/>
    </xf>
    <xf numFmtId="49" fontId="60" fillId="20" borderId="7" xfId="0" applyNumberFormat="1" applyFont="1" applyFill="1" applyBorder="1" applyAlignment="1" applyProtection="1">
      <alignment horizontal="left" vertical="center" wrapText="1"/>
    </xf>
    <xf numFmtId="49" fontId="60" fillId="2" borderId="1" xfId="0" applyNumberFormat="1" applyFont="1" applyFill="1" applyBorder="1" applyAlignment="1" applyProtection="1">
      <alignment horizontal="center" vertical="center" wrapText="1"/>
    </xf>
    <xf numFmtId="0" fontId="60" fillId="3" borderId="58" xfId="0" applyFont="1" applyFill="1" applyBorder="1" applyAlignment="1" applyProtection="1">
      <alignment horizontal="left" vertical="center" wrapText="1"/>
    </xf>
    <xf numFmtId="0" fontId="60" fillId="20" borderId="47" xfId="0" applyFont="1" applyFill="1" applyBorder="1" applyAlignment="1" applyProtection="1">
      <alignment vertical="center" wrapText="1"/>
    </xf>
    <xf numFmtId="183" fontId="60" fillId="0" borderId="1" xfId="0" applyNumberFormat="1" applyFont="1" applyFill="1" applyBorder="1" applyAlignment="1" applyProtection="1">
      <alignment horizontal="center" vertical="center" shrinkToFit="1"/>
      <protection locked="0"/>
    </xf>
    <xf numFmtId="181" fontId="60" fillId="7" borderId="1" xfId="59" applyNumberFormat="1" applyFont="1" applyFill="1" applyBorder="1" applyAlignment="1" applyProtection="1">
      <alignment horizontal="center" vertical="center"/>
      <protection locked="0"/>
    </xf>
    <xf numFmtId="0" fontId="60" fillId="3" borderId="60" xfId="0" applyFont="1" applyFill="1" applyBorder="1" applyAlignment="1" applyProtection="1">
      <alignment horizontal="left" vertical="center" wrapText="1"/>
    </xf>
    <xf numFmtId="0" fontId="60" fillId="2" borderId="47" xfId="0" applyFont="1" applyFill="1" applyBorder="1" applyAlignment="1" applyProtection="1">
      <alignment vertical="center" wrapText="1"/>
    </xf>
    <xf numFmtId="179" fontId="60" fillId="2" borderId="1" xfId="0" applyNumberFormat="1" applyFont="1" applyFill="1" applyBorder="1" applyAlignment="1" applyProtection="1">
      <alignment horizontal="center" vertical="center" wrapText="1"/>
    </xf>
    <xf numFmtId="49" fontId="63" fillId="0" borderId="50" xfId="0" applyNumberFormat="1" applyFont="1" applyFill="1" applyBorder="1" applyAlignment="1" applyProtection="1">
      <alignment horizontal="left" vertical="center"/>
      <protection locked="0"/>
    </xf>
    <xf numFmtId="49" fontId="63" fillId="0" borderId="3" xfId="0" applyNumberFormat="1" applyFont="1" applyFill="1" applyBorder="1" applyAlignment="1" applyProtection="1">
      <alignment horizontal="left" vertical="center"/>
      <protection locked="0"/>
    </xf>
    <xf numFmtId="49" fontId="63" fillId="0" borderId="4" xfId="0" applyNumberFormat="1" applyFont="1" applyFill="1" applyBorder="1" applyAlignment="1" applyProtection="1">
      <alignment horizontal="left" vertical="center"/>
      <protection locked="0"/>
    </xf>
    <xf numFmtId="49" fontId="60" fillId="2" borderId="58" xfId="0" applyNumberFormat="1" applyFont="1" applyFill="1" applyBorder="1" applyAlignment="1" applyProtection="1">
      <alignment horizontal="left" vertical="center" wrapText="1"/>
    </xf>
    <xf numFmtId="0" fontId="63" fillId="0" borderId="2" xfId="0" applyNumberFormat="1" applyFont="1" applyBorder="1" applyAlignment="1" applyProtection="1">
      <alignment horizontal="left" vertical="center"/>
      <protection locked="0"/>
    </xf>
    <xf numFmtId="0" fontId="63" fillId="0" borderId="3" xfId="0" applyNumberFormat="1" applyFont="1" applyBorder="1" applyAlignment="1" applyProtection="1">
      <alignment horizontal="left" vertical="center"/>
      <protection locked="0"/>
    </xf>
    <xf numFmtId="49" fontId="63" fillId="11" borderId="2" xfId="0" applyNumberFormat="1" applyFont="1" applyFill="1" applyBorder="1" applyAlignment="1" applyProtection="1">
      <alignment horizontal="left" vertical="center"/>
      <protection locked="0"/>
    </xf>
    <xf numFmtId="49" fontId="63" fillId="11" borderId="3" xfId="0" applyNumberFormat="1" applyFont="1" applyFill="1" applyBorder="1" applyAlignment="1" applyProtection="1">
      <alignment horizontal="left" vertical="center"/>
      <protection locked="0"/>
    </xf>
    <xf numFmtId="0" fontId="60" fillId="7" borderId="64" xfId="0" applyFont="1" applyFill="1" applyBorder="1" applyAlignment="1" applyProtection="1">
      <alignment horizontal="left" vertical="center" wrapText="1"/>
      <protection locked="0"/>
    </xf>
    <xf numFmtId="0" fontId="60" fillId="2" borderId="65" xfId="0" applyFont="1" applyFill="1" applyBorder="1" applyAlignment="1" applyProtection="1">
      <alignment horizontal="center" vertical="center" wrapText="1"/>
    </xf>
    <xf numFmtId="49" fontId="63" fillId="11" borderId="127" xfId="0" applyNumberFormat="1" applyFont="1" applyFill="1" applyBorder="1" applyAlignment="1" applyProtection="1">
      <alignment horizontal="left" vertical="center"/>
      <protection locked="0"/>
    </xf>
    <xf numFmtId="49" fontId="63" fillId="11" borderId="128" xfId="0" applyNumberFormat="1" applyFont="1" applyFill="1" applyBorder="1" applyAlignment="1" applyProtection="1">
      <alignment horizontal="left" vertical="center"/>
      <protection locked="0"/>
    </xf>
    <xf numFmtId="0" fontId="60" fillId="7" borderId="58" xfId="0" applyFont="1" applyFill="1" applyBorder="1" applyAlignment="1" applyProtection="1">
      <alignment horizontal="center" vertical="center" wrapText="1"/>
      <protection locked="0"/>
    </xf>
    <xf numFmtId="0" fontId="60" fillId="2" borderId="62" xfId="0" applyFont="1" applyFill="1" applyBorder="1" applyAlignment="1" applyProtection="1">
      <alignment horizontal="center" vertical="center" wrapText="1"/>
    </xf>
    <xf numFmtId="0" fontId="60" fillId="7" borderId="62" xfId="0" applyFont="1" applyFill="1" applyBorder="1" applyAlignment="1" applyProtection="1">
      <alignment horizontal="center" vertical="center" wrapText="1"/>
      <protection locked="0"/>
    </xf>
    <xf numFmtId="0" fontId="67" fillId="2" borderId="62" xfId="0" applyFont="1" applyFill="1" applyBorder="1" applyAlignment="1" applyProtection="1">
      <alignment vertical="center" wrapText="1"/>
    </xf>
    <xf numFmtId="0" fontId="60" fillId="7" borderId="69" xfId="0" applyFont="1" applyFill="1" applyBorder="1" applyAlignment="1" applyProtection="1">
      <alignment horizontal="center" vertical="center" wrapText="1"/>
      <protection locked="0"/>
    </xf>
    <xf numFmtId="0" fontId="60" fillId="2" borderId="2" xfId="0" applyFont="1" applyFill="1" applyBorder="1" applyAlignment="1" applyProtection="1">
      <alignment vertical="center" wrapText="1"/>
    </xf>
    <xf numFmtId="0" fontId="60" fillId="2" borderId="11" xfId="0" applyFont="1" applyFill="1" applyBorder="1" applyAlignment="1" applyProtection="1">
      <alignment vertical="center"/>
    </xf>
    <xf numFmtId="0" fontId="60" fillId="2" borderId="12" xfId="0" applyFont="1" applyFill="1" applyBorder="1" applyAlignment="1" applyProtection="1">
      <alignment vertical="center"/>
    </xf>
    <xf numFmtId="0" fontId="60" fillId="2" borderId="30" xfId="0" applyFont="1" applyFill="1" applyBorder="1" applyAlignment="1" applyProtection="1">
      <alignment vertical="center"/>
    </xf>
    <xf numFmtId="0" fontId="60" fillId="2" borderId="51" xfId="0" applyFont="1" applyFill="1" applyBorder="1" applyAlignment="1" applyProtection="1">
      <alignment vertical="center"/>
    </xf>
    <xf numFmtId="0" fontId="60" fillId="2" borderId="130" xfId="0" applyFont="1" applyFill="1" applyBorder="1" applyAlignment="1" applyProtection="1">
      <alignment horizontal="left" vertical="center"/>
    </xf>
    <xf numFmtId="0" fontId="60" fillId="7" borderId="16" xfId="0" applyFont="1" applyFill="1" applyBorder="1" applyAlignment="1" applyProtection="1">
      <alignment vertical="center" wrapText="1"/>
      <protection locked="0"/>
    </xf>
    <xf numFmtId="0" fontId="60" fillId="7" borderId="17" xfId="0" applyFont="1" applyFill="1" applyBorder="1" applyAlignment="1" applyProtection="1">
      <alignment vertical="center" wrapText="1"/>
      <protection locked="0"/>
    </xf>
    <xf numFmtId="0" fontId="63" fillId="0" borderId="16" xfId="0" applyFont="1" applyBorder="1" applyAlignment="1" applyProtection="1">
      <alignment vertical="center" wrapText="1"/>
      <protection locked="0"/>
    </xf>
    <xf numFmtId="0" fontId="60" fillId="7" borderId="2" xfId="0" applyFont="1" applyFill="1" applyBorder="1" applyAlignment="1" applyProtection="1">
      <alignment vertical="center" wrapText="1"/>
      <protection locked="0"/>
    </xf>
    <xf numFmtId="0" fontId="60" fillId="0" borderId="83" xfId="0" applyFont="1" applyBorder="1" applyAlignment="1" applyProtection="1">
      <alignment horizontal="left" vertical="center" wrapText="1"/>
      <protection locked="0"/>
    </xf>
    <xf numFmtId="0" fontId="60" fillId="7" borderId="16" xfId="0" applyFont="1" applyFill="1" applyBorder="1" applyAlignment="1" applyProtection="1">
      <alignment vertical="center" wrapText="1" shrinkToFit="1"/>
      <protection locked="0"/>
    </xf>
    <xf numFmtId="0" fontId="60" fillId="2" borderId="15" xfId="0" applyFont="1" applyFill="1" applyBorder="1" applyAlignment="1" applyProtection="1">
      <alignment vertical="center" wrapText="1"/>
    </xf>
    <xf numFmtId="183" fontId="63" fillId="0" borderId="17" xfId="0" applyNumberFormat="1" applyFont="1" applyFill="1" applyBorder="1" applyAlignment="1" applyProtection="1">
      <alignment vertical="center" shrinkToFit="1"/>
      <protection locked="0"/>
    </xf>
    <xf numFmtId="0" fontId="60" fillId="2" borderId="9" xfId="0" applyFont="1" applyFill="1" applyBorder="1" applyAlignment="1" applyProtection="1">
      <alignment vertical="center" wrapText="1"/>
    </xf>
    <xf numFmtId="183" fontId="63" fillId="0" borderId="52" xfId="0" applyNumberFormat="1" applyFont="1" applyFill="1" applyBorder="1" applyAlignment="1" applyProtection="1">
      <alignment vertical="center" shrinkToFit="1"/>
      <protection locked="0"/>
    </xf>
    <xf numFmtId="0" fontId="63" fillId="0" borderId="17" xfId="0" applyFont="1" applyFill="1" applyBorder="1" applyAlignment="1" applyProtection="1">
      <alignment vertical="center" wrapText="1"/>
      <protection locked="0"/>
    </xf>
    <xf numFmtId="0" fontId="63" fillId="0" borderId="59" xfId="0" applyFont="1" applyFill="1" applyBorder="1" applyAlignment="1" applyProtection="1">
      <alignment vertical="center" wrapText="1"/>
      <protection locked="0"/>
    </xf>
    <xf numFmtId="0" fontId="60" fillId="2" borderId="136" xfId="0" applyFont="1" applyFill="1" applyBorder="1" applyAlignment="1" applyProtection="1">
      <alignment vertical="center" wrapText="1"/>
    </xf>
    <xf numFmtId="0" fontId="60" fillId="2" borderId="144" xfId="0" applyFont="1" applyFill="1" applyBorder="1" applyAlignment="1" applyProtection="1">
      <alignment vertical="center" wrapText="1"/>
    </xf>
    <xf numFmtId="0" fontId="63" fillId="0" borderId="70" xfId="0" applyFont="1" applyFill="1" applyBorder="1" applyAlignment="1" applyProtection="1">
      <alignment vertical="center" wrapText="1"/>
      <protection locked="0"/>
    </xf>
    <xf numFmtId="0" fontId="63" fillId="0" borderId="145" xfId="0" applyFont="1" applyFill="1" applyBorder="1" applyAlignment="1" applyProtection="1">
      <alignment vertical="center" wrapText="1"/>
      <protection locked="0"/>
    </xf>
    <xf numFmtId="0" fontId="60" fillId="3" borderId="50" xfId="0" applyFont="1" applyFill="1" applyBorder="1" applyAlignment="1" applyProtection="1">
      <alignment vertical="center"/>
      <protection locked="0"/>
    </xf>
    <xf numFmtId="0" fontId="60" fillId="3" borderId="43" xfId="0" applyFont="1" applyFill="1" applyBorder="1" applyAlignment="1" applyProtection="1">
      <alignment vertical="center" wrapText="1"/>
    </xf>
    <xf numFmtId="0" fontId="60" fillId="3" borderId="43" xfId="0" applyFont="1" applyFill="1" applyBorder="1" applyAlignment="1" applyProtection="1">
      <alignment horizontal="left" vertical="center"/>
      <protection locked="0"/>
    </xf>
    <xf numFmtId="0" fontId="60" fillId="0" borderId="60" xfId="0" applyFont="1" applyBorder="1" applyAlignment="1" applyProtection="1">
      <alignment horizontal="left" vertical="center" wrapText="1"/>
      <protection locked="0"/>
    </xf>
    <xf numFmtId="0" fontId="60" fillId="3" borderId="2" xfId="0" applyFont="1" applyFill="1" applyBorder="1" applyAlignment="1" applyProtection="1">
      <alignment vertical="center"/>
      <protection locked="0"/>
    </xf>
    <xf numFmtId="0" fontId="60" fillId="3" borderId="4" xfId="0" applyFont="1" applyFill="1" applyBorder="1" applyAlignment="1" applyProtection="1">
      <alignment vertical="center"/>
    </xf>
    <xf numFmtId="0" fontId="60" fillId="0" borderId="2" xfId="0" applyFont="1" applyBorder="1" applyAlignment="1" applyProtection="1">
      <alignment horizontal="left" vertical="center" wrapText="1"/>
      <protection locked="0"/>
    </xf>
    <xf numFmtId="0" fontId="60" fillId="0" borderId="4" xfId="0" applyFont="1" applyBorder="1" applyAlignment="1" applyProtection="1">
      <alignment horizontal="left" vertical="center" wrapText="1"/>
      <protection locked="0"/>
    </xf>
    <xf numFmtId="0" fontId="60" fillId="2" borderId="22" xfId="0" applyFont="1" applyFill="1" applyBorder="1" applyAlignment="1" applyProtection="1">
      <alignment horizontal="left" vertical="center"/>
    </xf>
    <xf numFmtId="0" fontId="60" fillId="7" borderId="4" xfId="0" applyFont="1" applyFill="1" applyBorder="1" applyAlignment="1" applyProtection="1">
      <alignment horizontal="center" vertical="center" wrapText="1"/>
      <protection locked="0"/>
    </xf>
    <xf numFmtId="0" fontId="60" fillId="0" borderId="1" xfId="0" applyFont="1" applyBorder="1" applyAlignment="1" applyProtection="1">
      <alignment horizontal="left" vertical="center"/>
      <protection locked="0"/>
    </xf>
    <xf numFmtId="0" fontId="60" fillId="7" borderId="22" xfId="0" applyFont="1" applyFill="1" applyBorder="1" applyAlignment="1" applyProtection="1">
      <alignment horizontal="center" vertical="center" wrapText="1"/>
      <protection locked="0"/>
    </xf>
    <xf numFmtId="0" fontId="60" fillId="0" borderId="7" xfId="0" applyFont="1" applyBorder="1" applyAlignment="1" applyProtection="1">
      <alignment horizontal="left" vertical="center"/>
      <protection locked="0"/>
    </xf>
    <xf numFmtId="0" fontId="60" fillId="2" borderId="7" xfId="0" applyNumberFormat="1" applyFont="1" applyFill="1" applyBorder="1" applyAlignment="1" applyProtection="1">
      <alignment vertical="center" wrapText="1"/>
    </xf>
    <xf numFmtId="0" fontId="60" fillId="2" borderId="57" xfId="0" applyNumberFormat="1" applyFont="1" applyFill="1" applyBorder="1" applyAlignment="1" applyProtection="1">
      <alignment vertical="center" wrapText="1"/>
    </xf>
    <xf numFmtId="0" fontId="60" fillId="6" borderId="1" xfId="0" applyNumberFormat="1" applyFont="1" applyFill="1" applyBorder="1" applyAlignment="1" applyProtection="1">
      <alignment horizontal="center" vertical="center" wrapText="1"/>
      <protection locked="0"/>
    </xf>
    <xf numFmtId="0" fontId="60" fillId="20" borderId="58" xfId="0" applyNumberFormat="1" applyFont="1" applyFill="1" applyBorder="1" applyAlignment="1" applyProtection="1">
      <alignment vertical="center" wrapText="1"/>
    </xf>
    <xf numFmtId="0" fontId="60" fillId="7" borderId="1" xfId="0" applyNumberFormat="1" applyFont="1" applyFill="1" applyBorder="1" applyAlignment="1" applyProtection="1">
      <alignment horizontal="center" vertical="center" wrapText="1"/>
      <protection locked="0"/>
    </xf>
    <xf numFmtId="0" fontId="60" fillId="20" borderId="65" xfId="0" applyNumberFormat="1" applyFont="1" applyFill="1" applyBorder="1" applyAlignment="1" applyProtection="1">
      <alignment vertical="center" wrapText="1"/>
    </xf>
    <xf numFmtId="0" fontId="60" fillId="7" borderId="65" xfId="0" applyNumberFormat="1" applyFont="1" applyFill="1" applyBorder="1" applyAlignment="1" applyProtection="1">
      <alignment horizontal="center" vertical="center" wrapText="1"/>
      <protection locked="0"/>
    </xf>
    <xf numFmtId="0" fontId="60" fillId="6" borderId="65" xfId="0" applyNumberFormat="1" applyFont="1" applyFill="1" applyBorder="1" applyAlignment="1" applyProtection="1">
      <alignment horizontal="center" vertical="center" wrapText="1"/>
      <protection locked="0"/>
    </xf>
    <xf numFmtId="0" fontId="79" fillId="2" borderId="154" xfId="0" applyFont="1" applyFill="1" applyBorder="1" applyAlignment="1" applyProtection="1">
      <alignment vertical="center"/>
    </xf>
    <xf numFmtId="0" fontId="62" fillId="2" borderId="154" xfId="0" applyFont="1" applyFill="1" applyBorder="1" applyAlignment="1" applyProtection="1">
      <alignment vertical="center" wrapText="1"/>
    </xf>
    <xf numFmtId="0" fontId="62" fillId="2" borderId="2" xfId="0" applyFont="1" applyFill="1" applyBorder="1" applyAlignment="1" applyProtection="1">
      <alignment vertical="center"/>
    </xf>
    <xf numFmtId="0" fontId="60" fillId="2" borderId="125" xfId="0" applyFont="1" applyFill="1" applyBorder="1" applyAlignment="1" applyProtection="1">
      <alignment horizontal="left" vertical="center" wrapText="1"/>
    </xf>
    <xf numFmtId="0" fontId="60" fillId="2" borderId="57" xfId="0" applyFont="1" applyFill="1" applyBorder="1" applyAlignment="1" applyProtection="1">
      <alignment vertical="center" wrapText="1"/>
    </xf>
    <xf numFmtId="49" fontId="60" fillId="2" borderId="0" xfId="0" applyNumberFormat="1" applyFont="1" applyFill="1" applyAlignment="1" applyProtection="1">
      <alignment horizontal="center" vertical="center" wrapText="1"/>
    </xf>
    <xf numFmtId="0" fontId="60" fillId="2" borderId="57" xfId="0" applyNumberFormat="1" applyFont="1" applyFill="1" applyBorder="1" applyAlignment="1" applyProtection="1">
      <alignment horizontal="left" vertical="center"/>
    </xf>
    <xf numFmtId="0" fontId="60" fillId="2" borderId="57" xfId="0" applyNumberFormat="1" applyFont="1" applyFill="1" applyBorder="1" applyAlignment="1" applyProtection="1">
      <alignment horizontal="center" vertical="center" wrapText="1"/>
      <protection locked="0"/>
    </xf>
    <xf numFmtId="49" fontId="60" fillId="2" borderId="0" xfId="0" applyNumberFormat="1" applyFont="1" applyFill="1" applyAlignment="1" applyProtection="1">
      <alignment horizontal="center" vertical="center" wrapText="1"/>
      <protection locked="0"/>
    </xf>
    <xf numFmtId="0" fontId="60" fillId="2" borderId="0" xfId="0" applyFont="1" applyFill="1" applyAlignment="1" applyProtection="1">
      <alignment horizontal="center" vertical="center" wrapText="1"/>
      <protection locked="0"/>
    </xf>
    <xf numFmtId="49" fontId="60" fillId="2" borderId="57" xfId="0" applyNumberFormat="1" applyFont="1" applyFill="1" applyBorder="1" applyAlignment="1" applyProtection="1">
      <alignment horizontal="center" vertical="center" wrapText="1"/>
      <protection locked="0"/>
    </xf>
    <xf numFmtId="0" fontId="60" fillId="2" borderId="57" xfId="0" applyNumberFormat="1" applyFont="1" applyFill="1" applyBorder="1" applyAlignment="1" applyProtection="1">
      <alignment horizontal="left" vertical="center"/>
      <protection locked="0"/>
    </xf>
    <xf numFmtId="0" fontId="60" fillId="6" borderId="43" xfId="0" applyFont="1" applyFill="1" applyBorder="1" applyAlignment="1" applyProtection="1">
      <alignment vertical="center" wrapText="1"/>
    </xf>
    <xf numFmtId="181" fontId="60" fillId="2" borderId="57" xfId="0" applyNumberFormat="1" applyFont="1" applyFill="1" applyBorder="1" applyAlignment="1" applyProtection="1">
      <alignment horizontal="center" vertical="center" wrapText="1"/>
      <protection locked="0"/>
    </xf>
    <xf numFmtId="179" fontId="60" fillId="2" borderId="57" xfId="0" applyNumberFormat="1" applyFont="1" applyFill="1" applyBorder="1" applyAlignment="1" applyProtection="1">
      <alignment horizontal="center" vertical="center" wrapText="1"/>
      <protection locked="0"/>
    </xf>
    <xf numFmtId="0" fontId="60" fillId="2" borderId="0" xfId="0" applyNumberFormat="1" applyFont="1" applyFill="1" applyAlignment="1" applyProtection="1">
      <alignment horizontal="center" vertical="center" wrapText="1"/>
      <protection locked="0"/>
    </xf>
    <xf numFmtId="0" fontId="63" fillId="0" borderId="4" xfId="0" applyNumberFormat="1" applyFont="1" applyBorder="1" applyAlignment="1" applyProtection="1">
      <alignment horizontal="left" vertical="center"/>
      <protection locked="0"/>
    </xf>
    <xf numFmtId="49" fontId="63" fillId="11" borderId="4" xfId="0" applyNumberFormat="1" applyFont="1" applyFill="1" applyBorder="1" applyAlignment="1" applyProtection="1">
      <alignment horizontal="left" vertical="center"/>
      <protection locked="0"/>
    </xf>
    <xf numFmtId="179" fontId="60" fillId="2" borderId="57" xfId="0" applyNumberFormat="1" applyFont="1" applyFill="1" applyBorder="1" applyAlignment="1" applyProtection="1">
      <alignment horizontal="left" vertical="center"/>
      <protection locked="0"/>
    </xf>
    <xf numFmtId="49" fontId="63" fillId="11" borderId="135" xfId="0" applyNumberFormat="1" applyFont="1" applyFill="1" applyBorder="1" applyAlignment="1" applyProtection="1">
      <alignment horizontal="left" vertical="center"/>
      <protection locked="0"/>
    </xf>
    <xf numFmtId="0" fontId="60" fillId="2" borderId="0" xfId="0" applyNumberFormat="1" applyFont="1" applyFill="1" applyAlignment="1" applyProtection="1">
      <alignment vertical="center" wrapText="1"/>
    </xf>
    <xf numFmtId="0" fontId="60" fillId="2" borderId="0" xfId="0" applyNumberFormat="1" applyFont="1" applyFill="1" applyAlignment="1" applyProtection="1">
      <alignment horizontal="center" vertical="center" wrapText="1"/>
    </xf>
    <xf numFmtId="0" fontId="60" fillId="2" borderId="57" xfId="0" applyFont="1" applyFill="1" applyBorder="1" applyAlignment="1" applyProtection="1">
      <alignment horizontal="center" vertical="center" wrapText="1"/>
      <protection locked="0"/>
    </xf>
    <xf numFmtId="0" fontId="62" fillId="2" borderId="154" xfId="0" applyFont="1" applyFill="1" applyBorder="1" applyAlignment="1" applyProtection="1">
      <alignment vertical="center" wrapText="1"/>
      <protection locked="0"/>
    </xf>
    <xf numFmtId="0" fontId="62" fillId="2" borderId="156" xfId="0" applyFont="1" applyFill="1" applyBorder="1" applyAlignment="1" applyProtection="1">
      <alignment vertical="center" wrapText="1"/>
      <protection locked="0"/>
    </xf>
    <xf numFmtId="0" fontId="62" fillId="2" borderId="154" xfId="0" applyFont="1" applyFill="1" applyBorder="1" applyAlignment="1" applyProtection="1">
      <alignment horizontal="center" vertical="center" wrapText="1"/>
      <protection locked="0"/>
    </xf>
    <xf numFmtId="49" fontId="60" fillId="2" borderId="2" xfId="0" applyNumberFormat="1" applyFont="1" applyFill="1" applyBorder="1" applyAlignment="1" applyProtection="1">
      <alignment horizontal="center" vertical="center" wrapText="1"/>
      <protection locked="0"/>
    </xf>
    <xf numFmtId="49" fontId="60" fillId="2" borderId="1" xfId="0" applyNumberFormat="1" applyFont="1" applyFill="1" applyBorder="1" applyAlignment="1" applyProtection="1">
      <alignment horizontal="center" vertical="center" wrapText="1"/>
      <protection locked="0"/>
    </xf>
    <xf numFmtId="0" fontId="60" fillId="2" borderId="1" xfId="0" applyFont="1" applyFill="1" applyBorder="1" applyAlignment="1" applyProtection="1">
      <alignment horizontal="center" vertical="center" wrapText="1"/>
      <protection locked="0"/>
    </xf>
    <xf numFmtId="0" fontId="60" fillId="0" borderId="2" xfId="0" applyFont="1" applyBorder="1" applyAlignment="1" applyProtection="1">
      <alignment horizontal="center" vertical="center" wrapText="1"/>
      <protection locked="0"/>
    </xf>
    <xf numFmtId="49" fontId="60" fillId="0" borderId="1" xfId="0" applyNumberFormat="1" applyFont="1" applyBorder="1" applyAlignment="1" applyProtection="1">
      <alignment horizontal="center" vertical="center" wrapText="1"/>
      <protection locked="0"/>
    </xf>
    <xf numFmtId="49" fontId="60" fillId="0" borderId="2" xfId="0" applyNumberFormat="1" applyFont="1" applyBorder="1" applyAlignment="1" applyProtection="1">
      <alignment vertical="center" wrapText="1"/>
      <protection locked="0"/>
    </xf>
    <xf numFmtId="195" fontId="60" fillId="2" borderId="1" xfId="0" applyNumberFormat="1" applyFont="1" applyFill="1" applyBorder="1" applyAlignment="1" applyProtection="1">
      <alignment vertical="center" wrapText="1"/>
    </xf>
    <xf numFmtId="0" fontId="62" fillId="0" borderId="154" xfId="0" applyFont="1" applyBorder="1" applyAlignment="1" applyProtection="1">
      <alignment vertical="center" wrapText="1"/>
      <protection locked="0"/>
    </xf>
    <xf numFmtId="0" fontId="60" fillId="2" borderId="1" xfId="0" applyFont="1" applyFill="1" applyBorder="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11" fillId="2" borderId="45" xfId="0" applyFont="1" applyFill="1" applyBorder="1" applyAlignment="1" applyProtection="1">
      <alignment horizontal="center" vertical="center" wrapText="1"/>
    </xf>
    <xf numFmtId="0" fontId="0" fillId="2" borderId="5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11" fillId="0" borderId="1"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11"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11" fillId="2" borderId="0" xfId="0" applyFont="1" applyFill="1" applyAlignment="1" applyProtection="1">
      <alignment horizontal="center" vertical="center" wrapText="1"/>
    </xf>
    <xf numFmtId="0" fontId="111" fillId="2" borderId="0" xfId="0" applyNumberFormat="1" applyFont="1" applyFill="1" applyBorder="1" applyAlignment="1" applyProtection="1">
      <alignment horizontal="center" vertical="center" wrapText="1"/>
    </xf>
    <xf numFmtId="0" fontId="34" fillId="0" borderId="0" xfId="62" applyFont="1" applyFill="1" applyAlignment="1">
      <alignment horizontal="left" vertical="center"/>
    </xf>
    <xf numFmtId="0" fontId="112" fillId="0" borderId="0" xfId="62" applyFont="1" applyAlignment="1">
      <alignment horizontal="left" vertical="center"/>
    </xf>
    <xf numFmtId="0" fontId="34" fillId="0" borderId="0" xfId="62" applyFont="1" applyAlignment="1">
      <alignment horizontal="left" vertical="center"/>
    </xf>
    <xf numFmtId="0" fontId="113" fillId="0" borderId="0" xfId="62" applyFont="1" applyAlignment="1">
      <alignment horizontal="left" vertical="center"/>
    </xf>
    <xf numFmtId="0" fontId="114" fillId="0" borderId="0" xfId="62" applyFont="1" applyAlignment="1">
      <alignment horizontal="left" vertical="center"/>
    </xf>
    <xf numFmtId="14" fontId="114" fillId="0" borderId="0" xfId="62" applyNumberFormat="1" applyFont="1" applyAlignment="1">
      <alignment horizontal="left" vertical="center"/>
    </xf>
    <xf numFmtId="0" fontId="115" fillId="0" borderId="0" xfId="62" applyFont="1" applyAlignment="1">
      <alignment horizontal="left" vertical="center"/>
    </xf>
    <xf numFmtId="0" fontId="116" fillId="7" borderId="7" xfId="62" applyFont="1" applyFill="1" applyBorder="1" applyAlignment="1">
      <alignment horizontal="left" vertical="center"/>
    </xf>
    <xf numFmtId="0" fontId="117" fillId="0" borderId="1" xfId="62" applyFont="1" applyBorder="1" applyAlignment="1">
      <alignment horizontal="left" vertical="center"/>
    </xf>
    <xf numFmtId="0" fontId="117" fillId="0" borderId="2" xfId="62" applyFont="1" applyBorder="1" applyAlignment="1">
      <alignment horizontal="left" vertical="center"/>
    </xf>
    <xf numFmtId="0" fontId="116" fillId="7" borderId="157" xfId="62" applyFont="1" applyFill="1" applyBorder="1" applyAlignment="1">
      <alignment horizontal="left" vertical="center"/>
    </xf>
    <xf numFmtId="0" fontId="117" fillId="0" borderId="1" xfId="62" applyFont="1" applyFill="1" applyBorder="1" applyAlignment="1">
      <alignment horizontal="left" vertical="center"/>
    </xf>
    <xf numFmtId="192" fontId="117" fillId="0" borderId="1" xfId="62" applyNumberFormat="1" applyFont="1" applyFill="1" applyBorder="1" applyAlignment="1">
      <alignment horizontal="left" vertical="center"/>
    </xf>
    <xf numFmtId="192" fontId="118" fillId="0" borderId="2" xfId="62" applyNumberFormat="1" applyFont="1" applyFill="1" applyBorder="1" applyAlignment="1">
      <alignment horizontal="left" vertical="center"/>
    </xf>
    <xf numFmtId="0" fontId="117" fillId="0" borderId="158" xfId="62" applyFont="1" applyFill="1" applyBorder="1" applyAlignment="1">
      <alignment horizontal="left" vertical="center"/>
    </xf>
    <xf numFmtId="183" fontId="117" fillId="0" borderId="1" xfId="62" applyNumberFormat="1" applyFont="1" applyFill="1" applyBorder="1" applyAlignment="1">
      <alignment horizontal="left" vertical="center"/>
    </xf>
    <xf numFmtId="0" fontId="118" fillId="0" borderId="1" xfId="62" applyFont="1" applyFill="1" applyBorder="1" applyAlignment="1">
      <alignment horizontal="left" vertical="center"/>
    </xf>
    <xf numFmtId="192" fontId="117" fillId="0" borderId="2" xfId="62" applyNumberFormat="1" applyFont="1" applyFill="1" applyBorder="1" applyAlignment="1">
      <alignment horizontal="left" vertical="center"/>
    </xf>
    <xf numFmtId="0" fontId="118" fillId="0" borderId="0" xfId="62" applyFont="1" applyFill="1" applyAlignment="1">
      <alignment horizontal="left" vertical="center"/>
    </xf>
    <xf numFmtId="0" fontId="116" fillId="7" borderId="1" xfId="62" applyFont="1" applyFill="1" applyBorder="1" applyAlignment="1">
      <alignment horizontal="left" vertical="center"/>
    </xf>
    <xf numFmtId="0" fontId="117" fillId="0" borderId="158" xfId="62" applyFont="1" applyBorder="1" applyAlignment="1">
      <alignment horizontal="left" vertical="center"/>
    </xf>
    <xf numFmtId="0" fontId="116" fillId="0" borderId="1" xfId="62" applyFont="1" applyFill="1" applyBorder="1" applyAlignment="1">
      <alignment horizontal="left" vertical="center"/>
    </xf>
    <xf numFmtId="0" fontId="114" fillId="0" borderId="1" xfId="62" applyFont="1" applyBorder="1" applyAlignment="1">
      <alignment horizontal="left" vertical="center"/>
    </xf>
    <xf numFmtId="183" fontId="117" fillId="0" borderId="2" xfId="62" applyNumberFormat="1" applyFont="1" applyFill="1" applyBorder="1" applyAlignment="1">
      <alignment horizontal="left" vertical="center"/>
    </xf>
    <xf numFmtId="0" fontId="114" fillId="0" borderId="158" xfId="62" applyFont="1" applyBorder="1" applyAlignment="1">
      <alignment horizontal="left" vertical="center"/>
    </xf>
    <xf numFmtId="0" fontId="119" fillId="0" borderId="1" xfId="62" applyFont="1" applyBorder="1" applyAlignment="1">
      <alignment horizontal="left" vertical="center"/>
    </xf>
    <xf numFmtId="183" fontId="119" fillId="0" borderId="1" xfId="0" applyNumberFormat="1" applyFont="1" applyFill="1" applyBorder="1" applyAlignment="1">
      <alignment horizontal="left" vertical="center"/>
    </xf>
    <xf numFmtId="14" fontId="114" fillId="0" borderId="1" xfId="62" applyNumberFormat="1" applyFont="1" applyBorder="1" applyAlignment="1">
      <alignment horizontal="left" vertical="center"/>
    </xf>
    <xf numFmtId="14" fontId="114" fillId="0" borderId="2" xfId="62" applyNumberFormat="1" applyFont="1" applyBorder="1" applyAlignment="1">
      <alignment horizontal="left" vertical="center"/>
    </xf>
    <xf numFmtId="14" fontId="34" fillId="0" borderId="0" xfId="62" applyNumberFormat="1" applyFont="1" applyAlignment="1">
      <alignment horizontal="left" vertical="center"/>
    </xf>
    <xf numFmtId="14" fontId="34" fillId="0" borderId="159" xfId="62" applyNumberFormat="1" applyFont="1" applyBorder="1" applyAlignment="1">
      <alignment horizontal="left" vertical="center"/>
    </xf>
    <xf numFmtId="0" fontId="34" fillId="0" borderId="0" xfId="62" applyFont="1" applyBorder="1" applyAlignment="1">
      <alignment horizontal="left" vertical="center"/>
    </xf>
    <xf numFmtId="0" fontId="120" fillId="0" borderId="0" xfId="62" applyFont="1" applyBorder="1" applyAlignment="1">
      <alignment horizontal="left" vertical="center"/>
    </xf>
    <xf numFmtId="0" fontId="121" fillId="0" borderId="0" xfId="0" applyFont="1" applyProtection="1">
      <alignment vertical="center"/>
    </xf>
    <xf numFmtId="0" fontId="122" fillId="0" borderId="0" xfId="0" applyFont="1" applyProtection="1">
      <alignment vertical="center"/>
    </xf>
    <xf numFmtId="0" fontId="120" fillId="0" borderId="0" xfId="0" applyFont="1" applyProtection="1">
      <alignment vertical="center"/>
    </xf>
    <xf numFmtId="0" fontId="122"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22" fillId="3" borderId="1" xfId="0" applyFont="1" applyFill="1" applyBorder="1" applyAlignment="1" applyProtection="1">
      <alignment horizontal="center" vertical="center" wrapText="1"/>
    </xf>
    <xf numFmtId="0" fontId="122" fillId="2" borderId="1" xfId="0" applyFont="1" applyFill="1" applyBorder="1" applyAlignment="1" applyProtection="1">
      <alignment horizontal="center" vertical="center" wrapText="1"/>
    </xf>
    <xf numFmtId="0" fontId="123" fillId="21" borderId="1" xfId="0" applyFont="1" applyFill="1" applyBorder="1" applyAlignment="1" applyProtection="1">
      <alignment horizontal="center" vertical="center"/>
    </xf>
    <xf numFmtId="0" fontId="124" fillId="0" borderId="1" xfId="0" applyFont="1" applyFill="1" applyBorder="1" applyAlignment="1" applyProtection="1">
      <alignment horizontal="center" vertical="center"/>
    </xf>
    <xf numFmtId="0" fontId="111" fillId="0" borderId="0" xfId="0" applyFont="1" applyProtection="1">
      <alignment vertical="center"/>
    </xf>
    <xf numFmtId="0" fontId="112" fillId="0" borderId="1" xfId="0" applyFont="1" applyBorder="1" applyAlignment="1" applyProtection="1">
      <alignment horizontal="center" vertical="center"/>
    </xf>
    <xf numFmtId="0" fontId="0" fillId="7" borderId="7" xfId="0" applyFont="1" applyFill="1" applyBorder="1" applyAlignment="1" applyProtection="1">
      <alignment horizontal="left" vertical="center"/>
    </xf>
    <xf numFmtId="0" fontId="111" fillId="0" borderId="2" xfId="0" applyFont="1" applyBorder="1" applyAlignment="1" applyProtection="1">
      <alignment horizontal="left" vertical="center"/>
    </xf>
    <xf numFmtId="0" fontId="0" fillId="0" borderId="4" xfId="0" applyFont="1" applyBorder="1" applyAlignment="1" applyProtection="1">
      <alignment horizontal="left" vertical="center"/>
    </xf>
    <xf numFmtId="0" fontId="0" fillId="7" borderId="58"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0" fillId="7" borderId="60" xfId="0" applyFont="1" applyFill="1" applyBorder="1" applyAlignment="1" applyProtection="1">
      <alignment horizontal="left" vertical="center"/>
    </xf>
    <xf numFmtId="0" fontId="0" fillId="0" borderId="2" xfId="0" applyFont="1" applyBorder="1" applyAlignment="1" applyProtection="1">
      <alignment horizontal="left" vertical="center"/>
    </xf>
    <xf numFmtId="0" fontId="0" fillId="10" borderId="2" xfId="0" applyFont="1" applyFill="1" applyBorder="1" applyAlignment="1" applyProtection="1">
      <alignment vertical="center"/>
    </xf>
    <xf numFmtId="0" fontId="0" fillId="11" borderId="3" xfId="0" applyFont="1" applyFill="1" applyBorder="1" applyAlignment="1" applyProtection="1">
      <alignment vertical="center"/>
    </xf>
    <xf numFmtId="0" fontId="0" fillId="11" borderId="4" xfId="0" applyFont="1" applyFill="1" applyBorder="1" applyAlignment="1" applyProtection="1">
      <alignment vertical="center"/>
    </xf>
    <xf numFmtId="0" fontId="0" fillId="22" borderId="1" xfId="0" applyFont="1" applyFill="1" applyBorder="1" applyAlignment="1" applyProtection="1">
      <alignment horizontal="left" vertical="center"/>
    </xf>
    <xf numFmtId="0" fontId="125" fillId="0" borderId="0" xfId="0" applyFont="1" applyProtection="1">
      <alignment vertical="center"/>
    </xf>
    <xf numFmtId="0" fontId="111" fillId="0" borderId="0" xfId="0" applyFont="1" applyAlignment="1" applyProtection="1">
      <alignment horizontal="left" vertical="center"/>
    </xf>
    <xf numFmtId="184" fontId="111" fillId="0" borderId="0" xfId="0" applyNumberFormat="1" applyFont="1" applyAlignment="1" applyProtection="1">
      <alignment horizontal="left" vertical="center"/>
    </xf>
    <xf numFmtId="0" fontId="0" fillId="0" borderId="0" xfId="0" applyFont="1" applyProtection="1">
      <alignment vertical="center"/>
      <protection locked="0"/>
    </xf>
    <xf numFmtId="0" fontId="126" fillId="0" borderId="0" xfId="0" applyFont="1" applyBorder="1" applyAlignment="1" applyProtection="1">
      <alignment horizontal="left" vertical="center"/>
    </xf>
    <xf numFmtId="0" fontId="0" fillId="0" borderId="0" xfId="0" applyFont="1" applyBorder="1" applyProtection="1">
      <alignment vertical="center"/>
      <protection locked="0"/>
    </xf>
    <xf numFmtId="0" fontId="121" fillId="0" borderId="0" xfId="0" applyFont="1" applyBorder="1" applyProtection="1">
      <alignment vertical="center"/>
      <protection locked="0"/>
    </xf>
    <xf numFmtId="0" fontId="127" fillId="0" borderId="0" xfId="0" applyFont="1" applyBorder="1" applyAlignment="1" applyProtection="1">
      <alignment horizontal="left" vertical="center"/>
    </xf>
    <xf numFmtId="0" fontId="127" fillId="0" borderId="0" xfId="0" applyFont="1" applyBorder="1" applyAlignment="1" applyProtection="1">
      <alignment horizontal="justify" vertical="center" wrapText="1"/>
    </xf>
    <xf numFmtId="0" fontId="128" fillId="0" borderId="0" xfId="0" applyFont="1" applyBorder="1" applyAlignment="1" applyProtection="1">
      <alignment horizontal="center" vertical="center" wrapText="1"/>
    </xf>
    <xf numFmtId="14" fontId="129" fillId="0" borderId="0" xfId="0" applyNumberFormat="1" applyFont="1" applyFill="1" applyBorder="1" applyAlignment="1" applyProtection="1">
      <alignment horizontal="center" vertical="center" wrapText="1"/>
    </xf>
    <xf numFmtId="0" fontId="129" fillId="0" borderId="0" xfId="0" applyFont="1" applyBorder="1" applyAlignment="1" applyProtection="1">
      <alignment horizontal="center" vertical="center" wrapText="1"/>
    </xf>
    <xf numFmtId="0" fontId="128" fillId="0" borderId="47" xfId="0" applyFont="1" applyBorder="1" applyAlignment="1" applyProtection="1">
      <alignment horizontal="justify" vertical="center" wrapText="1"/>
    </xf>
    <xf numFmtId="0" fontId="128" fillId="0" borderId="0" xfId="0" applyFont="1" applyBorder="1" applyAlignment="1" applyProtection="1">
      <alignment horizontal="right" vertical="center" wrapText="1"/>
    </xf>
    <xf numFmtId="0" fontId="128" fillId="0" borderId="3" xfId="0" applyFont="1" applyBorder="1" applyAlignment="1" applyProtection="1">
      <alignment horizontal="justify" vertical="center" wrapText="1"/>
    </xf>
    <xf numFmtId="0" fontId="130" fillId="0" borderId="0" xfId="0" applyFont="1" applyBorder="1" applyAlignment="1" applyProtection="1">
      <alignment horizontal="center" vertical="center" wrapText="1"/>
      <protection locked="0"/>
    </xf>
    <xf numFmtId="0" fontId="23" fillId="0" borderId="0" xfId="0" applyFont="1" applyProtection="1">
      <alignment vertical="center"/>
    </xf>
    <xf numFmtId="0" fontId="28" fillId="0" borderId="0" xfId="0" applyFont="1" applyBorder="1" applyAlignment="1" applyProtection="1">
      <alignment horizontal="left" vertical="center" wrapText="1"/>
    </xf>
    <xf numFmtId="0" fontId="103" fillId="0" borderId="0" xfId="0" applyFont="1" applyBorder="1" applyAlignment="1" applyProtection="1">
      <alignment horizontal="left" vertical="center" wrapText="1"/>
    </xf>
    <xf numFmtId="0" fontId="72"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protection locked="0"/>
    </xf>
    <xf numFmtId="0" fontId="23" fillId="0" borderId="0" xfId="0" applyFont="1" applyAlignment="1" applyProtection="1">
      <alignment vertical="center" wrapText="1"/>
    </xf>
    <xf numFmtId="0" fontId="19" fillId="0" borderId="0" xfId="0" applyFont="1" applyAlignment="1" applyProtection="1">
      <alignment vertical="center" wrapText="1"/>
      <protection locked="0"/>
    </xf>
    <xf numFmtId="0" fontId="23" fillId="0" borderId="0" xfId="0" applyFont="1" applyAlignment="1" applyProtection="1">
      <alignment vertical="center" wrapText="1"/>
      <protection locked="0"/>
    </xf>
    <xf numFmtId="0" fontId="129" fillId="0" borderId="0" xfId="0" applyFont="1" applyAlignment="1">
      <alignment horizontal="right" vertical="center"/>
    </xf>
    <xf numFmtId="0" fontId="129" fillId="0" borderId="0" xfId="0" applyFont="1">
      <alignment vertical="center"/>
    </xf>
    <xf numFmtId="196" fontId="132" fillId="0" borderId="0" xfId="0" applyNumberFormat="1" applyFont="1" applyAlignment="1" applyProtection="1">
      <alignment horizontal="right" vertical="center"/>
      <protection locked="0"/>
    </xf>
    <xf numFmtId="0" fontId="97" fillId="0" borderId="0" xfId="0" applyFont="1" applyFill="1" applyBorder="1" applyAlignment="1" applyProtection="1">
      <alignment horizontal="center" vertical="center"/>
    </xf>
    <xf numFmtId="0" fontId="28" fillId="0" borderId="67" xfId="0" applyFont="1" applyFill="1" applyBorder="1" applyAlignment="1" applyProtection="1">
      <alignment horizontal="center" vertical="center" wrapText="1"/>
    </xf>
    <xf numFmtId="0" fontId="28" fillId="0" borderId="1" xfId="0" applyFont="1" applyFill="1" applyBorder="1" applyAlignment="1" applyProtection="1">
      <alignment horizontal="center" vertical="center" wrapText="1"/>
    </xf>
    <xf numFmtId="0" fontId="28" fillId="0" borderId="1" xfId="0" applyFont="1" applyFill="1" applyBorder="1" applyAlignment="1" applyProtection="1">
      <alignment horizontal="left" vertical="center" wrapText="1"/>
    </xf>
    <xf numFmtId="194" fontId="28" fillId="0" borderId="1" xfId="0" applyNumberFormat="1"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94" fontId="28" fillId="0" borderId="2" xfId="0" applyNumberFormat="1" applyFont="1" applyFill="1" applyBorder="1" applyAlignment="1" applyProtection="1">
      <alignment horizontal="center" vertical="center" wrapText="1"/>
    </xf>
    <xf numFmtId="194" fontId="28" fillId="0" borderId="3" xfId="0" applyNumberFormat="1" applyFont="1" applyFill="1" applyBorder="1" applyAlignment="1" applyProtection="1">
      <alignment horizontal="center" vertical="center" wrapText="1"/>
    </xf>
    <xf numFmtId="0" fontId="28" fillId="0" borderId="65" xfId="0" applyFont="1" applyFill="1" applyBorder="1" applyAlignment="1" applyProtection="1">
      <alignment horizontal="center" vertical="center" wrapText="1"/>
    </xf>
    <xf numFmtId="194" fontId="28" fillId="0" borderId="65" xfId="0" applyNumberFormat="1" applyFont="1" applyFill="1" applyBorder="1" applyAlignment="1" applyProtection="1">
      <alignment horizontal="center" vertical="center" wrapText="1"/>
    </xf>
    <xf numFmtId="0" fontId="60" fillId="0" borderId="0" xfId="0" applyFont="1" applyFill="1" applyBorder="1" applyAlignment="1" applyProtection="1">
      <alignment horizontal="left" vertical="center"/>
    </xf>
    <xf numFmtId="0" fontId="129" fillId="0" borderId="0" xfId="0" applyFont="1" applyProtection="1">
      <alignment vertical="center"/>
      <protection locked="0"/>
    </xf>
    <xf numFmtId="194" fontId="28" fillId="0" borderId="4" xfId="0" applyNumberFormat="1" applyFont="1" applyFill="1" applyBorder="1" applyAlignment="1" applyProtection="1">
      <alignment horizontal="center" vertical="center" wrapText="1"/>
    </xf>
    <xf numFmtId="0" fontId="23" fillId="0" borderId="0" xfId="63" applyFont="1">
      <alignment vertical="center"/>
    </xf>
    <xf numFmtId="0" fontId="127" fillId="0" borderId="0" xfId="63" applyFont="1" applyProtection="1">
      <alignment vertical="center"/>
    </xf>
    <xf numFmtId="0" fontId="23" fillId="0" borderId="0" xfId="63" applyFont="1" applyProtection="1">
      <alignment vertical="center"/>
    </xf>
    <xf numFmtId="0" fontId="129" fillId="0" borderId="0" xfId="63" applyFont="1" applyAlignment="1" applyProtection="1">
      <alignment horizontal="left" vertical="center" wrapText="1"/>
    </xf>
    <xf numFmtId="0" fontId="127" fillId="0" borderId="0" xfId="63" applyFont="1" applyAlignment="1" applyProtection="1">
      <alignment horizontal="center" vertical="center"/>
    </xf>
    <xf numFmtId="0" fontId="127" fillId="0" borderId="72" xfId="63" applyFont="1" applyBorder="1" applyAlignment="1" applyProtection="1">
      <alignment horizontal="center" vertical="center"/>
    </xf>
    <xf numFmtId="0" fontId="64" fillId="0" borderId="58" xfId="63" applyFont="1" applyFill="1" applyBorder="1" applyAlignment="1" applyProtection="1">
      <alignment horizontal="left" vertical="center" wrapText="1"/>
    </xf>
    <xf numFmtId="0" fontId="72" fillId="0" borderId="60" xfId="63" applyFont="1" applyFill="1" applyBorder="1" applyAlignment="1" applyProtection="1">
      <alignment horizontal="left" vertical="center" wrapText="1"/>
    </xf>
    <xf numFmtId="0" fontId="64" fillId="0" borderId="60" xfId="63" applyFont="1" applyFill="1" applyBorder="1" applyAlignment="1" applyProtection="1">
      <alignment horizontal="center" vertical="center" wrapText="1"/>
    </xf>
    <xf numFmtId="0" fontId="64" fillId="0" borderId="60" xfId="63" applyFont="1" applyFill="1" applyBorder="1" applyAlignment="1" applyProtection="1">
      <alignment horizontal="left" vertical="center" wrapText="1"/>
    </xf>
    <xf numFmtId="0" fontId="103" fillId="0" borderId="1" xfId="63" applyFont="1" applyFill="1" applyBorder="1" applyAlignment="1" applyProtection="1">
      <alignment horizontal="left" vertical="center" wrapText="1"/>
    </xf>
    <xf numFmtId="0" fontId="64" fillId="0" borderId="1" xfId="63" applyFont="1" applyFill="1" applyBorder="1" applyAlignment="1" applyProtection="1">
      <alignment horizontal="center" vertical="center" wrapText="1"/>
    </xf>
    <xf numFmtId="0" fontId="64" fillId="0" borderId="7" xfId="63" applyFont="1" applyFill="1" applyBorder="1" applyAlignment="1" applyProtection="1">
      <alignment vertical="center" wrapText="1"/>
    </xf>
    <xf numFmtId="0" fontId="133" fillId="0" borderId="1" xfId="63" applyFont="1" applyFill="1" applyBorder="1" applyAlignment="1" applyProtection="1">
      <alignment horizontal="left" vertical="center" wrapText="1"/>
    </xf>
    <xf numFmtId="0" fontId="64" fillId="0" borderId="60" xfId="63" applyFont="1" applyFill="1" applyBorder="1" applyAlignment="1" applyProtection="1">
      <alignment vertical="center" wrapText="1"/>
    </xf>
    <xf numFmtId="0" fontId="28" fillId="0" borderId="2" xfId="63" applyFont="1" applyFill="1" applyBorder="1" applyAlignment="1" applyProtection="1">
      <alignment vertical="center" wrapText="1"/>
    </xf>
    <xf numFmtId="0" fontId="102" fillId="0" borderId="1" xfId="63" applyFont="1" applyFill="1" applyBorder="1" applyAlignment="1" applyProtection="1">
      <alignment horizontal="left" vertical="center" wrapText="1"/>
    </xf>
    <xf numFmtId="0" fontId="28" fillId="0" borderId="1" xfId="63" applyFont="1" applyFill="1" applyBorder="1" applyAlignment="1" applyProtection="1">
      <alignment horizontal="center" vertical="center" wrapText="1"/>
    </xf>
    <xf numFmtId="0" fontId="64" fillId="0" borderId="7" xfId="63" applyFont="1" applyFill="1" applyBorder="1" applyAlignment="1" applyProtection="1">
      <alignment horizontal="left" vertical="center" wrapText="1"/>
    </xf>
    <xf numFmtId="0" fontId="72" fillId="0" borderId="1" xfId="63" applyFont="1" applyFill="1" applyBorder="1" applyAlignment="1" applyProtection="1">
      <alignment horizontal="left" vertical="center" wrapText="1"/>
    </xf>
    <xf numFmtId="0" fontId="64" fillId="0" borderId="4" xfId="63" applyFont="1" applyFill="1" applyBorder="1" applyAlignment="1" applyProtection="1">
      <alignment horizontal="center" vertical="center" wrapText="1"/>
    </xf>
    <xf numFmtId="0" fontId="28" fillId="0" borderId="4" xfId="63" applyFont="1" applyFill="1" applyBorder="1" applyAlignment="1" applyProtection="1">
      <alignment horizontal="center" vertical="center" wrapText="1"/>
    </xf>
    <xf numFmtId="0" fontId="81" fillId="0" borderId="1" xfId="63" applyFont="1" applyBorder="1" applyAlignment="1">
      <alignment horizontal="center" vertical="center"/>
    </xf>
    <xf numFmtId="0" fontId="64" fillId="0" borderId="58" xfId="63" applyFont="1" applyFill="1" applyBorder="1" applyAlignment="1" applyProtection="1">
      <alignment vertical="center" wrapText="1"/>
    </xf>
    <xf numFmtId="0" fontId="64" fillId="0" borderId="64" xfId="63" applyFont="1" applyFill="1" applyBorder="1" applyAlignment="1" applyProtection="1">
      <alignment horizontal="left" vertical="center" wrapText="1"/>
    </xf>
    <xf numFmtId="0" fontId="103" fillId="0" borderId="65" xfId="63" applyFont="1" applyFill="1" applyBorder="1" applyAlignment="1" applyProtection="1">
      <alignment horizontal="left" vertical="center" wrapText="1"/>
    </xf>
    <xf numFmtId="0" fontId="28" fillId="0" borderId="65" xfId="63" applyFont="1" applyFill="1" applyBorder="1" applyAlignment="1" applyProtection="1">
      <alignment horizontal="center" vertical="center" wrapText="1"/>
    </xf>
    <xf numFmtId="0" fontId="6" fillId="0" borderId="0" xfId="63" applyFont="1" applyProtection="1">
      <alignment vertical="center"/>
    </xf>
    <xf numFmtId="0" fontId="23" fillId="0" borderId="0" xfId="63" applyFont="1" applyProtection="1">
      <alignment vertical="center"/>
      <protection locked="0"/>
    </xf>
    <xf numFmtId="0" fontId="129" fillId="0" borderId="0" xfId="63" applyFont="1" applyProtection="1">
      <alignment vertical="center"/>
      <protection locked="0"/>
    </xf>
    <xf numFmtId="0" fontId="134" fillId="0" borderId="0" xfId="0" applyFont="1" applyBorder="1" applyAlignment="1">
      <alignment horizontal="center" vertical="center"/>
    </xf>
    <xf numFmtId="0" fontId="23" fillId="0" borderId="0" xfId="0" applyFont="1" applyBorder="1">
      <alignment vertical="center"/>
    </xf>
    <xf numFmtId="0" fontId="127" fillId="0" borderId="0" xfId="0" applyFont="1" applyAlignment="1">
      <alignment vertical="center"/>
    </xf>
    <xf numFmtId="0" fontId="129" fillId="0" borderId="0" xfId="0" applyFont="1" applyAlignment="1">
      <alignment vertical="center" wrapText="1"/>
    </xf>
    <xf numFmtId="0" fontId="135" fillId="0" borderId="0" xfId="0" applyFont="1">
      <alignment vertical="center"/>
    </xf>
    <xf numFmtId="0" fontId="136" fillId="0" borderId="0" xfId="0" applyFont="1">
      <alignment vertical="center"/>
    </xf>
    <xf numFmtId="0" fontId="137" fillId="0" borderId="0" xfId="0" applyFont="1" applyAlignment="1" applyProtection="1">
      <alignment vertical="center" wrapText="1"/>
      <protection locked="0"/>
    </xf>
    <xf numFmtId="0" fontId="129" fillId="0" borderId="0" xfId="0" applyFont="1" applyFill="1" applyAlignment="1">
      <alignment vertical="center" wrapText="1"/>
    </xf>
    <xf numFmtId="0" fontId="127" fillId="0" borderId="0" xfId="0" applyFont="1">
      <alignment vertical="center"/>
    </xf>
    <xf numFmtId="183" fontId="129" fillId="0" borderId="0" xfId="0" applyNumberFormat="1" applyFont="1" applyAlignment="1">
      <alignment horizontal="left" vertical="center"/>
    </xf>
    <xf numFmtId="0" fontId="132" fillId="7" borderId="0" xfId="0" applyFont="1" applyFill="1" applyProtection="1">
      <alignment vertical="center"/>
      <protection locked="0"/>
    </xf>
    <xf numFmtId="0" fontId="138" fillId="0" borderId="0" xfId="62" applyFont="1">
      <alignment vertical="center"/>
    </xf>
    <xf numFmtId="0" fontId="0" fillId="0" borderId="0" xfId="62">
      <alignment vertical="center"/>
    </xf>
    <xf numFmtId="0" fontId="139" fillId="0" borderId="0" xfId="62" applyFont="1" applyAlignment="1" applyProtection="1">
      <alignment horizontal="left" vertical="top" wrapText="1"/>
    </xf>
    <xf numFmtId="0" fontId="138" fillId="0" borderId="0" xfId="62" applyFont="1" applyAlignment="1">
      <alignment vertical="top" wrapText="1"/>
    </xf>
    <xf numFmtId="0" fontId="139" fillId="0" borderId="0" xfId="62" applyFont="1">
      <alignment vertical="center"/>
    </xf>
    <xf numFmtId="0" fontId="34" fillId="0" borderId="72" xfId="0" applyFont="1" applyBorder="1" applyProtection="1">
      <alignment vertical="center"/>
    </xf>
    <xf numFmtId="0" fontId="34" fillId="0" borderId="134" xfId="0" applyFont="1" applyBorder="1" applyProtection="1">
      <alignment vertical="center"/>
    </xf>
    <xf numFmtId="0" fontId="34" fillId="0" borderId="0" xfId="0" applyFont="1" applyBorder="1" applyProtection="1">
      <alignment vertical="center"/>
    </xf>
    <xf numFmtId="0" fontId="34" fillId="0" borderId="0" xfId="22" applyFont="1" applyBorder="1" applyAlignment="1" applyProtection="1">
      <alignment vertical="center" wrapText="1"/>
    </xf>
    <xf numFmtId="0" fontId="34" fillId="0" borderId="0" xfId="0" applyFont="1" applyAlignment="1" applyProtection="1">
      <alignment horizontal="left" vertical="center"/>
    </xf>
    <xf numFmtId="0" fontId="34" fillId="0" borderId="0" xfId="0" applyFont="1" applyProtection="1">
      <alignment vertical="center"/>
    </xf>
    <xf numFmtId="0" fontId="34" fillId="0" borderId="65" xfId="22" applyFont="1" applyBorder="1" applyAlignment="1" applyProtection="1">
      <alignment horizontal="left" vertical="center" wrapText="1"/>
    </xf>
    <xf numFmtId="0" fontId="72" fillId="0" borderId="65" xfId="0" applyFont="1" applyBorder="1" applyAlignment="1" applyProtection="1">
      <alignment horizontal="left" vertical="center"/>
    </xf>
    <xf numFmtId="0" fontId="34" fillId="0" borderId="67" xfId="22" applyFont="1" applyBorder="1" applyAlignment="1" applyProtection="1">
      <alignment vertical="center" wrapText="1"/>
    </xf>
    <xf numFmtId="0" fontId="34" fillId="0" borderId="67" xfId="0" applyFont="1" applyBorder="1" applyAlignment="1" applyProtection="1">
      <alignment horizontal="left" vertical="center"/>
    </xf>
    <xf numFmtId="0" fontId="34" fillId="0" borderId="1" xfId="22" applyFont="1" applyBorder="1" applyAlignment="1" applyProtection="1">
      <alignment vertical="center" wrapText="1"/>
    </xf>
    <xf numFmtId="0" fontId="34" fillId="0" borderId="1" xfId="0" applyFont="1" applyBorder="1" applyAlignment="1" applyProtection="1">
      <alignment horizontal="left" vertical="center"/>
    </xf>
    <xf numFmtId="0" fontId="34" fillId="0" borderId="65" xfId="22" applyFont="1" applyBorder="1" applyAlignment="1" applyProtection="1">
      <alignment vertical="center" wrapText="1"/>
    </xf>
    <xf numFmtId="0" fontId="34" fillId="0" borderId="65" xfId="0" applyFont="1" applyBorder="1" applyAlignment="1" applyProtection="1">
      <alignment horizontal="left" vertical="center"/>
    </xf>
    <xf numFmtId="196" fontId="34" fillId="0" borderId="65" xfId="0" applyNumberFormat="1" applyFont="1" applyBorder="1" applyAlignment="1" applyProtection="1">
      <alignment horizontal="left" vertical="center"/>
    </xf>
    <xf numFmtId="0" fontId="34" fillId="0" borderId="60" xfId="22" applyFont="1" applyBorder="1" applyAlignment="1" applyProtection="1">
      <alignment vertical="center" wrapText="1"/>
    </xf>
    <xf numFmtId="14" fontId="34" fillId="0" borderId="60" xfId="0" applyNumberFormat="1" applyFont="1" applyBorder="1" applyAlignment="1" applyProtection="1">
      <alignment horizontal="left" vertical="center"/>
    </xf>
    <xf numFmtId="14" fontId="34" fillId="0" borderId="1" xfId="0" applyNumberFormat="1" applyFont="1" applyBorder="1" applyAlignment="1" applyProtection="1">
      <alignment horizontal="left" vertical="center"/>
    </xf>
  </cellXfs>
  <cellStyles count="65">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百分比 2" xfId="13"/>
    <cellStyle name="注释" xfId="14" builtinId="10"/>
    <cellStyle name="常规 6"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常规 8" xfId="22"/>
    <cellStyle name="标题 1" xfId="23" builtinId="16"/>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链接单元格" xfId="31" builtinId="24"/>
    <cellStyle name="常规 6 2 3" xfId="32"/>
    <cellStyle name="20% - 强调文字颜色 6" xfId="33" builtinId="50"/>
    <cellStyle name="强调文字颜色 2" xfId="34" builtinId="33"/>
    <cellStyle name="汇总" xfId="35" builtinId="25"/>
    <cellStyle name="好" xfId="36" builtinId="26"/>
    <cellStyle name="常规 16" xfId="37"/>
    <cellStyle name="常规 2 2 2 2 3" xfId="38"/>
    <cellStyle name="适中" xfId="39" builtinId="28"/>
    <cellStyle name="常规 6 2 2" xfId="40"/>
    <cellStyle name="20% - 强调文字颜色 5" xfId="41" builtinId="46"/>
    <cellStyle name="强调文字颜色 1" xfId="42" builtinId="29"/>
    <cellStyle name="20% - 强调文字颜色 1" xfId="43" builtinId="30"/>
    <cellStyle name="40% - 强调文字颜色 1" xfId="44" builtinId="31"/>
    <cellStyle name="20% - 强调文字颜色 2" xfId="45" builtinId="34"/>
    <cellStyle name="40% - 强调文字颜色 2" xfId="46" builtinId="35"/>
    <cellStyle name="强调文字颜色 3" xfId="47" builtinId="37"/>
    <cellStyle name="常规 3 2" xfId="48"/>
    <cellStyle name="强调文字颜色 4" xfId="49" builtinId="41"/>
    <cellStyle name="20% - 强调文字颜色 4" xfId="50" builtinId="42"/>
    <cellStyle name="40% - 强调文字颜色 4" xfId="51" builtinId="43"/>
    <cellStyle name="强调文字颜色 5" xfId="52" builtinId="45"/>
    <cellStyle name="常规 2 2" xfId="53"/>
    <cellStyle name="40% - 强调文字颜色 5" xfId="54" builtinId="47"/>
    <cellStyle name="60% - 强调文字颜色 5" xfId="55" builtinId="48"/>
    <cellStyle name="强调文字颜色 6" xfId="56" builtinId="49"/>
    <cellStyle name="40% - 强调文字颜色 6" xfId="57" builtinId="51"/>
    <cellStyle name="60% - 强调文字颜色 6" xfId="58" builtinId="52"/>
    <cellStyle name="常规 2" xfId="59"/>
    <cellStyle name="常规 3" xfId="60"/>
    <cellStyle name="常规 4" xfId="61"/>
    <cellStyle name="常规 5" xfId="62"/>
    <cellStyle name="常规 7" xfId="63"/>
    <cellStyle name="常规 9" xfId="64"/>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2" Type="http://schemas.openxmlformats.org/officeDocument/2006/relationships/customXml" Target="../customXml/item1.xml"/><Relationship Id="rId51" Type="http://schemas.openxmlformats.org/officeDocument/2006/relationships/sharedStrings" Target="sharedStrings.xml"/><Relationship Id="rId50" Type="http://schemas.openxmlformats.org/officeDocument/2006/relationships/styles" Target="styles.xml"/><Relationship Id="rId5" Type="http://schemas.openxmlformats.org/officeDocument/2006/relationships/worksheet" Target="worksheets/sheet5.xml"/><Relationship Id="rId49" Type="http://schemas.openxmlformats.org/officeDocument/2006/relationships/theme" Target="theme/theme1.xml"/><Relationship Id="rId48" Type="http://schemas.openxmlformats.org/officeDocument/2006/relationships/externalLink" Target="externalLinks/externalLink1.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7"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635</xdr:colOff>
      <xdr:row>10</xdr:row>
      <xdr:rowOff>77470</xdr:rowOff>
    </xdr:from>
    <xdr:to>
      <xdr:col>11</xdr:col>
      <xdr:colOff>31115</xdr:colOff>
      <xdr:row>30</xdr:row>
      <xdr:rowOff>129540</xdr:rowOff>
    </xdr:to>
    <xdr:pic>
      <xdr:nvPicPr>
        <xdr:cNvPr id="3" name="图片 2"/>
        <xdr:cNvPicPr>
          <a:picLocks noChangeAspect="1"/>
        </xdr:cNvPicPr>
      </xdr:nvPicPr>
      <xdr:blipFill>
        <a:blip r:embed="rId1"/>
        <a:stretch>
          <a:fillRect/>
        </a:stretch>
      </xdr:blipFill>
      <xdr:spPr>
        <a:xfrm>
          <a:off x="635" y="1906270"/>
          <a:ext cx="7505700" cy="3709670"/>
        </a:xfrm>
        <a:prstGeom prst="rect">
          <a:avLst/>
        </a:prstGeom>
        <a:noFill/>
        <a:ln w="9525">
          <a:noFill/>
        </a:ln>
      </xdr:spPr>
    </xdr:pic>
    <xdr:clientData/>
  </xdr:twoCellAnchor>
  <xdr:twoCellAnchor editAs="oneCell">
    <xdr:from>
      <xdr:col>11</xdr:col>
      <xdr:colOff>125095</xdr:colOff>
      <xdr:row>10</xdr:row>
      <xdr:rowOff>106045</xdr:rowOff>
    </xdr:from>
    <xdr:to>
      <xdr:col>18</xdr:col>
      <xdr:colOff>388620</xdr:colOff>
      <xdr:row>37</xdr:row>
      <xdr:rowOff>22860</xdr:rowOff>
    </xdr:to>
    <xdr:pic>
      <xdr:nvPicPr>
        <xdr:cNvPr id="5" name="图片 4"/>
        <xdr:cNvPicPr>
          <a:picLocks noChangeAspect="1"/>
        </xdr:cNvPicPr>
      </xdr:nvPicPr>
      <xdr:blipFill>
        <a:blip r:embed="rId2"/>
        <a:stretch>
          <a:fillRect/>
        </a:stretch>
      </xdr:blipFill>
      <xdr:spPr>
        <a:xfrm>
          <a:off x="7600315" y="1934845"/>
          <a:ext cx="5163185" cy="4854575"/>
        </a:xfrm>
        <a:prstGeom prst="rect">
          <a:avLst/>
        </a:prstGeom>
        <a:noFill/>
        <a:ln w="9525">
          <a:noFill/>
        </a:ln>
      </xdr:spPr>
    </xdr:pic>
    <xdr:clientData/>
  </xdr:twoCellAnchor>
  <xdr:twoCellAnchor editAs="oneCell">
    <xdr:from>
      <xdr:col>0</xdr:col>
      <xdr:colOff>635</xdr:colOff>
      <xdr:row>55</xdr:row>
      <xdr:rowOff>29210</xdr:rowOff>
    </xdr:from>
    <xdr:to>
      <xdr:col>10</xdr:col>
      <xdr:colOff>666115</xdr:colOff>
      <xdr:row>79</xdr:row>
      <xdr:rowOff>60960</xdr:rowOff>
    </xdr:to>
    <xdr:pic>
      <xdr:nvPicPr>
        <xdr:cNvPr id="6" name="图片 5"/>
        <xdr:cNvPicPr>
          <a:picLocks noChangeAspect="1"/>
        </xdr:cNvPicPr>
      </xdr:nvPicPr>
      <xdr:blipFill>
        <a:blip r:embed="rId3"/>
        <a:stretch>
          <a:fillRect/>
        </a:stretch>
      </xdr:blipFill>
      <xdr:spPr>
        <a:xfrm>
          <a:off x="635" y="10087610"/>
          <a:ext cx="7409180" cy="4420870"/>
        </a:xfrm>
        <a:prstGeom prst="rect">
          <a:avLst/>
        </a:prstGeom>
        <a:noFill/>
        <a:ln w="9525">
          <a:noFill/>
        </a:ln>
      </xdr:spPr>
    </xdr:pic>
    <xdr:clientData/>
  </xdr:twoCellAnchor>
  <xdr:twoCellAnchor editAs="oneCell">
    <xdr:from>
      <xdr:col>0</xdr:col>
      <xdr:colOff>635</xdr:colOff>
      <xdr:row>33</xdr:row>
      <xdr:rowOff>53340</xdr:rowOff>
    </xdr:from>
    <xdr:to>
      <xdr:col>10</xdr:col>
      <xdr:colOff>650875</xdr:colOff>
      <xdr:row>52</xdr:row>
      <xdr:rowOff>160020</xdr:rowOff>
    </xdr:to>
    <xdr:pic>
      <xdr:nvPicPr>
        <xdr:cNvPr id="7" name="图片 6"/>
        <xdr:cNvPicPr>
          <a:picLocks noChangeAspect="1"/>
        </xdr:cNvPicPr>
      </xdr:nvPicPr>
      <xdr:blipFill>
        <a:blip r:embed="rId4"/>
        <a:stretch>
          <a:fillRect/>
        </a:stretch>
      </xdr:blipFill>
      <xdr:spPr>
        <a:xfrm>
          <a:off x="635" y="6088380"/>
          <a:ext cx="7393940" cy="3581400"/>
        </a:xfrm>
        <a:prstGeom prst="rect">
          <a:avLst/>
        </a:prstGeom>
        <a:noFill/>
        <a:ln w="9525">
          <a:noFill/>
        </a:ln>
      </xdr:spPr>
    </xdr:pic>
    <xdr:clientData/>
  </xdr:twoCellAnchor>
  <xdr:twoCellAnchor editAs="oneCell">
    <xdr:from>
      <xdr:col>11</xdr:col>
      <xdr:colOff>0</xdr:colOff>
      <xdr:row>39</xdr:row>
      <xdr:rowOff>0</xdr:rowOff>
    </xdr:from>
    <xdr:to>
      <xdr:col>17</xdr:col>
      <xdr:colOff>213360</xdr:colOff>
      <xdr:row>45</xdr:row>
      <xdr:rowOff>7620</xdr:rowOff>
    </xdr:to>
    <xdr:pic>
      <xdr:nvPicPr>
        <xdr:cNvPr id="8" name="图片 7"/>
        <xdr:cNvPicPr>
          <a:picLocks noChangeAspect="1"/>
        </xdr:cNvPicPr>
      </xdr:nvPicPr>
      <xdr:blipFill>
        <a:blip r:embed="rId5"/>
        <a:stretch>
          <a:fillRect/>
        </a:stretch>
      </xdr:blipFill>
      <xdr:spPr>
        <a:xfrm>
          <a:off x="7475220" y="7132320"/>
          <a:ext cx="4503420" cy="1104900"/>
        </a:xfrm>
        <a:prstGeom prst="rect">
          <a:avLst/>
        </a:prstGeom>
        <a:noFill/>
        <a:ln w="9525">
          <a:noFill/>
        </a:ln>
      </xdr:spPr>
    </xdr:pic>
    <xdr:clientData/>
  </xdr:twoCellAnchor>
  <xdr:twoCellAnchor editAs="oneCell">
    <xdr:from>
      <xdr:col>11</xdr:col>
      <xdr:colOff>0</xdr:colOff>
      <xdr:row>45</xdr:row>
      <xdr:rowOff>0</xdr:rowOff>
    </xdr:from>
    <xdr:to>
      <xdr:col>24</xdr:col>
      <xdr:colOff>198120</xdr:colOff>
      <xdr:row>47</xdr:row>
      <xdr:rowOff>114300</xdr:rowOff>
    </xdr:to>
    <xdr:pic>
      <xdr:nvPicPr>
        <xdr:cNvPr id="9" name="图片 8"/>
        <xdr:cNvPicPr>
          <a:picLocks noChangeAspect="1"/>
        </xdr:cNvPicPr>
      </xdr:nvPicPr>
      <xdr:blipFill>
        <a:blip r:embed="rId6"/>
        <a:stretch>
          <a:fillRect/>
        </a:stretch>
      </xdr:blipFill>
      <xdr:spPr>
        <a:xfrm>
          <a:off x="7475220" y="8229600"/>
          <a:ext cx="8755380" cy="480060"/>
        </a:xfrm>
        <a:prstGeom prst="rect">
          <a:avLst/>
        </a:prstGeom>
        <a:noFill/>
        <a:ln w="9525">
          <a:noFill/>
        </a:ln>
      </xdr:spPr>
    </xdr:pic>
    <xdr:clientData/>
  </xdr:twoCellAnchor>
  <xdr:twoCellAnchor editAs="oneCell">
    <xdr:from>
      <xdr:col>15</xdr:col>
      <xdr:colOff>523240</xdr:colOff>
      <xdr:row>11</xdr:row>
      <xdr:rowOff>15240</xdr:rowOff>
    </xdr:from>
    <xdr:to>
      <xdr:col>24</xdr:col>
      <xdr:colOff>129540</xdr:colOff>
      <xdr:row>34</xdr:row>
      <xdr:rowOff>152400</xdr:rowOff>
    </xdr:to>
    <xdr:pic>
      <xdr:nvPicPr>
        <xdr:cNvPr id="10" name="图片 9"/>
        <xdr:cNvPicPr>
          <a:picLocks noChangeAspect="1"/>
        </xdr:cNvPicPr>
      </xdr:nvPicPr>
      <xdr:blipFill>
        <a:blip r:embed="rId7"/>
        <a:stretch>
          <a:fillRect/>
        </a:stretch>
      </xdr:blipFill>
      <xdr:spPr>
        <a:xfrm>
          <a:off x="10688320" y="2026920"/>
          <a:ext cx="5473700" cy="434340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6.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B19" sqref="B19"/>
    </sheetView>
  </sheetViews>
  <sheetFormatPr defaultColWidth="9" defaultRowHeight="15.6" outlineLevelCol="1"/>
  <cols>
    <col min="1" max="1" width="35.6666666666667" style="3499" customWidth="1"/>
    <col min="2" max="2" width="81" style="3500" customWidth="1"/>
    <col min="3" max="16384" width="9" style="3501"/>
  </cols>
  <sheetData>
    <row r="1" s="3496" customFormat="1" ht="16.35" spans="1:2">
      <c r="A1" s="3502" t="s">
        <v>0</v>
      </c>
      <c r="B1" s="3503" t="s">
        <v>1</v>
      </c>
    </row>
    <row r="2" s="3497" customFormat="1" ht="16.35" spans="1:2">
      <c r="A2" s="3504" t="s">
        <v>2</v>
      </c>
      <c r="B2" s="3505" t="str">
        <f>'预评函-封皮'!B37:I37</f>
        <v>北京市预评估</v>
      </c>
    </row>
    <row r="3" s="3498" customFormat="1" spans="1:2">
      <c r="A3" s="3506" t="s">
        <v>3</v>
      </c>
      <c r="B3" s="3507">
        <f>'预评函-封皮'!B40</f>
        <v>0</v>
      </c>
    </row>
    <row r="4" s="3498" customFormat="1" spans="1:2">
      <c r="A4" s="3506" t="s">
        <v>4</v>
      </c>
      <c r="B4" s="3507" t="str">
        <f ca="1">'预评函-封皮'!B46</f>
        <v>（注册号：0)、（注册号：0)</v>
      </c>
    </row>
    <row r="5" s="3496" customFormat="1" ht="16.35" spans="1:2">
      <c r="A5" s="3508" t="s">
        <v>5</v>
      </c>
      <c r="B5" s="3509" t="str">
        <f>'预评函-封皮'!B49</f>
        <v>康正预评字号</v>
      </c>
    </row>
    <row r="6" s="3497" customFormat="1" ht="16.35" spans="1:2">
      <c r="A6" s="3504" t="s">
        <v>6</v>
      </c>
      <c r="B6" s="3505" t="str">
        <f>'预评函-1'!A4</f>
        <v>受贵公司委托，我公司对北京市进行了预评估。</v>
      </c>
    </row>
    <row r="7" s="3498" customFormat="1" spans="1:2">
      <c r="A7" s="3506" t="s">
        <v>7</v>
      </c>
      <c r="B7" s="3507" t="str">
        <f>'预评函-1'!A7</f>
        <v>估价对象为北京市房地产，为所有。根据《国有土地使用证》[]，估价对象（分摊）出让国有建设用地使用权面积为15415.9平方米，建筑面积为18907.05平方米。</v>
      </c>
    </row>
    <row r="8" s="3498" customFormat="1" spans="1:2">
      <c r="A8" s="3506" t="s">
        <v>8</v>
      </c>
      <c r="B8" s="3507" t="str">
        <f>'预评函-1'!A8</f>
        <v>估价对象简述。项目推广名，项目类型（用途），估价对象分布，各用途面积明细情况：XX用途建筑面积XX平方米，XX用途建筑面积XX平方米，……。复杂面积清单需设‘附表’列示：抵押物清单详见附表</v>
      </c>
    </row>
    <row r="9" s="3498" customFormat="1" spans="1:2">
      <c r="A9" s="3506" t="s">
        <v>9</v>
      </c>
      <c r="B9" s="3507" t="str">
        <f>'预评函-1'!A10</f>
        <v>估价对象为北京市房地产,属开发建设的，该项目尚在开发建设中。根据《国有土地使用证》[]，估价对象（分摊）出让国有建设用地使用权面积为15415.9平方米，规划建筑面积为18907.05平方米。</v>
      </c>
    </row>
    <row r="10" s="3498" customFormat="1" spans="1:2">
      <c r="A10" s="3506" t="s">
        <v>10</v>
      </c>
      <c r="B10" s="350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498" customFormat="1" spans="1:2">
      <c r="A11" s="3506" t="s">
        <v>11</v>
      </c>
      <c r="B11" s="3507" t="str">
        <f>'预评函-1'!A13</f>
        <v>为估价委托人了解估价对象房地产市场价值提供参考依据。</v>
      </c>
    </row>
    <row r="12" s="3498" customFormat="1" spans="1:2">
      <c r="A12" s="3506" t="s">
        <v>12</v>
      </c>
      <c r="B12" s="3507" t="str">
        <f>'预评函-1'!A15</f>
        <v>2022年8月29日</v>
      </c>
    </row>
    <row r="13" s="3498" customFormat="1" spans="1:2">
      <c r="A13" s="3506" t="s">
        <v>13</v>
      </c>
      <c r="B13" s="3507" t="str">
        <f>'预评函-1'!A18</f>
        <v>本次估价的“房地产价值”是指在正常市场情况下，在价值时点2022年8月29日，估价对象规划用途为，土地取得方式为出让，出让国有建设用地使用权剩余土地使用年限为，假定未设立法定优先受偿款下的房地产市场价值。</v>
      </c>
    </row>
    <row r="14" s="3498" customFormat="1" spans="1:2">
      <c r="A14" s="3506" t="s">
        <v>14</v>
      </c>
      <c r="B14" s="350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498" customFormat="1" spans="1:2">
      <c r="A15" s="3506" t="s">
        <v>15</v>
      </c>
      <c r="B15" s="3507"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3498" customFormat="1" spans="1:2">
      <c r="A16" s="3506" t="s">
        <v>16</v>
      </c>
      <c r="B16" s="3507" t="str">
        <f>'预评函-1'!A21</f>
        <v>法定优先受偿款是指假定在价值时点实现抵押权时，法律规定优先于本次抵押贷款受偿的款额，包括发包人拖欠承包人的建筑工程款，已抵押担保的债权数额以及其他法定优先受偿款。</v>
      </c>
    </row>
    <row r="17" s="3498" customFormat="1" spans="1:2">
      <c r="A17" s="3506" t="s">
        <v>17</v>
      </c>
      <c r="B17" s="3507" t="str">
        <f>'预评函-1'!A22</f>
        <v>本次估价的“抵押净值”是指估价对象“房地产抵押价值”减去估价对象在价值时点以“房地产销售收入”为基数计算的预计抵押权实现进行处置时需缴纳的各项费用、税金等相关费用后的价值。</v>
      </c>
    </row>
    <row r="18" s="3496" customFormat="1" ht="16.35" spans="1:2">
      <c r="A18" s="3508" t="s">
        <v>18</v>
      </c>
      <c r="B18" s="3509" t="str">
        <f>'预评函-1'!A24</f>
        <v>本次评估采用的主估价方法为成本法和假设开发法。</v>
      </c>
    </row>
    <row r="19" s="3497" customFormat="1" ht="16.35" spans="1:2">
      <c r="A19" s="3504" t="s">
        <v>19</v>
      </c>
      <c r="B19" s="350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498" customFormat="1" spans="1:2">
      <c r="A20" s="3506" t="s">
        <v>20</v>
      </c>
      <c r="B20" s="3507">
        <f ca="1">'预评函-2'!D5</f>
        <v>15532</v>
      </c>
    </row>
    <row r="21" s="3498" customFormat="1" spans="1:2">
      <c r="A21" s="3506" t="s">
        <v>21</v>
      </c>
      <c r="B21" s="3507">
        <f ca="1">'预评函-2'!D7</f>
        <v>8215</v>
      </c>
    </row>
    <row r="22" s="3498" customFormat="1" spans="1:2">
      <c r="A22" s="3506" t="s">
        <v>22</v>
      </c>
      <c r="B22" s="3507" t="str">
        <f ca="1">'预评函-2'!D6</f>
        <v>壹亿伍仟伍佰叁拾贰万元整</v>
      </c>
    </row>
    <row r="23" s="3498" customFormat="1" spans="1:2">
      <c r="A23" s="3506" t="s">
        <v>23</v>
      </c>
      <c r="B23" s="3507" t="str">
        <f>'预评函-2'!B8</f>
        <v>2.估价师知悉的法定优先受偿款</v>
      </c>
    </row>
    <row r="24" s="3498" customFormat="1" spans="1:2">
      <c r="A24" s="3506" t="s">
        <v>24</v>
      </c>
      <c r="B24" s="3507">
        <f>'预评函-2'!D8</f>
        <v>0</v>
      </c>
    </row>
    <row r="25" s="3498" customFormat="1" spans="1:2">
      <c r="A25" s="3506" t="s">
        <v>25</v>
      </c>
      <c r="B25" s="3507" t="str">
        <f>'预评函-2'!D9</f>
        <v>零元整</v>
      </c>
    </row>
    <row r="26" s="3498" customFormat="1" spans="1:2">
      <c r="A26" s="3506" t="s">
        <v>26</v>
      </c>
      <c r="B26" s="3507">
        <f>'预评函-2'!D10</f>
        <v>0</v>
      </c>
    </row>
    <row r="27" s="3498" customFormat="1" spans="1:2">
      <c r="A27" s="3506" t="s">
        <v>27</v>
      </c>
      <c r="B27" s="3507">
        <f>'预评函-2'!D11</f>
        <v>0</v>
      </c>
    </row>
    <row r="28" s="3498" customFormat="1" spans="1:2">
      <c r="A28" s="3506" t="s">
        <v>28</v>
      </c>
      <c r="B28" s="3507">
        <f>'预评函-2'!D12</f>
        <v>0</v>
      </c>
    </row>
    <row r="29" s="3498" customFormat="1" spans="1:2">
      <c r="A29" s="3506" t="s">
        <v>29</v>
      </c>
      <c r="B29" s="3507" t="str">
        <f>'预评函-2'!B13</f>
        <v>3.房地产抵押价值</v>
      </c>
    </row>
    <row r="30" s="3498" customFormat="1" spans="1:2">
      <c r="A30" s="3506" t="s">
        <v>30</v>
      </c>
      <c r="B30" s="3507">
        <f ca="1">'预评函-2'!D13</f>
        <v>15532</v>
      </c>
    </row>
    <row r="31" s="3498" customFormat="1" spans="1:2">
      <c r="A31" s="3506" t="s">
        <v>31</v>
      </c>
      <c r="B31" s="3507">
        <f ca="1">'预评函-2'!D15</f>
        <v>8215</v>
      </c>
    </row>
    <row r="32" s="3498" customFormat="1" spans="1:2">
      <c r="A32" s="3506" t="s">
        <v>32</v>
      </c>
      <c r="B32" s="3507" t="str">
        <f ca="1">'预评函-2'!D14</f>
        <v>壹亿伍仟伍佰叁拾贰万元整</v>
      </c>
    </row>
    <row r="33" s="3498" customFormat="1" spans="1:2">
      <c r="A33" s="3506" t="s">
        <v>33</v>
      </c>
      <c r="B33" s="3507" t="str">
        <f>'预评函-2'!B16</f>
        <v>——</v>
      </c>
    </row>
    <row r="34" s="3498" customFormat="1" spans="1:2">
      <c r="A34" s="3506" t="s">
        <v>34</v>
      </c>
      <c r="B34" s="3507" t="str">
        <f ca="1">'预评函-2'!D16</f>
        <v>——</v>
      </c>
    </row>
    <row r="35" s="3498" customFormat="1" spans="1:2">
      <c r="A35" s="3506" t="s">
        <v>35</v>
      </c>
      <c r="B35" s="3507" t="str">
        <f ca="1">'预评函-2'!D18</f>
        <v>——</v>
      </c>
    </row>
    <row r="36" s="3498" customFormat="1" spans="1:2">
      <c r="A36" s="3506" t="s">
        <v>36</v>
      </c>
      <c r="B36" s="3507" t="e">
        <f ca="1">'预评函-2'!D17</f>
        <v>#VALUE!</v>
      </c>
    </row>
    <row r="37" s="3498" customFormat="1" spans="1:2">
      <c r="A37" s="3506" t="s">
        <v>37</v>
      </c>
      <c r="B37" s="3507" t="str">
        <f>'预评函-2'!B19</f>
        <v>——</v>
      </c>
    </row>
    <row r="38" s="3498" customFormat="1" spans="1:2">
      <c r="A38" s="3506" t="s">
        <v>38</v>
      </c>
      <c r="B38" s="3507" t="str">
        <f ca="1">'预评函-2'!D19</f>
        <v>——</v>
      </c>
    </row>
    <row r="39" s="3498" customFormat="1" spans="1:2">
      <c r="A39" s="3506" t="s">
        <v>39</v>
      </c>
      <c r="B39" s="3507" t="str">
        <f ca="1">'预评函-2'!D21</f>
        <v>——</v>
      </c>
    </row>
    <row r="40" s="3498" customFormat="1" spans="1:2">
      <c r="A40" s="3506" t="s">
        <v>40</v>
      </c>
      <c r="B40" s="3507" t="e">
        <f ca="1">'预评函-2'!D20</f>
        <v>#VALUE!</v>
      </c>
    </row>
    <row r="41" s="3498" customFormat="1" spans="1:2">
      <c r="A41" s="3506" t="s">
        <v>41</v>
      </c>
      <c r="B41" s="3507" t="str">
        <f>'预评函-3'!A4</f>
        <v>北京市房地产</v>
      </c>
    </row>
    <row r="42" s="3498" customFormat="1" ht="31.2" spans="1:2">
      <c r="A42" s="3506" t="s">
        <v>42</v>
      </c>
      <c r="B42" s="3507" t="str">
        <f>'预评函-3'!B2</f>
        <v>建筑面积</v>
      </c>
    </row>
    <row r="43" s="3498" customFormat="1" spans="1:2">
      <c r="A43" s="3506" t="s">
        <v>43</v>
      </c>
      <c r="B43" s="3507">
        <f>'预评函-3'!B4</f>
        <v>18907.05</v>
      </c>
    </row>
    <row r="44" s="3498" customFormat="1" ht="31.2" spans="1:2">
      <c r="A44" s="3506" t="s">
        <v>44</v>
      </c>
      <c r="B44" s="3507" t="str">
        <f>'预评函-3'!C2</f>
        <v>(分摊)土地面积</v>
      </c>
    </row>
    <row r="45" s="3498" customFormat="1" spans="1:2">
      <c r="A45" s="3506" t="s">
        <v>45</v>
      </c>
      <c r="B45" s="3507">
        <f>'预评函-3'!C4</f>
        <v>15415.9</v>
      </c>
    </row>
    <row r="46" s="3498" customFormat="1" spans="1:2">
      <c r="A46" s="3506" t="s">
        <v>46</v>
      </c>
      <c r="B46" s="3507" t="str">
        <f>'预评函-3'!D2</f>
        <v>出让国有建设用地使用权价值</v>
      </c>
    </row>
    <row r="47" s="3498" customFormat="1" spans="1:2">
      <c r="A47" s="3506" t="s">
        <v>47</v>
      </c>
      <c r="B47" s="3507">
        <f ca="1">'预评函-3'!D4</f>
        <v>6648</v>
      </c>
    </row>
    <row r="48" s="3498" customFormat="1" spans="1:2">
      <c r="A48" s="3506" t="s">
        <v>48</v>
      </c>
      <c r="B48" s="3507">
        <f ca="1">'预评函-3'!E4</f>
        <v>3516</v>
      </c>
    </row>
    <row r="49" s="3498" customFormat="1" spans="1:2">
      <c r="A49" s="3506" t="s">
        <v>49</v>
      </c>
      <c r="B49" s="3507" t="str">
        <f ca="1">'预评函-3'!D5</f>
        <v>陆仟陆佰肆拾捌万元整</v>
      </c>
    </row>
    <row r="50" s="3498" customFormat="1" spans="1:2">
      <c r="A50" s="3506" t="s">
        <v>50</v>
      </c>
      <c r="B50" s="3507" t="str">
        <f>'预评函-3'!F2</f>
        <v>在建建筑物价值</v>
      </c>
    </row>
    <row r="51" s="3498" customFormat="1" spans="1:2">
      <c r="A51" s="3506" t="s">
        <v>51</v>
      </c>
      <c r="B51" s="3507">
        <f ca="1">'预评函-3'!F4</f>
        <v>8884</v>
      </c>
    </row>
    <row r="52" s="3498" customFormat="1" spans="1:2">
      <c r="A52" s="3506" t="s">
        <v>52</v>
      </c>
      <c r="B52" s="3507">
        <f ca="1">'预评函-3'!G4</f>
        <v>4699</v>
      </c>
    </row>
    <row r="53" s="3498" customFormat="1" spans="1:2">
      <c r="A53" s="3506" t="s">
        <v>53</v>
      </c>
      <c r="B53" s="3507" t="str">
        <f ca="1">'预评函-3'!F5</f>
        <v>捌仟捌佰捌拾肆万元整</v>
      </c>
    </row>
    <row r="54" s="3498" customFormat="1" spans="1:2">
      <c r="A54" s="3506" t="s">
        <v>54</v>
      </c>
      <c r="B54" s="3507" t="str">
        <f>'预评函-3'!A8</f>
        <v>房地产抵押价值</v>
      </c>
    </row>
    <row r="55" s="3498" customFormat="1" spans="1:2">
      <c r="A55" s="3506" t="s">
        <v>55</v>
      </c>
      <c r="B55" s="3507" t="str">
        <f>'预评函-3'!A10</f>
        <v/>
      </c>
    </row>
    <row r="56" s="3498" customFormat="1" spans="1:2">
      <c r="A56" s="3506" t="s">
        <v>56</v>
      </c>
      <c r="B56" s="3507" t="str">
        <f>'预评函-3'!A12</f>
        <v/>
      </c>
    </row>
    <row r="57" s="3496" customFormat="1" ht="16.35" spans="1:2">
      <c r="A57" s="3508" t="s">
        <v>57</v>
      </c>
      <c r="B57" s="3509" t="str">
        <f>'预评函-3'!A6</f>
        <v>估价师知悉的法定优先受偿款</v>
      </c>
    </row>
    <row r="58" s="3497" customFormat="1" ht="16.35" spans="1:2">
      <c r="A58" s="3504" t="s">
        <v>58</v>
      </c>
      <c r="B58" s="3505" t="str">
        <f>'预评函-4'!A12</f>
        <v>2.本次评估设定估价对象房地产权属无争议，未被查封或者以其他形式限制其房地产权利，未设定抵押权等他项权利，不涉及第三方权利义务。</v>
      </c>
    </row>
    <row r="59" s="3498" customFormat="1" spans="1:2">
      <c r="A59" s="3506" t="s">
        <v>59</v>
      </c>
      <c r="B59" s="3507" t="str">
        <f>'预评函-4'!A13</f>
        <v>——</v>
      </c>
    </row>
    <row r="60" s="3498" customFormat="1" spans="1:2">
      <c r="A60" s="3506" t="s">
        <v>60</v>
      </c>
      <c r="B60" s="3507" t="str">
        <f>'预评函-4'!A14</f>
        <v>——</v>
      </c>
    </row>
    <row r="61" s="3498" customFormat="1" spans="1:2">
      <c r="A61" s="3506" t="s">
        <v>61</v>
      </c>
      <c r="B61" s="3507" t="str">
        <f>'预评函-4'!A15</f>
        <v>——</v>
      </c>
    </row>
    <row r="62" s="3498" customFormat="1" spans="1:2">
      <c r="A62" s="3506" t="s">
        <v>62</v>
      </c>
      <c r="B62" s="3507" t="str">
        <f>'预评函-4'!A16</f>
        <v>（2）根据《工程款支付情况说明》，截至价值时点，估价对象不存在应付未付工程款项。（只要没有施工方盖章的，均“设定”进行表述）</v>
      </c>
    </row>
    <row r="63" s="3498" customFormat="1" spans="1:2">
      <c r="A63" s="3506" t="s">
        <v>63</v>
      </c>
      <c r="B63" s="350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498" customFormat="1" spans="1:2">
      <c r="A64" s="3506" t="s">
        <v>64</v>
      </c>
      <c r="B64" s="3507" t="str">
        <f>'预评函-4'!A18</f>
        <v>——</v>
      </c>
    </row>
    <row r="65" s="3498" customFormat="1" spans="1:2">
      <c r="A65" s="3506" t="s">
        <v>65</v>
      </c>
      <c r="B65" s="3507"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3498" customFormat="1" spans="1:2">
      <c r="A66" s="3506" t="s">
        <v>66</v>
      </c>
      <c r="B66" s="350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498" customFormat="1" spans="1:2">
      <c r="A67" s="3506" t="s">
        <v>67</v>
      </c>
      <c r="B67" s="350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498" customFormat="1" spans="1:2">
      <c r="A68" s="3506" t="s">
        <v>68</v>
      </c>
      <c r="B68" s="3507" t="str">
        <f>'预评函-4'!A22</f>
        <v>8.其他需特殊说明事项：无（注意调整序号）</v>
      </c>
    </row>
    <row r="69" s="3496" customFormat="1" ht="16.35" spans="1:2">
      <c r="A69" s="3508" t="s">
        <v>69</v>
      </c>
      <c r="B69" s="3510">
        <f>'预评函-4'!C31</f>
        <v>42551</v>
      </c>
    </row>
    <row r="70" ht="16.35" spans="1:2">
      <c r="A70" s="3511" t="s">
        <v>70</v>
      </c>
      <c r="B70" s="3512">
        <f>'预评函-4'!A4</f>
        <v>0</v>
      </c>
    </row>
    <row r="71" spans="1:2">
      <c r="A71" s="3506" t="s">
        <v>71</v>
      </c>
      <c r="B71" s="3507">
        <f ca="1">'预评函-4'!B4</f>
        <v>0</v>
      </c>
    </row>
    <row r="72" spans="1:2">
      <c r="A72" s="3506" t="s">
        <v>72</v>
      </c>
      <c r="B72" s="3513">
        <f>'预评函-4'!A5</f>
        <v>0</v>
      </c>
    </row>
    <row r="73" s="3496" customFormat="1" ht="16.35" spans="1:2">
      <c r="A73" s="3508" t="s">
        <v>73</v>
      </c>
      <c r="B73" s="3509">
        <f ca="1">'预评函-4'!B5</f>
        <v>0</v>
      </c>
    </row>
    <row r="74" ht="16.35" spans="1:2">
      <c r="A74" s="3499" t="s">
        <v>74</v>
      </c>
      <c r="B74" s="3500"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B24" sqref="B24"/>
    </sheetView>
  </sheetViews>
  <sheetFormatPr defaultColWidth="9" defaultRowHeight="14.4"/>
  <cols>
    <col min="1" max="1" width="13.4444444444444" style="3337" customWidth="1"/>
    <col min="2" max="2" width="23.2222222222222" style="3338" customWidth="1"/>
    <col min="3" max="3" width="13" style="3339" customWidth="1"/>
    <col min="4" max="4" width="5.77777777777778" style="3340" customWidth="1"/>
    <col min="5" max="5" width="7.11111111111111" style="3340" customWidth="1"/>
    <col min="6" max="6" width="10.6666666666667" style="3340" customWidth="1"/>
    <col min="7" max="7" width="7.44444444444444" style="3340" customWidth="1"/>
    <col min="8" max="8" width="9" style="3339" customWidth="1"/>
    <col min="9" max="9" width="11.6666666666667" style="3339" customWidth="1"/>
    <col min="10" max="10" width="9" style="3339" customWidth="1"/>
    <col min="11" max="19" width="9" style="3340" customWidth="1"/>
    <col min="20" max="23" width="9" style="3339" customWidth="1"/>
    <col min="24" max="24" width="21.1111111111111" style="3338" customWidth="1"/>
    <col min="25" max="16384" width="9" style="3338"/>
  </cols>
  <sheetData>
    <row r="1" s="3336" customFormat="1" ht="28.8" spans="1:23">
      <c r="A1" s="3341" t="s">
        <v>206</v>
      </c>
      <c r="B1" s="3342" t="s">
        <v>207</v>
      </c>
      <c r="C1" s="3343" t="s">
        <v>208</v>
      </c>
      <c r="D1" s="3344" t="s">
        <v>209</v>
      </c>
      <c r="E1" s="3344" t="s">
        <v>210</v>
      </c>
      <c r="F1" s="3344" t="s">
        <v>211</v>
      </c>
      <c r="G1" s="3344" t="s">
        <v>212</v>
      </c>
      <c r="H1" s="3344" t="s">
        <v>213</v>
      </c>
      <c r="I1" s="3344" t="s">
        <v>214</v>
      </c>
      <c r="J1" s="3344" t="s">
        <v>215</v>
      </c>
      <c r="K1" s="3344" t="s">
        <v>216</v>
      </c>
      <c r="L1" s="3344" t="s">
        <v>217</v>
      </c>
      <c r="M1" s="3344" t="s">
        <v>218</v>
      </c>
      <c r="N1" s="3344" t="s">
        <v>219</v>
      </c>
      <c r="O1" s="3344" t="s">
        <v>220</v>
      </c>
      <c r="P1" s="3353" t="s">
        <v>221</v>
      </c>
      <c r="Q1" s="3353" t="s">
        <v>222</v>
      </c>
      <c r="R1" s="3344" t="s">
        <v>223</v>
      </c>
      <c r="S1" s="3344" t="s">
        <v>224</v>
      </c>
      <c r="T1" s="3354" t="s">
        <v>225</v>
      </c>
      <c r="U1" s="3344" t="s">
        <v>226</v>
      </c>
      <c r="V1" s="3344" t="s">
        <v>227</v>
      </c>
      <c r="W1" s="3344" t="s">
        <v>228</v>
      </c>
    </row>
    <row r="2" spans="1:23">
      <c r="A2" s="3345" t="s">
        <v>124</v>
      </c>
      <c r="B2" s="3345" t="s">
        <v>229</v>
      </c>
      <c r="C2" s="3346" t="s">
        <v>230</v>
      </c>
      <c r="D2" s="3340" t="s">
        <v>231</v>
      </c>
      <c r="E2" s="3340" t="s">
        <v>232</v>
      </c>
      <c r="F2" s="3340" t="s">
        <v>159</v>
      </c>
      <c r="G2" s="3340">
        <v>40</v>
      </c>
      <c r="H2" s="3340" t="s">
        <v>159</v>
      </c>
      <c r="I2" s="3340" t="s">
        <v>233</v>
      </c>
      <c r="J2" s="3340" t="s">
        <v>234</v>
      </c>
      <c r="K2" s="3340" t="s">
        <v>235</v>
      </c>
      <c r="L2" s="3340" t="s">
        <v>235</v>
      </c>
      <c r="M2" s="3340" t="s">
        <v>235</v>
      </c>
      <c r="N2" s="3340" t="s">
        <v>235</v>
      </c>
      <c r="O2" s="3340" t="s">
        <v>235</v>
      </c>
      <c r="P2" s="3340" t="s">
        <v>235</v>
      </c>
      <c r="Q2" s="3340" t="s">
        <v>235</v>
      </c>
      <c r="R2" s="3340" t="s">
        <v>236</v>
      </c>
      <c r="S2" s="3340" t="s">
        <v>235</v>
      </c>
      <c r="T2" s="3340" t="s">
        <v>237</v>
      </c>
      <c r="U2" s="3340" t="s">
        <v>235</v>
      </c>
      <c r="V2" s="3340" t="s">
        <v>238</v>
      </c>
      <c r="W2" s="3340" t="s">
        <v>235</v>
      </c>
    </row>
    <row r="3" spans="1:23">
      <c r="A3" s="3345" t="s">
        <v>239</v>
      </c>
      <c r="B3" s="3347" t="s">
        <v>240</v>
      </c>
      <c r="C3" s="3348" t="s">
        <v>241</v>
      </c>
      <c r="D3" s="3340" t="s">
        <v>242</v>
      </c>
      <c r="E3" s="3340" t="s">
        <v>124</v>
      </c>
      <c r="F3" s="3340" t="s">
        <v>160</v>
      </c>
      <c r="G3" s="3340">
        <v>50</v>
      </c>
      <c r="H3" s="3340" t="s">
        <v>160</v>
      </c>
      <c r="I3" s="3340" t="s">
        <v>243</v>
      </c>
      <c r="J3" s="3340" t="s">
        <v>244</v>
      </c>
      <c r="K3" s="3340" t="s">
        <v>245</v>
      </c>
      <c r="L3" s="3340" t="s">
        <v>245</v>
      </c>
      <c r="M3" s="3340" t="s">
        <v>245</v>
      </c>
      <c r="N3" s="3340" t="s">
        <v>245</v>
      </c>
      <c r="O3" s="3340" t="s">
        <v>245</v>
      </c>
      <c r="P3" s="3340" t="s">
        <v>245</v>
      </c>
      <c r="Q3" s="3340" t="s">
        <v>245</v>
      </c>
      <c r="R3" s="3340" t="s">
        <v>246</v>
      </c>
      <c r="S3" s="3340" t="s">
        <v>245</v>
      </c>
      <c r="T3" s="3340" t="s">
        <v>247</v>
      </c>
      <c r="U3" s="3340" t="s">
        <v>245</v>
      </c>
      <c r="V3" s="3340" t="s">
        <v>248</v>
      </c>
      <c r="W3" s="3340" t="s">
        <v>245</v>
      </c>
    </row>
    <row r="4" spans="1:23">
      <c r="A4" s="3345" t="s">
        <v>249</v>
      </c>
      <c r="B4" s="3345" t="s">
        <v>250</v>
      </c>
      <c r="C4" s="3346" t="s">
        <v>251</v>
      </c>
      <c r="D4" s="3340" t="s">
        <v>124</v>
      </c>
      <c r="E4" s="3340" t="s">
        <v>252</v>
      </c>
      <c r="F4" s="3340" t="s">
        <v>161</v>
      </c>
      <c r="G4" s="3340">
        <v>70</v>
      </c>
      <c r="H4" s="3340" t="s">
        <v>161</v>
      </c>
      <c r="I4" s="3340" t="s">
        <v>253</v>
      </c>
      <c r="K4" s="3340" t="s">
        <v>254</v>
      </c>
      <c r="L4" s="3340" t="s">
        <v>254</v>
      </c>
      <c r="M4" s="3340" t="s">
        <v>254</v>
      </c>
      <c r="N4" s="3340" t="s">
        <v>254</v>
      </c>
      <c r="O4" s="3340" t="s">
        <v>254</v>
      </c>
      <c r="P4" s="3340" t="s">
        <v>254</v>
      </c>
      <c r="Q4" s="3340" t="s">
        <v>254</v>
      </c>
      <c r="R4" s="3340" t="s">
        <v>255</v>
      </c>
      <c r="S4" s="3340" t="s">
        <v>254</v>
      </c>
      <c r="T4" s="3340" t="s">
        <v>256</v>
      </c>
      <c r="U4" s="3340" t="s">
        <v>254</v>
      </c>
      <c r="W4" s="3340" t="s">
        <v>254</v>
      </c>
    </row>
    <row r="5" spans="1:23">
      <c r="A5" s="3345" t="s">
        <v>257</v>
      </c>
      <c r="B5" s="3345" t="s">
        <v>258</v>
      </c>
      <c r="C5" s="3346" t="s">
        <v>259</v>
      </c>
      <c r="F5" s="3340" t="s">
        <v>162</v>
      </c>
      <c r="H5" s="3340" t="s">
        <v>260</v>
      </c>
      <c r="I5" s="3340" t="s">
        <v>261</v>
      </c>
      <c r="K5" s="3340" t="s">
        <v>262</v>
      </c>
      <c r="L5" s="3340" t="s">
        <v>262</v>
      </c>
      <c r="M5" s="3340" t="s">
        <v>262</v>
      </c>
      <c r="N5" s="3340" t="s">
        <v>262</v>
      </c>
      <c r="O5" s="3340" t="s">
        <v>262</v>
      </c>
      <c r="P5" s="3340" t="s">
        <v>262</v>
      </c>
      <c r="Q5" s="3340" t="s">
        <v>262</v>
      </c>
      <c r="R5" s="3340" t="s">
        <v>263</v>
      </c>
      <c r="S5" s="3340" t="s">
        <v>262</v>
      </c>
      <c r="T5" s="3340" t="s">
        <v>264</v>
      </c>
      <c r="U5" s="3340" t="s">
        <v>262</v>
      </c>
      <c r="W5" s="3340" t="s">
        <v>262</v>
      </c>
    </row>
    <row r="6" spans="1:23">
      <c r="A6" s="3345" t="s">
        <v>265</v>
      </c>
      <c r="B6" s="3347" t="s">
        <v>266</v>
      </c>
      <c r="C6" s="3349" t="s">
        <v>267</v>
      </c>
      <c r="F6" s="3340" t="s">
        <v>260</v>
      </c>
      <c r="H6" s="3340" t="s">
        <v>164</v>
      </c>
      <c r="I6" s="3340" t="s">
        <v>268</v>
      </c>
      <c r="K6" s="3340" t="s">
        <v>269</v>
      </c>
      <c r="L6" s="3340" t="s">
        <v>269</v>
      </c>
      <c r="M6" s="3340" t="s">
        <v>269</v>
      </c>
      <c r="N6" s="3340" t="s">
        <v>269</v>
      </c>
      <c r="O6" s="3340" t="s">
        <v>269</v>
      </c>
      <c r="P6" s="3340" t="s">
        <v>269</v>
      </c>
      <c r="Q6" s="3340" t="s">
        <v>269</v>
      </c>
      <c r="R6" s="3340" t="s">
        <v>270</v>
      </c>
      <c r="S6" s="3340" t="s">
        <v>269</v>
      </c>
      <c r="T6" s="3340"/>
      <c r="U6" s="3340" t="s">
        <v>269</v>
      </c>
      <c r="W6" s="3340" t="s">
        <v>269</v>
      </c>
    </row>
    <row r="7" spans="1:9">
      <c r="A7" s="3345" t="s">
        <v>271</v>
      </c>
      <c r="B7" s="3347" t="s">
        <v>272</v>
      </c>
      <c r="C7" s="3346" t="s">
        <v>273</v>
      </c>
      <c r="F7" s="3340" t="s">
        <v>274</v>
      </c>
      <c r="H7" s="3340" t="s">
        <v>162</v>
      </c>
      <c r="I7" s="3340" t="s">
        <v>275</v>
      </c>
    </row>
    <row r="8" spans="1:9">
      <c r="A8" s="3345" t="s">
        <v>276</v>
      </c>
      <c r="B8" s="3345" t="s">
        <v>277</v>
      </c>
      <c r="C8" s="3346" t="s">
        <v>278</v>
      </c>
      <c r="F8" s="3340" t="s">
        <v>279</v>
      </c>
      <c r="H8" s="3340"/>
      <c r="I8" s="3340" t="s">
        <v>280</v>
      </c>
    </row>
    <row r="9" spans="1:8">
      <c r="A9" s="3345" t="s">
        <v>281</v>
      </c>
      <c r="B9" s="3345" t="s">
        <v>282</v>
      </c>
      <c r="C9" s="3346" t="s">
        <v>283</v>
      </c>
      <c r="F9" s="3340" t="s">
        <v>164</v>
      </c>
      <c r="H9" s="3340"/>
    </row>
    <row r="10" spans="1:6">
      <c r="A10" s="3345" t="s">
        <v>284</v>
      </c>
      <c r="B10" s="3345" t="s">
        <v>285</v>
      </c>
      <c r="C10" s="3346" t="s">
        <v>286</v>
      </c>
      <c r="F10" s="3340" t="s">
        <v>124</v>
      </c>
    </row>
    <row r="11" spans="1:3">
      <c r="A11" s="3345" t="s">
        <v>287</v>
      </c>
      <c r="B11" s="3345" t="s">
        <v>288</v>
      </c>
      <c r="C11" s="3346" t="s">
        <v>289</v>
      </c>
    </row>
    <row r="12" spans="1:3">
      <c r="A12" s="3345" t="s">
        <v>290</v>
      </c>
      <c r="B12" s="3345" t="s">
        <v>291</v>
      </c>
      <c r="C12" s="3346" t="s">
        <v>292</v>
      </c>
    </row>
    <row r="13" spans="1:3">
      <c r="A13" s="3345" t="s">
        <v>293</v>
      </c>
      <c r="B13" s="3345" t="s">
        <v>294</v>
      </c>
      <c r="C13" s="3346" t="s">
        <v>295</v>
      </c>
    </row>
    <row r="14" spans="1:3">
      <c r="A14" s="3345" t="s">
        <v>296</v>
      </c>
      <c r="B14" s="3345" t="s">
        <v>297</v>
      </c>
      <c r="C14" s="3340" t="s">
        <v>124</v>
      </c>
    </row>
    <row r="15" spans="1:3">
      <c r="A15" s="3345" t="s">
        <v>298</v>
      </c>
      <c r="B15" s="3345" t="s">
        <v>299</v>
      </c>
      <c r="C15" s="3346"/>
    </row>
    <row r="16" spans="1:3">
      <c r="A16" s="3345" t="s">
        <v>300</v>
      </c>
      <c r="B16" s="3345" t="s">
        <v>301</v>
      </c>
      <c r="C16" s="3346"/>
    </row>
    <row r="17" spans="1:3">
      <c r="A17" s="3345" t="s">
        <v>302</v>
      </c>
      <c r="B17" s="3345" t="s">
        <v>303</v>
      </c>
      <c r="C17" s="3346"/>
    </row>
    <row r="18" spans="1:3">
      <c r="A18" s="3345" t="s">
        <v>304</v>
      </c>
      <c r="B18" s="3345" t="s">
        <v>305</v>
      </c>
      <c r="C18" s="3346"/>
    </row>
    <row r="19" spans="1:3">
      <c r="A19" s="3345" t="s">
        <v>306</v>
      </c>
      <c r="B19" s="3345" t="s">
        <v>307</v>
      </c>
      <c r="C19" s="3346"/>
    </row>
    <row r="20" spans="1:3">
      <c r="A20" s="3345" t="s">
        <v>308</v>
      </c>
      <c r="B20" s="3345" t="s">
        <v>307</v>
      </c>
      <c r="C20" s="3346"/>
    </row>
    <row r="21" spans="1:3">
      <c r="A21" s="3345" t="s">
        <v>260</v>
      </c>
      <c r="B21" s="3345" t="s">
        <v>307</v>
      </c>
      <c r="C21" s="3346"/>
    </row>
    <row r="22" spans="1:3">
      <c r="A22" s="3345" t="s">
        <v>309</v>
      </c>
      <c r="B22" s="3345" t="s">
        <v>307</v>
      </c>
      <c r="C22" s="3346"/>
    </row>
    <row r="23" spans="1:3">
      <c r="A23" s="3345" t="s">
        <v>310</v>
      </c>
      <c r="B23" s="3345" t="s">
        <v>307</v>
      </c>
      <c r="C23" s="3346"/>
    </row>
    <row r="24" spans="1:3">
      <c r="A24" s="3345" t="s">
        <v>311</v>
      </c>
      <c r="B24" s="3345" t="s">
        <v>307</v>
      </c>
      <c r="C24" s="3346"/>
    </row>
    <row r="25" spans="1:3">
      <c r="A25" s="3345" t="s">
        <v>312</v>
      </c>
      <c r="B25" s="3345" t="s">
        <v>307</v>
      </c>
      <c r="C25" s="3346"/>
    </row>
    <row r="26" spans="1:3">
      <c r="A26" s="3345" t="s">
        <v>313</v>
      </c>
      <c r="B26" s="3345" t="s">
        <v>307</v>
      </c>
      <c r="C26" s="3346"/>
    </row>
    <row r="27" spans="1:3">
      <c r="A27" s="3345" t="s">
        <v>307</v>
      </c>
      <c r="B27" s="3345" t="s">
        <v>307</v>
      </c>
      <c r="C27" s="3346"/>
    </row>
    <row r="28" spans="1:3">
      <c r="A28" s="3345" t="s">
        <v>307</v>
      </c>
      <c r="B28" s="3345" t="s">
        <v>307</v>
      </c>
      <c r="C28" s="3346"/>
    </row>
    <row r="29" spans="1:3">
      <c r="A29" s="3345" t="s">
        <v>307</v>
      </c>
      <c r="B29" s="3345" t="s">
        <v>307</v>
      </c>
      <c r="C29" s="3346"/>
    </row>
    <row r="30" spans="1:3">
      <c r="A30" s="3345" t="s">
        <v>307</v>
      </c>
      <c r="B30" s="3345" t="s">
        <v>307</v>
      </c>
      <c r="C30" s="3346"/>
    </row>
    <row r="31" spans="1:3">
      <c r="A31" s="3345" t="s">
        <v>307</v>
      </c>
      <c r="B31" s="3345" t="s">
        <v>307</v>
      </c>
      <c r="C31" s="3346"/>
    </row>
    <row r="32" spans="1:3">
      <c r="A32" s="3345" t="s">
        <v>307</v>
      </c>
      <c r="B32" s="3345" t="s">
        <v>307</v>
      </c>
      <c r="C32" s="3346"/>
    </row>
    <row r="33" spans="1:3">
      <c r="A33" s="3345" t="s">
        <v>307</v>
      </c>
      <c r="B33" s="3345" t="s">
        <v>307</v>
      </c>
      <c r="C33" s="3346"/>
    </row>
    <row r="34" spans="1:3">
      <c r="A34" s="3345" t="s">
        <v>307</v>
      </c>
      <c r="B34" s="3345" t="s">
        <v>307</v>
      </c>
      <c r="C34" s="3346"/>
    </row>
    <row r="35" spans="1:3">
      <c r="A35" s="3345" t="s">
        <v>307</v>
      </c>
      <c r="B35" s="3345" t="s">
        <v>307</v>
      </c>
      <c r="C35" s="3346"/>
    </row>
    <row r="36" spans="1:3">
      <c r="A36" s="3345" t="s">
        <v>307</v>
      </c>
      <c r="B36" s="3345" t="s">
        <v>307</v>
      </c>
      <c r="C36" s="3346"/>
    </row>
    <row r="37" spans="1:3">
      <c r="A37" s="3345" t="s">
        <v>307</v>
      </c>
      <c r="B37" s="3345" t="s">
        <v>307</v>
      </c>
      <c r="C37" s="3346"/>
    </row>
    <row r="38" spans="1:3">
      <c r="A38" s="3345" t="s">
        <v>307</v>
      </c>
      <c r="B38" s="3345" t="s">
        <v>307</v>
      </c>
      <c r="C38" s="3346"/>
    </row>
    <row r="39" spans="1:3">
      <c r="A39" s="3345" t="s">
        <v>307</v>
      </c>
      <c r="B39" s="3345" t="s">
        <v>307</v>
      </c>
      <c r="C39" s="3346"/>
    </row>
    <row r="40" spans="1:3">
      <c r="A40" s="3345" t="s">
        <v>307</v>
      </c>
      <c r="B40" s="3345" t="s">
        <v>307</v>
      </c>
      <c r="C40" s="3346"/>
    </row>
    <row r="41" spans="1:3">
      <c r="A41" s="3345" t="s">
        <v>307</v>
      </c>
      <c r="B41" s="3345" t="s">
        <v>307</v>
      </c>
      <c r="C41" s="3346"/>
    </row>
    <row r="42" spans="1:3">
      <c r="A42" s="3345" t="s">
        <v>307</v>
      </c>
      <c r="B42" s="3345" t="s">
        <v>307</v>
      </c>
      <c r="C42" s="3346"/>
    </row>
    <row r="43" spans="1:3">
      <c r="A43" s="3345" t="s">
        <v>307</v>
      </c>
      <c r="B43" s="3345" t="s">
        <v>307</v>
      </c>
      <c r="C43" s="3346"/>
    </row>
    <row r="44" spans="1:3">
      <c r="A44" s="3345" t="s">
        <v>307</v>
      </c>
      <c r="B44" s="3345" t="s">
        <v>307</v>
      </c>
      <c r="C44" s="3346"/>
    </row>
    <row r="45" spans="1:3">
      <c r="A45" s="3345" t="s">
        <v>307</v>
      </c>
      <c r="B45" s="3345" t="s">
        <v>307</v>
      </c>
      <c r="C45" s="3346"/>
    </row>
    <row r="46" spans="1:3">
      <c r="A46" s="3345" t="s">
        <v>307</v>
      </c>
      <c r="B46" s="3345" t="s">
        <v>307</v>
      </c>
      <c r="C46" s="3346"/>
    </row>
    <row r="47" spans="1:3">
      <c r="A47" s="3345" t="s">
        <v>307</v>
      </c>
      <c r="B47" s="3345" t="s">
        <v>307</v>
      </c>
      <c r="C47" s="3346"/>
    </row>
    <row r="48" spans="1:3">
      <c r="A48" s="3345" t="s">
        <v>307</v>
      </c>
      <c r="B48" s="3345" t="s">
        <v>307</v>
      </c>
      <c r="C48" s="3346"/>
    </row>
    <row r="49" spans="1:3">
      <c r="A49" s="3345" t="s">
        <v>307</v>
      </c>
      <c r="B49" s="3345" t="s">
        <v>307</v>
      </c>
      <c r="C49" s="3346"/>
    </row>
    <row r="50" spans="1:3">
      <c r="A50" s="3345" t="s">
        <v>307</v>
      </c>
      <c r="B50" s="3345" t="s">
        <v>307</v>
      </c>
      <c r="C50" s="3346"/>
    </row>
    <row r="51" spans="1:4">
      <c r="A51" s="3350" t="s">
        <v>314</v>
      </c>
      <c r="B51" s="335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3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51" t="s">
        <v>315</v>
      </c>
    </row>
    <row r="52" spans="1:4">
      <c r="A52" s="3350" t="s">
        <v>316</v>
      </c>
      <c r="B52" s="3350" t="s">
        <v>317</v>
      </c>
      <c r="C52" s="3339" t="s">
        <v>318</v>
      </c>
      <c r="D52" s="3339" t="s">
        <v>319</v>
      </c>
    </row>
    <row r="53" spans="1:3">
      <c r="A53" s="3343" t="s">
        <v>320</v>
      </c>
      <c r="B53" s="3351" t="s">
        <v>321</v>
      </c>
      <c r="C53" s="333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8月29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343"/>
      <c r="B54" s="3351" t="s">
        <v>322</v>
      </c>
      <c r="C54" s="3339" t="s">
        <v>323</v>
      </c>
    </row>
    <row r="55" spans="1:3">
      <c r="A55" s="3343"/>
      <c r="B55" s="3351" t="s">
        <v>324</v>
      </c>
      <c r="C55" s="3339" t="s">
        <v>325</v>
      </c>
    </row>
    <row r="56" spans="1:3">
      <c r="A56" s="3343"/>
      <c r="B56" s="3351" t="s">
        <v>326</v>
      </c>
      <c r="C56" s="3339" t="s">
        <v>327</v>
      </c>
    </row>
    <row r="57" spans="1:3">
      <c r="A57" s="3343"/>
      <c r="B57" s="3351" t="s">
        <v>328</v>
      </c>
      <c r="C57" s="3339" t="s">
        <v>329</v>
      </c>
    </row>
    <row r="58" spans="1:2">
      <c r="A58" s="3352"/>
      <c r="B58" s="3339"/>
    </row>
    <row r="59" spans="1:2">
      <c r="A59" s="3352"/>
      <c r="B59" s="3339"/>
    </row>
    <row r="60" spans="1:2">
      <c r="A60" s="3352"/>
      <c r="B60" s="3339"/>
    </row>
    <row r="61" spans="1:2">
      <c r="A61" s="3352"/>
      <c r="B61" s="3339"/>
    </row>
    <row r="62" spans="1:2">
      <c r="A62" s="3352"/>
      <c r="B62" s="3339"/>
    </row>
    <row r="63" spans="1:2">
      <c r="A63" s="3352"/>
      <c r="B63" s="3339"/>
    </row>
    <row r="64" spans="1:2">
      <c r="A64" s="3352"/>
      <c r="B64" s="3339"/>
    </row>
    <row r="65" spans="1:2">
      <c r="A65" s="3352"/>
      <c r="B65" s="3339"/>
    </row>
    <row r="66" spans="1:2">
      <c r="A66" s="3352"/>
      <c r="B66" s="3339"/>
    </row>
    <row r="67" spans="1:2">
      <c r="A67" s="3352"/>
      <c r="B67" s="3339"/>
    </row>
    <row r="68" spans="1:2">
      <c r="A68" s="3352"/>
      <c r="B68" s="3339"/>
    </row>
    <row r="69" spans="1:2">
      <c r="A69" s="3352"/>
      <c r="B69" s="3339"/>
    </row>
    <row r="70" spans="1:2">
      <c r="A70" s="3352"/>
      <c r="B70" s="3339"/>
    </row>
    <row r="71" spans="1:2">
      <c r="A71" s="3352"/>
      <c r="B71" s="3339"/>
    </row>
    <row r="72" spans="1:2">
      <c r="A72" s="3352"/>
      <c r="B72" s="3339"/>
    </row>
    <row r="73" spans="1:2">
      <c r="A73" s="3352"/>
      <c r="B73" s="3339"/>
    </row>
    <row r="74" spans="1:2">
      <c r="A74" s="3352"/>
      <c r="B74" s="3339"/>
    </row>
    <row r="75" spans="1:2">
      <c r="A75" s="3352"/>
      <c r="B75" s="3339"/>
    </row>
    <row r="76" spans="1:2">
      <c r="A76" s="3352"/>
      <c r="B76" s="3339"/>
    </row>
    <row r="77" spans="1:2">
      <c r="A77" s="3352"/>
      <c r="B77" s="3339"/>
    </row>
    <row r="78" spans="1:2">
      <c r="A78" s="3352"/>
      <c r="B78" s="3339"/>
    </row>
    <row r="79" spans="1:2">
      <c r="A79" s="3352"/>
      <c r="B79" s="3339"/>
    </row>
    <row r="80" spans="1:2">
      <c r="A80" s="3352"/>
      <c r="B80" s="3339"/>
    </row>
    <row r="81" spans="1:2">
      <c r="A81" s="3352"/>
      <c r="B81" s="3339"/>
    </row>
    <row r="82" spans="1:2">
      <c r="A82" s="3352"/>
      <c r="B82" s="3339"/>
    </row>
    <row r="83" spans="1:2">
      <c r="A83" s="3352"/>
      <c r="B83" s="3339"/>
    </row>
    <row r="84" spans="1:2">
      <c r="A84" s="3352"/>
      <c r="B84" s="3339"/>
    </row>
    <row r="85" spans="1:2">
      <c r="A85" s="3352"/>
      <c r="B85" s="3339"/>
    </row>
    <row r="86" spans="1:2">
      <c r="A86" s="3352"/>
      <c r="B86" s="3339"/>
    </row>
    <row r="87" spans="1:2">
      <c r="A87" s="3352"/>
      <c r="B87" s="3339"/>
    </row>
    <row r="88" spans="1:2">
      <c r="A88" s="3352"/>
      <c r="B88" s="3339"/>
    </row>
    <row r="89" spans="1:2">
      <c r="A89" s="3352"/>
      <c r="B89" s="3339"/>
    </row>
    <row r="90" spans="1:2">
      <c r="A90" s="3352"/>
      <c r="B90" s="3339"/>
    </row>
    <row r="91" spans="1:2">
      <c r="A91" s="3352"/>
      <c r="B91" s="3339"/>
    </row>
    <row r="92" spans="1:2">
      <c r="A92" s="3352"/>
      <c r="B92" s="3339"/>
    </row>
    <row r="93" spans="1:2">
      <c r="A93" s="3352"/>
      <c r="B93" s="3339"/>
    </row>
    <row r="94" spans="1:2">
      <c r="A94" s="3352"/>
      <c r="B94" s="3339"/>
    </row>
    <row r="95" spans="1:2">
      <c r="A95" s="3352"/>
      <c r="B95" s="3339"/>
    </row>
    <row r="96" spans="1:2">
      <c r="A96" s="3352"/>
      <c r="B96" s="3339"/>
    </row>
    <row r="97" spans="1:2">
      <c r="A97" s="3352"/>
      <c r="B97" s="3339"/>
    </row>
    <row r="98" spans="1:2">
      <c r="A98" s="3352"/>
      <c r="B98" s="3339"/>
    </row>
    <row r="99" spans="1:2">
      <c r="A99" s="3352"/>
      <c r="B99" s="3339"/>
    </row>
    <row r="100" spans="1:2">
      <c r="A100" s="3352"/>
      <c r="B100" s="3339"/>
    </row>
    <row r="101" spans="1:2">
      <c r="A101" s="3352"/>
      <c r="B101" s="3339"/>
    </row>
    <row r="102" spans="1:2">
      <c r="A102" s="3352"/>
      <c r="B102" s="3339"/>
    </row>
    <row r="103" spans="1:2">
      <c r="A103" s="3352"/>
      <c r="B103" s="3339"/>
    </row>
    <row r="104" spans="1:2">
      <c r="A104" s="3352"/>
      <c r="B104" s="3339"/>
    </row>
    <row r="105" spans="1:2">
      <c r="A105" s="3352"/>
      <c r="B105" s="3339"/>
    </row>
    <row r="106" spans="1:2">
      <c r="A106" s="3352"/>
      <c r="B106" s="3339"/>
    </row>
    <row r="107" spans="1:2">
      <c r="A107" s="3352"/>
      <c r="B107" s="3339"/>
    </row>
    <row r="108" spans="1:2">
      <c r="A108" s="3352"/>
      <c r="B108" s="3339"/>
    </row>
    <row r="109" spans="1:2">
      <c r="A109" s="3352"/>
      <c r="B109" s="3339"/>
    </row>
    <row r="110" spans="1:2">
      <c r="A110" s="3352"/>
      <c r="B110" s="3339"/>
    </row>
    <row r="111" spans="1:2">
      <c r="A111" s="3352"/>
      <c r="B111" s="3339"/>
    </row>
    <row r="112" spans="1:2">
      <c r="A112" s="3352"/>
      <c r="B112" s="3339"/>
    </row>
    <row r="113" spans="1:2">
      <c r="A113" s="3352"/>
      <c r="B113" s="3339"/>
    </row>
    <row r="114" spans="1:2">
      <c r="A114" s="3352"/>
      <c r="B114" s="3339"/>
    </row>
    <row r="115" spans="1:2">
      <c r="A115" s="3352"/>
      <c r="B115" s="3339"/>
    </row>
    <row r="116" spans="1:2">
      <c r="A116" s="3352"/>
      <c r="B116" s="3339"/>
    </row>
    <row r="117" spans="1:2">
      <c r="A117" s="3352"/>
      <c r="B117" s="3339"/>
    </row>
    <row r="118" spans="1:2">
      <c r="A118" s="3352"/>
      <c r="B118" s="3339"/>
    </row>
    <row r="119" spans="1:2">
      <c r="A119" s="3352"/>
      <c r="B119" s="3339"/>
    </row>
    <row r="120" spans="1:2">
      <c r="A120" s="3352"/>
      <c r="B120" s="3339"/>
    </row>
    <row r="121" spans="1:2">
      <c r="A121" s="3352"/>
      <c r="B121" s="3339"/>
    </row>
    <row r="122" spans="1:2">
      <c r="A122" s="3352"/>
      <c r="B122" s="3339"/>
    </row>
    <row r="123" spans="1:2">
      <c r="A123" s="3352"/>
      <c r="B123" s="3339"/>
    </row>
    <row r="124" spans="1:2">
      <c r="A124" s="3352"/>
      <c r="B124" s="3339"/>
    </row>
    <row r="125" spans="1:2">
      <c r="A125" s="3352"/>
      <c r="B125" s="3339"/>
    </row>
    <row r="126" spans="1:2">
      <c r="A126" s="3352"/>
      <c r="B126" s="3339"/>
    </row>
    <row r="127" spans="1:2">
      <c r="A127" s="3352"/>
      <c r="B127" s="3339"/>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Normal="100" workbookViewId="0">
      <selection activeCell="N25" sqref="N25:N26"/>
    </sheetView>
  </sheetViews>
  <sheetFormatPr defaultColWidth="10" defaultRowHeight="13.2"/>
  <cols>
    <col min="1" max="1" width="16.8888888888889" style="2783" customWidth="1"/>
    <col min="2" max="2" width="10" style="2783" customWidth="1"/>
    <col min="3" max="3" width="11.4444444444444" style="2783" customWidth="1"/>
    <col min="4" max="4" width="10" style="2783" customWidth="1"/>
    <col min="5" max="5" width="12.6666666666667" style="2783" customWidth="1"/>
    <col min="6" max="6" width="10" style="2783" customWidth="1"/>
    <col min="7" max="7" width="10.7777777777778" style="2783" customWidth="1"/>
    <col min="8" max="8" width="10" style="2783" customWidth="1"/>
    <col min="9" max="9" width="11.1111111111111" style="3086" customWidth="1"/>
    <col min="10" max="10" width="10" style="2984" customWidth="1"/>
    <col min="11" max="11" width="10" style="3183" customWidth="1"/>
    <col min="12" max="13" width="10" style="3184" customWidth="1"/>
    <col min="14" max="14" width="10" style="2984" customWidth="1"/>
    <col min="15" max="15" width="10" style="646" customWidth="1"/>
    <col min="16" max="17" width="10" style="2984"/>
    <col min="18" max="18" width="10" style="2984" customWidth="1"/>
    <col min="19" max="30" width="10" style="2984"/>
    <col min="31" max="16384" width="10" style="2783"/>
  </cols>
  <sheetData>
    <row r="1" ht="13.95" spans="1:28">
      <c r="A1" s="3185" t="s">
        <v>330</v>
      </c>
      <c r="B1" s="3186" t="str">
        <f>IF(B10="北京市","北京市",C10)&amp;F10&amp;IF(结果表!G1="在建","出让国有建设用地使用权及在建建筑物",IF(结果表!G1="土地","出让国有建设用地使用权",))&amp;B9&amp;"预评估"</f>
        <v>北京市预评估</v>
      </c>
      <c r="C1" s="3187"/>
      <c r="D1" s="3187"/>
      <c r="E1" s="3187"/>
      <c r="F1" s="3187"/>
      <c r="G1" s="3187"/>
      <c r="H1" s="3187"/>
      <c r="I1" s="3304"/>
      <c r="J1" s="2733"/>
      <c r="K1" s="3305"/>
      <c r="L1" s="3306"/>
      <c r="M1" s="3306"/>
      <c r="N1" s="3231"/>
      <c r="O1" s="3094"/>
      <c r="P1" s="3231"/>
      <c r="Q1" s="3231"/>
      <c r="R1" s="3231"/>
      <c r="S1" s="2784" t="str">
        <f>IF(B10="北京市","北京市",C10)&amp;F10&amp;IF(结果表!G1="在建","出让国有建设用地使用权及在建建筑物房地产抵押价值",IF(结果表!G1="土地","出让国有建设用地使用权抵押价值",B9))</f>
        <v>北京市</v>
      </c>
      <c r="T1" s="2783"/>
      <c r="U1" s="2783"/>
      <c r="V1" s="2783"/>
      <c r="W1" s="2783"/>
      <c r="X1" s="2783"/>
      <c r="Y1" s="2783"/>
      <c r="Z1" s="2783"/>
      <c r="AA1" s="2783"/>
      <c r="AB1" s="2783"/>
    </row>
    <row r="2" spans="1:28">
      <c r="A2" s="3188" t="s">
        <v>331</v>
      </c>
      <c r="B2" s="3189"/>
      <c r="C2" s="3190"/>
      <c r="D2" s="3191"/>
      <c r="E2" s="3192"/>
      <c r="F2" s="3192"/>
      <c r="G2" s="3193"/>
      <c r="H2" s="3193"/>
      <c r="I2" s="3193"/>
      <c r="J2" s="2733"/>
      <c r="K2" s="3305"/>
      <c r="L2" s="3306"/>
      <c r="M2" s="3306"/>
      <c r="N2" s="3231"/>
      <c r="O2" s="3094"/>
      <c r="P2" s="3231"/>
      <c r="Q2" s="3231"/>
      <c r="R2" s="3231"/>
      <c r="S2" s="2784" t="str">
        <f>IF(B10="北京市","北京市",C10)&amp;F10&amp;IF(结果表!G1="在建","出让国有建设用地使用权及在建建筑物房地产",IF(结果表!G1="土地","出让国有建设用地使用权","房地产"))</f>
        <v>北京市房地产</v>
      </c>
      <c r="T2" s="2783"/>
      <c r="U2" s="2783"/>
      <c r="V2" s="2783"/>
      <c r="W2" s="2783"/>
      <c r="X2" s="2783"/>
      <c r="Y2" s="2783"/>
      <c r="Z2" s="2783"/>
      <c r="AA2" s="2783"/>
      <c r="AB2" s="2783"/>
    </row>
    <row r="3" spans="1:28">
      <c r="A3" s="1962" t="s">
        <v>332</v>
      </c>
      <c r="B3" s="3194"/>
      <c r="C3" s="3195" t="s">
        <v>333</v>
      </c>
      <c r="D3" s="3194">
        <v>44802</v>
      </c>
      <c r="E3" s="3193"/>
      <c r="F3" s="3193"/>
      <c r="G3" s="3193"/>
      <c r="H3" s="3193"/>
      <c r="I3" s="3193"/>
      <c r="J3" s="2733"/>
      <c r="K3" s="3305"/>
      <c r="L3" s="3306"/>
      <c r="M3" s="3306"/>
      <c r="N3" s="3231"/>
      <c r="O3" s="3094"/>
      <c r="P3" s="3231"/>
      <c r="Q3" s="3231"/>
      <c r="R3" s="3231"/>
      <c r="S3" s="2784"/>
      <c r="T3" s="2783"/>
      <c r="U3" s="2783"/>
      <c r="V3" s="2783"/>
      <c r="W3" s="2783"/>
      <c r="X3" s="2783"/>
      <c r="Y3" s="2783"/>
      <c r="Z3" s="2783"/>
      <c r="AA3" s="2783"/>
      <c r="AB3" s="2783"/>
    </row>
    <row r="4" ht="13.95" spans="1:28">
      <c r="A4" s="1986" t="s">
        <v>334</v>
      </c>
      <c r="B4" s="3196"/>
      <c r="C4" s="3197">
        <f ca="1">SUMIF(注册房地产估价师,B4,估价师及机构信息!B3:B24)</f>
        <v>0</v>
      </c>
      <c r="D4" s="3196"/>
      <c r="E4" s="3198">
        <f ca="1">SUMIF(注册房地产估价师,D4,估价师及机构信息!B3:B24)</f>
        <v>0</v>
      </c>
      <c r="F4" s="3196"/>
      <c r="G4" s="3198">
        <f ca="1">SUMIF(注册房地产估价师,F4,估价师及机构信息!B3:B24)</f>
        <v>0</v>
      </c>
      <c r="H4" s="3196"/>
      <c r="I4" s="3198">
        <f ca="1">SUMIF(注册房地产估价师,H4,估价师及机构信息!B3:B24)</f>
        <v>0</v>
      </c>
      <c r="J4" s="2767"/>
      <c r="K4" s="3307" t="str">
        <f ca="1">CONCATENATE(B4,"（注册号：",C4,")、",D4,"（注册号：",E4,")")</f>
        <v>（注册号：0)、（注册号：0)</v>
      </c>
      <c r="L4" s="3306"/>
      <c r="M4" s="3306"/>
      <c r="N4" s="3231"/>
      <c r="O4" s="3094"/>
      <c r="P4" s="3231"/>
      <c r="Q4" s="3231"/>
      <c r="R4" s="3231"/>
      <c r="S4" s="2784"/>
      <c r="T4" s="2783"/>
      <c r="U4" s="2783"/>
      <c r="V4" s="2783"/>
      <c r="W4" s="2783"/>
      <c r="X4" s="2783"/>
      <c r="Y4" s="2783"/>
      <c r="Z4" s="2783"/>
      <c r="AA4" s="2783"/>
      <c r="AB4" s="2783"/>
    </row>
    <row r="5" ht="13.95" spans="1:28">
      <c r="A5" s="3199" t="s">
        <v>335</v>
      </c>
      <c r="B5" s="3200"/>
      <c r="C5" s="3201"/>
      <c r="D5" s="3202"/>
      <c r="E5" s="2888"/>
      <c r="F5" s="2888"/>
      <c r="G5" s="2888"/>
      <c r="H5" s="2888"/>
      <c r="I5" s="2888"/>
      <c r="J5" s="2767"/>
      <c r="K5" s="3307" t="str">
        <f ca="1">IF(F4="——","",IF(H4="——",F4&amp;"（注册号："&amp;G4&amp;")",CONCATENATE(F4,"（注册号：",G4,")、",H4,"（注册号：",I4,")")))</f>
        <v>（注册号：0)、（注册号：0)</v>
      </c>
      <c r="L5" s="3306"/>
      <c r="M5" s="3306"/>
      <c r="N5" s="3231"/>
      <c r="O5" s="3094"/>
      <c r="P5" s="3231"/>
      <c r="Q5" s="3231"/>
      <c r="R5" s="3231"/>
      <c r="S5" s="2783"/>
      <c r="T5" s="2783"/>
      <c r="U5" s="2783"/>
      <c r="V5" s="2783"/>
      <c r="W5" s="2783"/>
      <c r="X5" s="2783"/>
      <c r="Y5" s="2783"/>
      <c r="Z5" s="2783"/>
      <c r="AA5" s="2783"/>
      <c r="AB5" s="2783"/>
    </row>
    <row r="6" spans="1:18">
      <c r="A6" s="3203" t="s">
        <v>336</v>
      </c>
      <c r="B6" s="3204"/>
      <c r="C6" s="3205"/>
      <c r="D6" s="3206"/>
      <c r="E6" s="3192"/>
      <c r="F6" s="2888"/>
      <c r="G6" s="2888"/>
      <c r="H6" s="2888"/>
      <c r="I6" s="2888"/>
      <c r="J6" s="2767"/>
      <c r="K6" s="3308" t="str">
        <f>IF(COUNTIF(B6,"*上海银行*"),"上海银行","")</f>
        <v/>
      </c>
      <c r="L6" s="3309"/>
      <c r="M6" s="3309"/>
      <c r="N6" s="2767"/>
      <c r="O6" s="3310"/>
      <c r="P6" s="2767"/>
      <c r="Q6" s="2767"/>
      <c r="R6" s="2767"/>
    </row>
    <row r="7" spans="1:18">
      <c r="A7" s="3203" t="s">
        <v>337</v>
      </c>
      <c r="B7" s="3207"/>
      <c r="C7" s="3205"/>
      <c r="D7" s="3206"/>
      <c r="E7" s="3192"/>
      <c r="F7" s="2888"/>
      <c r="G7" s="2888"/>
      <c r="H7" s="2888"/>
      <c r="I7" s="2888"/>
      <c r="J7" s="2767"/>
      <c r="K7" s="3311"/>
      <c r="L7" s="3309"/>
      <c r="M7" s="3309"/>
      <c r="N7" s="2767"/>
      <c r="O7" s="3310"/>
      <c r="P7" s="2767"/>
      <c r="Q7" s="2767"/>
      <c r="R7" s="2767"/>
    </row>
    <row r="8" spans="1:18">
      <c r="A8" s="3208" t="s">
        <v>338</v>
      </c>
      <c r="B8" s="3209"/>
      <c r="C8" s="3210"/>
      <c r="D8" s="3211" t="s">
        <v>339</v>
      </c>
      <c r="E8" s="3212"/>
      <c r="F8" s="3213"/>
      <c r="G8" s="3193"/>
      <c r="H8" s="3193"/>
      <c r="I8" s="3193"/>
      <c r="J8" s="2767"/>
      <c r="K8" s="3312"/>
      <c r="L8" s="3309"/>
      <c r="M8" s="3309"/>
      <c r="N8" s="2767"/>
      <c r="O8" s="3310"/>
      <c r="P8" s="2767"/>
      <c r="Q8" s="2767"/>
      <c r="R8" s="2767"/>
    </row>
    <row r="9" ht="13.95" spans="1:18">
      <c r="A9" s="3214" t="s">
        <v>340</v>
      </c>
      <c r="B9" s="3215"/>
      <c r="C9" s="3216"/>
      <c r="D9" s="3217"/>
      <c r="E9" s="3215"/>
      <c r="F9" s="3218"/>
      <c r="G9" s="3219"/>
      <c r="H9" s="3219"/>
      <c r="I9" s="3219"/>
      <c r="J9" s="2767"/>
      <c r="K9" s="3311"/>
      <c r="L9" s="3309"/>
      <c r="M9" s="3309"/>
      <c r="N9" s="2767"/>
      <c r="O9" s="3310"/>
      <c r="P9" s="2767"/>
      <c r="Q9" s="2767"/>
      <c r="R9" s="2767"/>
    </row>
    <row r="10" ht="13.95" spans="1:18">
      <c r="A10" s="3220" t="s">
        <v>341</v>
      </c>
      <c r="B10" s="3221" t="s">
        <v>342</v>
      </c>
      <c r="C10" s="3222"/>
      <c r="D10" s="3202"/>
      <c r="E10" s="3223" t="s">
        <v>343</v>
      </c>
      <c r="F10" s="3224"/>
      <c r="G10" s="3225"/>
      <c r="H10" s="3226"/>
      <c r="I10" s="3313"/>
      <c r="J10" s="2767"/>
      <c r="K10" s="3311"/>
      <c r="L10" s="3309"/>
      <c r="M10" s="3309"/>
      <c r="N10" s="2767"/>
      <c r="O10" s="3310"/>
      <c r="P10" s="2767"/>
      <c r="Q10" s="2767"/>
      <c r="R10" s="2767"/>
    </row>
    <row r="11" spans="1:18">
      <c r="A11" s="3227" t="s">
        <v>344</v>
      </c>
      <c r="B11" s="3228" t="s">
        <v>345</v>
      </c>
      <c r="C11" s="3229"/>
      <c r="D11" s="3230"/>
      <c r="E11" s="3231"/>
      <c r="F11" s="3231"/>
      <c r="G11" s="3231"/>
      <c r="H11" s="3231"/>
      <c r="I11" s="3231"/>
      <c r="J11" s="2767"/>
      <c r="K11" s="3311"/>
      <c r="L11" s="3309"/>
      <c r="M11" s="3309"/>
      <c r="N11" s="2767"/>
      <c r="O11" s="3310"/>
      <c r="P11" s="2767"/>
      <c r="Q11" s="2767"/>
      <c r="R11" s="2767"/>
    </row>
    <row r="12" spans="1:18">
      <c r="A12" s="3232" t="s">
        <v>346</v>
      </c>
      <c r="B12" s="3228" t="s">
        <v>347</v>
      </c>
      <c r="C12" s="2005" t="s">
        <v>348</v>
      </c>
      <c r="D12" s="3233" t="s">
        <v>349</v>
      </c>
      <c r="E12" s="3233" t="s">
        <v>350</v>
      </c>
      <c r="F12" s="3233" t="s">
        <v>351</v>
      </c>
      <c r="G12" s="3233" t="s">
        <v>352</v>
      </c>
      <c r="H12" s="3233" t="s">
        <v>353</v>
      </c>
      <c r="I12" s="3233" t="s">
        <v>354</v>
      </c>
      <c r="J12" s="2767"/>
      <c r="K12" s="3311"/>
      <c r="L12" s="3309"/>
      <c r="M12" s="3309"/>
      <c r="N12" s="2767"/>
      <c r="O12" s="3310"/>
      <c r="P12" s="2767"/>
      <c r="Q12" s="2767"/>
      <c r="R12" s="2767"/>
    </row>
    <row r="13" spans="1:18">
      <c r="A13" s="1991"/>
      <c r="B13" s="3234"/>
      <c r="C13" s="3235" t="s">
        <v>355</v>
      </c>
      <c r="D13" s="3236"/>
      <c r="E13" s="3236"/>
      <c r="F13" s="3236"/>
      <c r="G13" s="3236"/>
      <c r="H13" s="3236"/>
      <c r="I13" s="3236">
        <v>57827</v>
      </c>
      <c r="J13" s="2767"/>
      <c r="K13" s="3311"/>
      <c r="L13" s="3309"/>
      <c r="M13" s="3309"/>
      <c r="N13" s="2767"/>
      <c r="O13" s="3310"/>
      <c r="P13" s="2767"/>
      <c r="Q13" s="2767"/>
      <c r="R13" s="2767"/>
    </row>
    <row r="14" spans="1:18">
      <c r="A14" s="1991"/>
      <c r="B14" s="3234"/>
      <c r="C14" s="3235" t="s">
        <v>356</v>
      </c>
      <c r="D14" s="3237"/>
      <c r="E14" s="3237"/>
      <c r="F14" s="3237"/>
      <c r="G14" s="3237"/>
      <c r="H14" s="3237"/>
      <c r="I14" s="3237">
        <v>50</v>
      </c>
      <c r="J14" s="2767"/>
      <c r="K14" s="3314"/>
      <c r="L14" s="3309"/>
      <c r="M14" s="3309"/>
      <c r="N14" s="2767"/>
      <c r="O14" s="3310"/>
      <c r="P14" s="2767"/>
      <c r="Q14" s="2767"/>
      <c r="R14" s="2767"/>
    </row>
    <row r="15" spans="1:18">
      <c r="A15" s="1998"/>
      <c r="B15" s="3238"/>
      <c r="C15" s="3239" t="s">
        <v>357</v>
      </c>
      <c r="D15" s="3240" t="str">
        <f>IF(B12="出让",IF(D13="","",ROUNDDOWN(MIN((D13-$D$3)/365,D14),2)),D14)</f>
        <v/>
      </c>
      <c r="E15" s="3240" t="str">
        <f>IF(B12="出让",IF(E13="","",ROUNDDOWN(MIN((E13-$D$3)/365,E14),2)),E14)</f>
        <v/>
      </c>
      <c r="F15" s="3240" t="str">
        <f>IF(B12="出让",IF(F13="","",ROUNDDOWN(MIN((F13-$D$3)/365,F14),2)),F14)</f>
        <v/>
      </c>
      <c r="G15" s="3240" t="str">
        <f>IF(B12="出让",IF(G13="","",ROUNDDOWN(MIN((G13-$D$3)/365,G14),2)),G14)</f>
        <v/>
      </c>
      <c r="H15" s="3240" t="str">
        <f>IF(B12="出让",IF(H13="","",ROUNDDOWN(MIN((H13-$D$3)/365,H14),2)),H14)</f>
        <v/>
      </c>
      <c r="I15" s="3240">
        <f>IF(B12="出让",IF(I13="","",ROUNDDOWN(MIN((I13-$D$3)/365,I14),2)),I14)</f>
        <v>35.68</v>
      </c>
      <c r="J15" s="2767"/>
      <c r="K15" s="3315"/>
      <c r="L15" s="3316"/>
      <c r="M15" s="3316"/>
      <c r="N15" s="2768"/>
      <c r="O15" s="3316"/>
      <c r="P15" s="2768"/>
      <c r="Q15" s="2767"/>
      <c r="R15" s="2767"/>
    </row>
    <row r="16" spans="1:18">
      <c r="A16" s="3223" t="s">
        <v>358</v>
      </c>
      <c r="B16" s="3241"/>
      <c r="C16" s="3242"/>
      <c r="D16" s="3243"/>
      <c r="E16" s="3244" t="s">
        <v>359</v>
      </c>
      <c r="F16" s="3245"/>
      <c r="G16" s="3246"/>
      <c r="H16" s="3246"/>
      <c r="I16" s="3317"/>
      <c r="J16" s="2767"/>
      <c r="K16" s="3315"/>
      <c r="L16" s="3316"/>
      <c r="M16" s="3316"/>
      <c r="N16" s="2768"/>
      <c r="O16" s="3316"/>
      <c r="P16" s="2768"/>
      <c r="Q16" s="2767"/>
      <c r="R16" s="2767"/>
    </row>
    <row r="17" spans="1:22">
      <c r="A17" s="1975" t="s">
        <v>360</v>
      </c>
      <c r="B17" s="1962" t="s">
        <v>361</v>
      </c>
      <c r="C17" s="710">
        <f>'数据-汇总表'!E3</f>
        <v>18907.05</v>
      </c>
      <c r="D17" s="2018" t="s">
        <v>362</v>
      </c>
      <c r="E17" s="3247" t="s">
        <v>363</v>
      </c>
      <c r="F17" s="3248"/>
      <c r="G17" s="3248"/>
      <c r="H17" s="3248"/>
      <c r="I17" s="3318"/>
      <c r="J17" s="2767"/>
      <c r="K17" s="3319"/>
      <c r="L17" s="3316"/>
      <c r="M17" s="3316"/>
      <c r="N17" s="2768"/>
      <c r="O17" s="3316"/>
      <c r="P17" s="2768"/>
      <c r="Q17" s="2767"/>
      <c r="R17" s="2767"/>
      <c r="S17" s="2767"/>
      <c r="T17" s="2767"/>
      <c r="U17" s="2767"/>
      <c r="V17" s="2767"/>
    </row>
    <row r="18" ht="24.75" spans="1:22">
      <c r="A18" s="3249" t="s">
        <v>364</v>
      </c>
      <c r="B18" s="1986" t="s">
        <v>365</v>
      </c>
      <c r="C18" s="3250">
        <f>'数据-汇总表'!D3</f>
        <v>15415.9</v>
      </c>
      <c r="D18" s="2011" t="s">
        <v>362</v>
      </c>
      <c r="E18" s="3251" t="s">
        <v>366</v>
      </c>
      <c r="F18" s="3252"/>
      <c r="G18" s="3252"/>
      <c r="H18" s="3252"/>
      <c r="I18" s="3320"/>
      <c r="J18" s="2767"/>
      <c r="K18" s="3319"/>
      <c r="L18" s="3316"/>
      <c r="M18" s="3316"/>
      <c r="N18" s="2768"/>
      <c r="O18" s="3316"/>
      <c r="P18" s="2768"/>
      <c r="Q18" s="2767"/>
      <c r="R18" s="2767"/>
      <c r="S18" s="2767"/>
      <c r="T18" s="2767"/>
      <c r="U18" s="2767"/>
      <c r="V18" s="2767"/>
    </row>
    <row r="19" ht="37.5" spans="1:22">
      <c r="A19" s="2028" t="s">
        <v>367</v>
      </c>
      <c r="B19" s="1967" t="s">
        <v>368</v>
      </c>
      <c r="C19" s="3253"/>
      <c r="D19" s="3254" t="s">
        <v>369</v>
      </c>
      <c r="E19" s="3255"/>
      <c r="F19" s="3256" t="str">
        <f>IF(AND(C19="是",E19="否"),"是否提供他项权证或相关说明","")</f>
        <v/>
      </c>
      <c r="G19" s="3257"/>
      <c r="H19" s="2888"/>
      <c r="I19" s="2888"/>
      <c r="J19" s="2767"/>
      <c r="K19" s="3311"/>
      <c r="L19" s="3309"/>
      <c r="M19" s="3309"/>
      <c r="N19" s="2768"/>
      <c r="O19" s="3316"/>
      <c r="P19" s="2768"/>
      <c r="Q19" s="2767"/>
      <c r="R19" s="2767"/>
      <c r="S19" s="2767"/>
      <c r="T19" s="2767"/>
      <c r="U19" s="2767"/>
      <c r="V19" s="2767"/>
    </row>
    <row r="20" spans="1:28">
      <c r="A20" s="3258" t="s">
        <v>370</v>
      </c>
      <c r="B20" s="3259" t="s">
        <v>371</v>
      </c>
      <c r="C20" s="3260"/>
      <c r="D20" s="3261" t="s">
        <v>372</v>
      </c>
      <c r="E20" s="3262"/>
      <c r="F20" s="3263" t="s">
        <v>373</v>
      </c>
      <c r="G20" s="2888"/>
      <c r="H20" s="2888"/>
      <c r="I20" s="2888"/>
      <c r="J20" s="2767"/>
      <c r="K20" s="3105" t="s">
        <v>374</v>
      </c>
      <c r="L20" s="211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306"/>
      <c r="N20" s="3321"/>
      <c r="O20" s="3322"/>
      <c r="P20" s="3321"/>
      <c r="Q20" s="3231"/>
      <c r="R20" s="3231"/>
      <c r="S20" s="3231"/>
      <c r="T20" s="3231"/>
      <c r="U20" s="3231"/>
      <c r="V20" s="3231"/>
      <c r="W20" s="2783"/>
      <c r="X20" s="2783"/>
      <c r="Y20" s="2783"/>
      <c r="Z20" s="2783"/>
      <c r="AA20" s="2783"/>
      <c r="AB20" s="2783"/>
    </row>
    <row r="21" ht="36.75" spans="1:28">
      <c r="A21" s="3258"/>
      <c r="B21" s="3264" t="s">
        <v>375</v>
      </c>
      <c r="C21" s="3265" t="s">
        <v>376</v>
      </c>
      <c r="D21" s="3266" t="s">
        <v>377</v>
      </c>
      <c r="E21" s="3267" t="s">
        <v>376</v>
      </c>
      <c r="F21" s="3268"/>
      <c r="G21" s="2888"/>
      <c r="H21" s="2888"/>
      <c r="I21" s="2888"/>
      <c r="J21" s="2767"/>
      <c r="K21" s="3105"/>
      <c r="L21" s="211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306"/>
      <c r="N21" s="3321"/>
      <c r="O21" s="3322"/>
      <c r="P21" s="3321"/>
      <c r="Q21" s="3231"/>
      <c r="R21" s="3231"/>
      <c r="S21" s="3231"/>
      <c r="T21" s="3231"/>
      <c r="U21" s="3231"/>
      <c r="V21" s="3231"/>
      <c r="W21" s="2783"/>
      <c r="X21" s="2783"/>
      <c r="Y21" s="2783"/>
      <c r="Z21" s="2783"/>
      <c r="AA21" s="2783"/>
      <c r="AB21" s="2783"/>
    </row>
    <row r="22" ht="36.75" spans="1:28">
      <c r="A22" s="3258"/>
      <c r="B22" s="3269" t="s">
        <v>378</v>
      </c>
      <c r="C22" s="3265" t="s">
        <v>379</v>
      </c>
      <c r="D22" s="3193"/>
      <c r="E22" s="3193"/>
      <c r="F22" s="3193"/>
      <c r="G22" s="2888"/>
      <c r="H22" s="2888"/>
      <c r="I22" s="2888"/>
      <c r="J22" s="2767"/>
      <c r="K22" s="3105"/>
      <c r="L22" s="211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306"/>
      <c r="N22" s="3321"/>
      <c r="O22" s="3322"/>
      <c r="P22" s="3321"/>
      <c r="Q22" s="3231"/>
      <c r="R22" s="3231"/>
      <c r="S22" s="3231"/>
      <c r="T22" s="3231"/>
      <c r="U22" s="3231"/>
      <c r="V22" s="3231"/>
      <c r="W22" s="2783"/>
      <c r="X22" s="2783"/>
      <c r="Y22" s="2783"/>
      <c r="Z22" s="2783"/>
      <c r="AA22" s="2783"/>
      <c r="AB22" s="2783"/>
    </row>
    <row r="23" spans="1:22">
      <c r="A23" s="3270" t="s">
        <v>380</v>
      </c>
      <c r="B23" s="2758" t="s">
        <v>381</v>
      </c>
      <c r="C23" s="3271"/>
      <c r="D23" s="3272" t="s">
        <v>381</v>
      </c>
      <c r="E23" s="3273"/>
      <c r="F23" s="3193"/>
      <c r="G23" s="2888"/>
      <c r="H23" s="2888"/>
      <c r="I23" s="2888"/>
      <c r="J23" s="2767"/>
      <c r="K23" s="3323"/>
      <c r="L23" s="2126"/>
      <c r="M23" s="3309"/>
      <c r="N23" s="2768"/>
      <c r="O23" s="3316"/>
      <c r="P23" s="2768"/>
      <c r="Q23" s="2767"/>
      <c r="R23" s="2767"/>
      <c r="S23" s="2767"/>
      <c r="T23" s="2767"/>
      <c r="U23" s="2767"/>
      <c r="V23" s="2767"/>
    </row>
    <row r="24" spans="1:22">
      <c r="A24" s="3270"/>
      <c r="B24" s="2758" t="s">
        <v>382</v>
      </c>
      <c r="C24" s="3274"/>
      <c r="D24" s="3270" t="s">
        <v>382</v>
      </c>
      <c r="E24" s="3275"/>
      <c r="F24" s="3193"/>
      <c r="G24" s="2888"/>
      <c r="H24" s="2888"/>
      <c r="I24" s="2888"/>
      <c r="J24" s="2767"/>
      <c r="K24" s="3323"/>
      <c r="L24" s="2126"/>
      <c r="M24" s="3309"/>
      <c r="N24" s="2768"/>
      <c r="O24" s="3316"/>
      <c r="P24" s="2768"/>
      <c r="Q24" s="2767"/>
      <c r="R24" s="2767"/>
      <c r="S24" s="2767"/>
      <c r="T24" s="2767"/>
      <c r="U24" s="2767"/>
      <c r="V24" s="2767"/>
    </row>
    <row r="25" spans="1:22">
      <c r="A25" s="3270"/>
      <c r="B25" s="2758" t="s">
        <v>383</v>
      </c>
      <c r="C25" s="3274"/>
      <c r="D25" s="3270" t="s">
        <v>383</v>
      </c>
      <c r="E25" s="3275"/>
      <c r="F25" s="3193"/>
      <c r="G25" s="2888"/>
      <c r="H25" s="2888"/>
      <c r="I25" s="2888"/>
      <c r="J25" s="2767"/>
      <c r="K25" s="3311"/>
      <c r="L25" s="3309"/>
      <c r="M25" s="3309"/>
      <c r="N25" s="2768"/>
      <c r="O25" s="3316"/>
      <c r="P25" s="2768"/>
      <c r="Q25" s="2767"/>
      <c r="R25" s="2767"/>
      <c r="S25" s="2767"/>
      <c r="T25" s="2767"/>
      <c r="U25" s="2767"/>
      <c r="V25" s="2767"/>
    </row>
    <row r="26" ht="13.95" spans="1:22">
      <c r="A26" s="3276"/>
      <c r="B26" s="3277" t="s">
        <v>384</v>
      </c>
      <c r="C26" s="3278"/>
      <c r="D26" s="3276" t="s">
        <v>384</v>
      </c>
      <c r="E26" s="3279"/>
      <c r="F26" s="3219"/>
      <c r="G26" s="3219"/>
      <c r="H26" s="3219"/>
      <c r="I26" s="3219"/>
      <c r="J26" s="2767"/>
      <c r="K26" s="3311"/>
      <c r="L26" s="3309"/>
      <c r="M26" s="3309"/>
      <c r="N26" s="2768"/>
      <c r="O26" s="3316"/>
      <c r="P26" s="2768"/>
      <c r="Q26" s="2767"/>
      <c r="R26" s="2767"/>
      <c r="S26" s="2767"/>
      <c r="T26" s="2767"/>
      <c r="U26" s="2767"/>
      <c r="V26" s="2767"/>
    </row>
    <row r="27" ht="13.95" spans="1:22">
      <c r="A27" s="1991" t="s">
        <v>385</v>
      </c>
      <c r="B27" s="1998" t="s">
        <v>386</v>
      </c>
      <c r="C27" s="3280"/>
      <c r="D27" s="3281"/>
      <c r="E27" s="2888"/>
      <c r="F27" s="2888"/>
      <c r="G27" s="2888"/>
      <c r="H27" s="2888"/>
      <c r="I27" s="2888"/>
      <c r="J27" s="2767"/>
      <c r="K27" s="3315"/>
      <c r="L27" s="3316"/>
      <c r="M27" s="3316"/>
      <c r="N27" s="2768"/>
      <c r="O27" s="3316"/>
      <c r="P27" s="2768"/>
      <c r="Q27" s="2767"/>
      <c r="R27" s="2767"/>
      <c r="S27" s="2767"/>
      <c r="T27" s="2767"/>
      <c r="U27" s="2767"/>
      <c r="V27" s="2767"/>
    </row>
    <row r="28" spans="1:22">
      <c r="A28" s="1991"/>
      <c r="B28" s="1962" t="s">
        <v>387</v>
      </c>
      <c r="C28" s="3282"/>
      <c r="D28" s="3283"/>
      <c r="E28" s="2888"/>
      <c r="F28" s="2888"/>
      <c r="G28" s="2888"/>
      <c r="H28" s="2888"/>
      <c r="I28" s="2888"/>
      <c r="J28" s="2767"/>
      <c r="K28" s="3311"/>
      <c r="L28" s="3309"/>
      <c r="M28" s="3309"/>
      <c r="N28" s="2767"/>
      <c r="O28" s="3310"/>
      <c r="P28" s="2767"/>
      <c r="Q28" s="2767"/>
      <c r="R28" s="2767"/>
      <c r="S28" s="2767"/>
      <c r="T28" s="2767"/>
      <c r="U28" s="2767"/>
      <c r="V28" s="2767"/>
    </row>
    <row r="29" spans="1:22">
      <c r="A29" s="1991"/>
      <c r="B29" s="1962" t="s">
        <v>388</v>
      </c>
      <c r="C29" s="3284"/>
      <c r="D29" s="3285"/>
      <c r="E29" s="2888"/>
      <c r="F29" s="2888"/>
      <c r="G29" s="2888"/>
      <c r="H29" s="2888"/>
      <c r="I29" s="2888"/>
      <c r="J29" s="2767"/>
      <c r="K29" s="3311"/>
      <c r="L29" s="3309"/>
      <c r="M29" s="3309"/>
      <c r="N29" s="2767"/>
      <c r="O29" s="3310"/>
      <c r="P29" s="2767"/>
      <c r="Q29" s="2767"/>
      <c r="R29" s="2767"/>
      <c r="S29" s="2767"/>
      <c r="T29" s="2767"/>
      <c r="U29" s="2767"/>
      <c r="V29" s="2767"/>
    </row>
    <row r="30" spans="1:22">
      <c r="A30" s="1998"/>
      <c r="B30" s="1962" t="s">
        <v>389</v>
      </c>
      <c r="C30" s="3286"/>
      <c r="D30" s="3287"/>
      <c r="E30" s="2888"/>
      <c r="F30" s="2888"/>
      <c r="G30" s="2888"/>
      <c r="H30" s="2888"/>
      <c r="I30" s="2888"/>
      <c r="J30" s="2767"/>
      <c r="K30" s="3311"/>
      <c r="L30" s="3309"/>
      <c r="M30" s="3309"/>
      <c r="N30" s="2767"/>
      <c r="O30" s="3310"/>
      <c r="P30" s="2767"/>
      <c r="Q30" s="2767"/>
      <c r="R30" s="2767"/>
      <c r="S30" s="2767"/>
      <c r="T30" s="2767"/>
      <c r="U30" s="2767"/>
      <c r="V30" s="2767"/>
    </row>
    <row r="31" spans="1:22">
      <c r="A31" s="3288" t="s">
        <v>390</v>
      </c>
      <c r="B31" s="3289" t="s">
        <v>391</v>
      </c>
      <c r="C31" s="2117" t="str">
        <f>IF(B31="现房","成新及维护状况正常否",IF(B31="在建","工程状态是否正常",IF(B31="土地","是否闲置","-")))</f>
        <v>成新及维护状况正常否</v>
      </c>
      <c r="D31" s="2217"/>
      <c r="E31" s="3290"/>
      <c r="F31" s="2888"/>
      <c r="G31" s="2888"/>
      <c r="H31" s="2888"/>
      <c r="I31" s="2888"/>
      <c r="J31" s="2767"/>
      <c r="K31" s="3308"/>
      <c r="L31" s="3309"/>
      <c r="M31" s="3309"/>
      <c r="N31" s="2767"/>
      <c r="O31" s="3310"/>
      <c r="P31" s="2767"/>
      <c r="Q31" s="2767"/>
      <c r="R31" s="2767"/>
      <c r="S31" s="2767"/>
      <c r="T31" s="2767"/>
      <c r="U31" s="2767"/>
      <c r="V31" s="2767"/>
    </row>
    <row r="32" spans="1:22">
      <c r="A32" s="2466"/>
      <c r="B32" s="3289"/>
      <c r="C32" s="2117" t="str">
        <f>IF(B32="现房","成新及维护状况是否正常",IF(B32="在建","工程状态是否正常",IF(B32="土地","是否闲置","-")))</f>
        <v>-</v>
      </c>
      <c r="D32" s="2217"/>
      <c r="E32" s="3290"/>
      <c r="F32" s="2888"/>
      <c r="G32" s="2888"/>
      <c r="H32" s="2888"/>
      <c r="I32" s="2888"/>
      <c r="J32" s="2767"/>
      <c r="K32" s="3311"/>
      <c r="L32" s="3309"/>
      <c r="M32" s="3309"/>
      <c r="N32" s="2767"/>
      <c r="O32" s="3310"/>
      <c r="P32" s="2767"/>
      <c r="Q32" s="2767"/>
      <c r="R32" s="2767"/>
      <c r="S32" s="2767"/>
      <c r="T32" s="2767"/>
      <c r="U32" s="2767"/>
      <c r="V32" s="2767"/>
    </row>
    <row r="33" spans="1:22">
      <c r="A33" s="2466"/>
      <c r="B33" s="3291"/>
      <c r="C33" s="2465" t="str">
        <f>IF(B33="现房","成新及维护状况是否正常",IF(B33="在建","工程状态是否正常",IF(B33="土地","是否闲置","-")))</f>
        <v>-</v>
      </c>
      <c r="D33" s="1973"/>
      <c r="E33" s="3292"/>
      <c r="F33" s="2888"/>
      <c r="G33" s="2888"/>
      <c r="H33" s="2888"/>
      <c r="I33" s="2888"/>
      <c r="J33" s="2767"/>
      <c r="K33" s="3311"/>
      <c r="L33" s="3309"/>
      <c r="M33" s="3309"/>
      <c r="N33" s="2767"/>
      <c r="O33" s="3310"/>
      <c r="P33" s="2767"/>
      <c r="Q33" s="2767"/>
      <c r="R33" s="2767"/>
      <c r="S33" s="2767"/>
      <c r="T33" s="2767"/>
      <c r="U33" s="2767"/>
      <c r="V33" s="2767"/>
    </row>
    <row r="34" spans="1:22">
      <c r="A34" s="1962" t="s">
        <v>392</v>
      </c>
      <c r="B34" s="1060"/>
      <c r="C34" s="1060"/>
      <c r="D34" s="1060"/>
      <c r="E34" s="1060"/>
      <c r="F34" s="1060"/>
      <c r="G34" s="1060"/>
      <c r="H34" s="1060"/>
      <c r="I34" s="2888"/>
      <c r="J34" s="2767"/>
      <c r="K34" s="710">
        <f>COUNTIF(B34:H34,"——")</f>
        <v>0</v>
      </c>
      <c r="L34" s="2005" t="s">
        <v>393</v>
      </c>
      <c r="M34" s="2005" t="s">
        <v>394</v>
      </c>
      <c r="N34" s="2005" t="s">
        <v>395</v>
      </c>
      <c r="O34" s="2005" t="s">
        <v>396</v>
      </c>
      <c r="P34" s="2005" t="s">
        <v>397</v>
      </c>
      <c r="Q34" s="2005" t="s">
        <v>398</v>
      </c>
      <c r="R34" s="2005" t="s">
        <v>399</v>
      </c>
      <c r="S34" s="710" t="s">
        <v>400</v>
      </c>
      <c r="T34" s="3333" t="str">
        <f>NUMBERSTRING(7-K34,1)&amp;"通"</f>
        <v>七通</v>
      </c>
      <c r="U34" s="2767"/>
      <c r="V34" s="2767"/>
    </row>
    <row r="35" spans="1:22">
      <c r="A35" s="3293"/>
      <c r="B35" s="769" t="s">
        <v>401</v>
      </c>
      <c r="C35" s="769"/>
      <c r="D35" s="769"/>
      <c r="E35" s="769"/>
      <c r="F35" s="769">
        <f>C10</f>
        <v>0</v>
      </c>
      <c r="G35" s="2888"/>
      <c r="H35" s="2888"/>
      <c r="I35" s="2888"/>
      <c r="J35" s="2767"/>
      <c r="K35" s="2005"/>
      <c r="L35" s="2005">
        <f>B34</f>
        <v>0</v>
      </c>
      <c r="M35" s="2007" t="str">
        <f>B34&amp;"、"&amp;C34</f>
        <v>、</v>
      </c>
      <c r="N35" s="2007" t="str">
        <f>B34&amp;"、"&amp;C34&amp;"、"&amp;D34</f>
        <v>、、</v>
      </c>
      <c r="O35" s="2007" t="str">
        <f>B34&amp;"、"&amp;C34&amp;"、"&amp;D34&amp;"、"&amp;E34</f>
        <v>、、、</v>
      </c>
      <c r="P35" s="2007" t="str">
        <f>B34&amp;"、"&amp;C34&amp;"、"&amp;D34&amp;"、"&amp;E34&amp;"、"&amp;F34</f>
        <v>、、、、</v>
      </c>
      <c r="Q35" s="2007" t="str">
        <f>B34&amp;"、"&amp;C34&amp;"、"&amp;D34&amp;"、"&amp;E34&amp;"、"&amp;F34&amp;"、"&amp;G34</f>
        <v>、、、、、</v>
      </c>
      <c r="R35" s="2007" t="str">
        <f>B34&amp;"、"&amp;C34&amp;"、"&amp;D34&amp;"、"&amp;E34&amp;"、"&amp;F34&amp;"、"&amp;G34&amp;"、"&amp;H34</f>
        <v>、、、、、、</v>
      </c>
      <c r="S35" s="710"/>
      <c r="T35" s="2007" t="str">
        <f>IF(T34="一通",L35,IF(T34="二通",M35,IF(T34="三通",N35,IF(T34="四通",O35,IF(T34="五通",P35,IF(T34="六通",Q35,R35))))))</f>
        <v>、、、、、、</v>
      </c>
      <c r="U35" s="2767"/>
      <c r="V35" s="2767"/>
    </row>
    <row r="36" spans="1:22">
      <c r="A36" s="3294"/>
      <c r="B36" s="769" t="s">
        <v>350</v>
      </c>
      <c r="C36" s="769" t="s">
        <v>351</v>
      </c>
      <c r="D36" s="769" t="s">
        <v>349</v>
      </c>
      <c r="E36" s="769" t="s">
        <v>354</v>
      </c>
      <c r="F36" s="3295"/>
      <c r="G36" s="2888"/>
      <c r="H36" s="2888"/>
      <c r="I36" s="2888"/>
      <c r="J36" s="2767"/>
      <c r="K36" s="3311"/>
      <c r="L36" s="3309"/>
      <c r="M36" s="3309"/>
      <c r="N36" s="2767"/>
      <c r="O36" s="3310"/>
      <c r="P36" s="2767"/>
      <c r="Q36" s="2767"/>
      <c r="R36" s="2767"/>
      <c r="S36" s="2767"/>
      <c r="T36" s="2767"/>
      <c r="U36" s="2767"/>
      <c r="V36" s="2767"/>
    </row>
    <row r="37" spans="1:22">
      <c r="A37" s="3296" t="s">
        <v>402</v>
      </c>
      <c r="B37" s="3297"/>
      <c r="C37" s="3297" t="s">
        <v>273</v>
      </c>
      <c r="D37" s="3297"/>
      <c r="E37" s="3297" t="s">
        <v>273</v>
      </c>
      <c r="F37" s="3295"/>
      <c r="G37" s="2888"/>
      <c r="H37" s="2888"/>
      <c r="I37" s="2888"/>
      <c r="J37" s="2767"/>
      <c r="K37" s="3311"/>
      <c r="L37" s="3309"/>
      <c r="M37" s="3309"/>
      <c r="N37" s="2767"/>
      <c r="O37" s="3310"/>
      <c r="P37" s="2767"/>
      <c r="Q37" s="2767"/>
      <c r="R37" s="2767"/>
      <c r="S37" s="2767"/>
      <c r="T37" s="2767"/>
      <c r="U37" s="2767"/>
      <c r="V37" s="2767"/>
    </row>
    <row r="38" ht="13.95" spans="1:22">
      <c r="A38" s="3298" t="s">
        <v>403</v>
      </c>
      <c r="B38" s="3299"/>
      <c r="C38" s="3299"/>
      <c r="D38" s="3299"/>
      <c r="E38" s="3299" t="s">
        <v>404</v>
      </c>
      <c r="F38" s="3300"/>
      <c r="G38" s="3219"/>
      <c r="H38" s="3219"/>
      <c r="I38" s="3219"/>
      <c r="J38" s="2767"/>
      <c r="K38" s="3311"/>
      <c r="L38" s="3309"/>
      <c r="M38" s="3309"/>
      <c r="N38" s="2767"/>
      <c r="O38" s="3310"/>
      <c r="P38" s="2767"/>
      <c r="Q38" s="2767"/>
      <c r="R38" s="2767"/>
      <c r="S38" s="2767"/>
      <c r="T38" s="2767"/>
      <c r="U38" s="2767"/>
      <c r="V38" s="2767"/>
    </row>
    <row r="39" s="3182" customFormat="1" ht="14.7" spans="1:30">
      <c r="A39" s="3301" t="s">
        <v>405</v>
      </c>
      <c r="B39" s="3302"/>
      <c r="C39" s="3302"/>
      <c r="D39" s="3302"/>
      <c r="E39" s="3302"/>
      <c r="F39" s="3302"/>
      <c r="G39" s="3302"/>
      <c r="H39" s="3302"/>
      <c r="I39" s="3302"/>
      <c r="J39" s="3324"/>
      <c r="K39" s="3325"/>
      <c r="L39" s="3324"/>
      <c r="M39" s="3324"/>
      <c r="N39" s="3324"/>
      <c r="O39" s="3326"/>
      <c r="P39" s="3324"/>
      <c r="Q39" s="3324"/>
      <c r="R39" s="3324"/>
      <c r="S39" s="3324"/>
      <c r="T39" s="3324"/>
      <c r="U39" s="3324"/>
      <c r="V39" s="3324"/>
      <c r="W39" s="3334"/>
      <c r="X39" s="3334"/>
      <c r="Y39" s="3334"/>
      <c r="Z39" s="3334"/>
      <c r="AA39" s="3334"/>
      <c r="AB39" s="3334"/>
      <c r="AC39" s="3334"/>
      <c r="AD39" s="3334"/>
    </row>
    <row r="40" spans="1:22">
      <c r="A40" s="3231"/>
      <c r="B40" s="3231"/>
      <c r="C40" s="3231"/>
      <c r="D40" s="3231"/>
      <c r="E40" s="3231"/>
      <c r="F40" s="3231"/>
      <c r="G40" s="3231"/>
      <c r="H40" s="3231"/>
      <c r="I40" s="2491"/>
      <c r="J40" s="2768"/>
      <c r="K40" s="3308"/>
      <c r="L40" s="3316"/>
      <c r="M40" s="3316"/>
      <c r="N40" s="2768"/>
      <c r="O40" s="3316"/>
      <c r="P40" s="2767"/>
      <c r="Q40" s="2767"/>
      <c r="R40" s="2767"/>
      <c r="S40" s="2767"/>
      <c r="T40" s="2767"/>
      <c r="U40" s="2767"/>
      <c r="V40" s="2767"/>
    </row>
    <row r="41" spans="1:22">
      <c r="A41" s="3303" t="s">
        <v>406</v>
      </c>
      <c r="B41" s="2355"/>
      <c r="C41" s="2217"/>
      <c r="D41" s="3231"/>
      <c r="E41" s="3231"/>
      <c r="F41" s="3231"/>
      <c r="G41" s="3231"/>
      <c r="H41" s="3231"/>
      <c r="I41" s="3094"/>
      <c r="J41" s="2767"/>
      <c r="K41" s="3311"/>
      <c r="L41" s="3309"/>
      <c r="M41" s="3309"/>
      <c r="N41" s="2767"/>
      <c r="O41" s="3310"/>
      <c r="P41" s="2767"/>
      <c r="Q41" s="2767"/>
      <c r="R41" s="2767"/>
      <c r="S41" s="2767"/>
      <c r="T41" s="2767"/>
      <c r="U41" s="2767"/>
      <c r="V41" s="2767"/>
    </row>
    <row r="42" ht="25.2" spans="1:22">
      <c r="A42" s="2005" t="s">
        <v>407</v>
      </c>
      <c r="B42" s="710" t="s">
        <v>408</v>
      </c>
      <c r="C42" s="710" t="s">
        <v>409</v>
      </c>
      <c r="D42" s="710" t="s">
        <v>410</v>
      </c>
      <c r="E42" s="710" t="s">
        <v>411</v>
      </c>
      <c r="F42" s="710" t="s">
        <v>412</v>
      </c>
      <c r="G42" s="710" t="s">
        <v>413</v>
      </c>
      <c r="H42" s="710" t="s">
        <v>414</v>
      </c>
      <c r="I42" s="710" t="s">
        <v>415</v>
      </c>
      <c r="J42" s="3327" t="s">
        <v>416</v>
      </c>
      <c r="K42" s="3328" t="s">
        <v>417</v>
      </c>
      <c r="L42" s="3328" t="s">
        <v>418</v>
      </c>
      <c r="M42" s="3328" t="s">
        <v>419</v>
      </c>
      <c r="N42" s="3329" t="s">
        <v>420</v>
      </c>
      <c r="O42" s="3329" t="s">
        <v>421</v>
      </c>
      <c r="P42" s="3329" t="s">
        <v>422</v>
      </c>
      <c r="Q42" s="3335" t="s">
        <v>423</v>
      </c>
      <c r="R42" s="3335" t="s">
        <v>424</v>
      </c>
      <c r="S42" s="2767"/>
      <c r="T42" s="2767"/>
      <c r="U42" s="2767"/>
      <c r="V42" s="2767"/>
    </row>
    <row r="43" s="2984" customFormat="1" spans="1:22">
      <c r="A43" s="3119"/>
      <c r="B43" s="3115"/>
      <c r="C43" s="3115"/>
      <c r="D43" s="3115"/>
      <c r="E43" s="3115"/>
      <c r="F43" s="3115"/>
      <c r="G43" s="3115"/>
      <c r="H43" s="3115"/>
      <c r="I43" s="3115"/>
      <c r="J43" s="3330"/>
      <c r="K43" s="3331"/>
      <c r="L43" s="3331"/>
      <c r="M43" s="3115"/>
      <c r="N43" s="3115"/>
      <c r="O43" s="3115"/>
      <c r="P43" s="3115"/>
      <c r="Q43" s="3115"/>
      <c r="R43" s="3115"/>
      <c r="S43" s="2767"/>
      <c r="T43" s="2767"/>
      <c r="U43" s="2767"/>
      <c r="V43" s="2767"/>
    </row>
    <row r="44" s="2984" customFormat="1" spans="1:22">
      <c r="A44" s="3119"/>
      <c r="B44" s="3119"/>
      <c r="C44" s="3115"/>
      <c r="D44" s="3115"/>
      <c r="E44" s="3115"/>
      <c r="F44" s="3115"/>
      <c r="G44" s="3115"/>
      <c r="H44" s="3115"/>
      <c r="I44" s="3115"/>
      <c r="J44" s="3330"/>
      <c r="K44" s="3331"/>
      <c r="L44" s="3331"/>
      <c r="M44" s="3115"/>
      <c r="N44" s="3115"/>
      <c r="O44" s="3115"/>
      <c r="P44" s="3115"/>
      <c r="Q44" s="3115"/>
      <c r="R44" s="3115"/>
      <c r="S44" s="2767"/>
      <c r="T44" s="2767"/>
      <c r="U44" s="2767"/>
      <c r="V44" s="2767"/>
    </row>
    <row r="45" s="2984" customFormat="1" spans="1:22">
      <c r="A45" s="3119"/>
      <c r="B45" s="3119"/>
      <c r="C45" s="3115"/>
      <c r="D45" s="3115"/>
      <c r="E45" s="3115"/>
      <c r="F45" s="3115"/>
      <c r="G45" s="3115"/>
      <c r="H45" s="3115"/>
      <c r="I45" s="3115"/>
      <c r="J45" s="3330"/>
      <c r="K45" s="3331"/>
      <c r="L45" s="3331"/>
      <c r="M45" s="3115"/>
      <c r="N45" s="3115"/>
      <c r="O45" s="3115"/>
      <c r="P45" s="3115"/>
      <c r="Q45" s="3115"/>
      <c r="R45" s="3115"/>
      <c r="S45" s="2767"/>
      <c r="T45" s="2767"/>
      <c r="U45" s="2767"/>
      <c r="V45" s="2767"/>
    </row>
    <row r="46" s="2984" customFormat="1" spans="1:22">
      <c r="A46" s="3119"/>
      <c r="B46" s="3119"/>
      <c r="C46" s="3115"/>
      <c r="D46" s="3115"/>
      <c r="E46" s="3115"/>
      <c r="F46" s="3115"/>
      <c r="G46" s="3115"/>
      <c r="H46" s="3115"/>
      <c r="I46" s="3115"/>
      <c r="J46" s="3330"/>
      <c r="K46" s="3331"/>
      <c r="L46" s="3331"/>
      <c r="M46" s="3115"/>
      <c r="N46" s="3115"/>
      <c r="O46" s="3115"/>
      <c r="P46" s="3115"/>
      <c r="Q46" s="3115"/>
      <c r="R46" s="3115"/>
      <c r="S46" s="2767"/>
      <c r="T46" s="2767"/>
      <c r="U46" s="2767"/>
      <c r="V46" s="2767"/>
    </row>
    <row r="47" s="2984" customFormat="1" spans="1:22">
      <c r="A47" s="3119"/>
      <c r="B47" s="3119"/>
      <c r="C47" s="3115"/>
      <c r="D47" s="3115"/>
      <c r="E47" s="3115"/>
      <c r="F47" s="3115"/>
      <c r="G47" s="3115"/>
      <c r="H47" s="3115"/>
      <c r="I47" s="3115"/>
      <c r="J47" s="3330"/>
      <c r="K47" s="3331"/>
      <c r="L47" s="3331"/>
      <c r="M47" s="3115"/>
      <c r="N47" s="3115"/>
      <c r="O47" s="3115"/>
      <c r="P47" s="3115"/>
      <c r="Q47" s="3115"/>
      <c r="R47" s="3115"/>
      <c r="S47" s="2767"/>
      <c r="T47" s="2767"/>
      <c r="U47" s="2767"/>
      <c r="V47" s="2767"/>
    </row>
    <row r="48" s="2984" customFormat="1" spans="1:22">
      <c r="A48" s="3119"/>
      <c r="B48" s="3119"/>
      <c r="C48" s="3115"/>
      <c r="D48" s="3115"/>
      <c r="E48" s="3115"/>
      <c r="F48" s="3115"/>
      <c r="G48" s="3115"/>
      <c r="H48" s="3115"/>
      <c r="I48" s="3115"/>
      <c r="J48" s="3330"/>
      <c r="K48" s="3331"/>
      <c r="L48" s="3331"/>
      <c r="M48" s="3115"/>
      <c r="N48" s="3115"/>
      <c r="O48" s="3115"/>
      <c r="P48" s="3115"/>
      <c r="Q48" s="3115"/>
      <c r="R48" s="3115"/>
      <c r="S48" s="2767"/>
      <c r="T48" s="2767"/>
      <c r="U48" s="2767"/>
      <c r="V48" s="2767"/>
    </row>
    <row r="49" s="2984" customFormat="1" spans="1:22">
      <c r="A49" s="3119"/>
      <c r="B49" s="3119"/>
      <c r="C49" s="3115"/>
      <c r="D49" s="3115"/>
      <c r="E49" s="3115"/>
      <c r="F49" s="3115"/>
      <c r="G49" s="3115"/>
      <c r="H49" s="3115"/>
      <c r="I49" s="3115"/>
      <c r="J49" s="3330"/>
      <c r="K49" s="3331"/>
      <c r="L49" s="3331"/>
      <c r="M49" s="3115"/>
      <c r="N49" s="3115"/>
      <c r="O49" s="3115"/>
      <c r="P49" s="3115"/>
      <c r="Q49" s="3115"/>
      <c r="R49" s="3115"/>
      <c r="S49" s="2767"/>
      <c r="T49" s="2767"/>
      <c r="U49" s="2767"/>
      <c r="V49" s="2767"/>
    </row>
    <row r="50" s="2984" customFormat="1" spans="1:22">
      <c r="A50" s="3119"/>
      <c r="B50" s="3119"/>
      <c r="C50" s="3115"/>
      <c r="D50" s="3115"/>
      <c r="E50" s="3115"/>
      <c r="F50" s="3115"/>
      <c r="G50" s="3115"/>
      <c r="H50" s="3115"/>
      <c r="I50" s="3115"/>
      <c r="J50" s="3330"/>
      <c r="K50" s="3331"/>
      <c r="L50" s="3331"/>
      <c r="M50" s="3115"/>
      <c r="N50" s="3115"/>
      <c r="O50" s="3115"/>
      <c r="P50" s="3115"/>
      <c r="Q50" s="3115"/>
      <c r="R50" s="3115"/>
      <c r="S50" s="2767"/>
      <c r="T50" s="2767"/>
      <c r="U50" s="2767"/>
      <c r="V50" s="2767"/>
    </row>
    <row r="51" s="2984" customFormat="1" spans="1:18">
      <c r="A51" s="3119"/>
      <c r="B51" s="3119"/>
      <c r="C51" s="3115"/>
      <c r="D51" s="3115"/>
      <c r="E51" s="3115"/>
      <c r="F51" s="3115"/>
      <c r="G51" s="3115"/>
      <c r="H51" s="3115"/>
      <c r="I51" s="3115"/>
      <c r="J51" s="3330"/>
      <c r="K51" s="3331"/>
      <c r="L51" s="3331"/>
      <c r="M51" s="3115"/>
      <c r="N51" s="3115"/>
      <c r="O51" s="3115"/>
      <c r="P51" s="3115"/>
      <c r="Q51" s="3115"/>
      <c r="R51" s="3115"/>
    </row>
    <row r="52" s="2984" customFormat="1" spans="1:18">
      <c r="A52" s="3119"/>
      <c r="B52" s="3119"/>
      <c r="C52" s="3119"/>
      <c r="D52" s="3119"/>
      <c r="E52" s="3119"/>
      <c r="F52" s="3115"/>
      <c r="G52" s="3119"/>
      <c r="H52" s="3119"/>
      <c r="I52" s="3119"/>
      <c r="J52" s="3332"/>
      <c r="K52" s="3331"/>
      <c r="L52" s="3331"/>
      <c r="M52" s="3331"/>
      <c r="N52" s="3119"/>
      <c r="O52" s="3119"/>
      <c r="P52" s="3119"/>
      <c r="Q52" s="3119"/>
      <c r="R52" s="3119"/>
    </row>
    <row r="53" s="2984" customFormat="1" spans="1:18">
      <c r="A53" s="3119"/>
      <c r="B53" s="3119"/>
      <c r="C53" s="3119"/>
      <c r="D53" s="3119"/>
      <c r="E53" s="3119"/>
      <c r="F53" s="3115"/>
      <c r="G53" s="3119"/>
      <c r="H53" s="3119"/>
      <c r="I53" s="3119"/>
      <c r="J53" s="3332"/>
      <c r="K53" s="3331"/>
      <c r="L53" s="3331"/>
      <c r="M53" s="3331"/>
      <c r="N53" s="3119"/>
      <c r="O53" s="3119"/>
      <c r="P53" s="3119"/>
      <c r="Q53" s="3119"/>
      <c r="R53" s="3119"/>
    </row>
    <row r="54" s="2984" customFormat="1" spans="1:18">
      <c r="A54" s="3119"/>
      <c r="B54" s="3119"/>
      <c r="C54" s="3119"/>
      <c r="D54" s="3119"/>
      <c r="E54" s="3119"/>
      <c r="F54" s="3115"/>
      <c r="G54" s="3119"/>
      <c r="H54" s="3119"/>
      <c r="I54" s="3119"/>
      <c r="J54" s="3332"/>
      <c r="K54" s="3331"/>
      <c r="L54" s="3331"/>
      <c r="M54" s="3331"/>
      <c r="N54" s="3119"/>
      <c r="O54" s="3119"/>
      <c r="P54" s="3119"/>
      <c r="Q54" s="3119"/>
      <c r="R54" s="3119"/>
    </row>
    <row r="55" s="2984" customFormat="1" spans="1:18">
      <c r="A55" s="3119"/>
      <c r="B55" s="3119"/>
      <c r="C55" s="3119"/>
      <c r="D55" s="3119"/>
      <c r="E55" s="3119"/>
      <c r="F55" s="3115"/>
      <c r="G55" s="3119"/>
      <c r="H55" s="3119"/>
      <c r="I55" s="3119"/>
      <c r="J55" s="3332"/>
      <c r="K55" s="3331"/>
      <c r="L55" s="3331"/>
      <c r="M55" s="3331"/>
      <c r="N55" s="3119"/>
      <c r="O55" s="3119"/>
      <c r="P55" s="3119"/>
      <c r="Q55" s="3119"/>
      <c r="R55" s="3119"/>
    </row>
    <row r="56" s="2984" customFormat="1" spans="1:18">
      <c r="A56" s="3119"/>
      <c r="B56" s="3119"/>
      <c r="C56" s="3119"/>
      <c r="D56" s="3119"/>
      <c r="E56" s="3119"/>
      <c r="F56" s="3115"/>
      <c r="G56" s="3119"/>
      <c r="H56" s="3119"/>
      <c r="I56" s="3119"/>
      <c r="J56" s="3332"/>
      <c r="K56" s="3331"/>
      <c r="L56" s="3331"/>
      <c r="M56" s="3331"/>
      <c r="N56" s="3119"/>
      <c r="O56" s="3119"/>
      <c r="P56" s="3119"/>
      <c r="Q56" s="3119"/>
      <c r="R56" s="3119"/>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3">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showInputMessage="1" showErrorMessage="1" sqref="B11">
      <formula1>"自然人,企业"</formula1>
    </dataValidation>
    <dataValidation type="list" allowBlank="1" showInputMessage="1" showErrorMessage="1" sqref="E8">
      <formula1>价值类型2</formula1>
    </dataValidation>
    <dataValidation type="list" allowBlank="1" showInputMessage="1" showErrorMessage="1" sqref="B34:H34">
      <formula1>七通一平</formula1>
    </dataValidation>
    <dataValidation type="list" allowBlank="1" showInputMessage="1" showErrorMessage="1" sqref="B9">
      <formula1>"房地产抵押价值,房地产市场价值"</formula1>
    </dataValidation>
    <dataValidation type="list" allowBlank="1" showInputMessage="1" showErrorMessage="1" sqref="B37:E37">
      <formula1>土地级别</formula1>
    </dataValidation>
    <dataValidation type="list" allowBlank="1" showInputMessage="1" showErrorMessage="1" sqref="E9">
      <formula1>"抵押净值,——"</formula1>
    </dataValidation>
    <dataValidation type="list" allowBlank="1" showInputMessage="1" showErrorMessage="1" sqref="D14:I14">
      <formula1>法定最高年限</formula1>
    </dataValidation>
    <dataValidation type="list" allowBlank="1" showInputMessage="1" showErrorMessage="1" sqref="B12">
      <formula1>"出让,划拨"</formula1>
    </dataValidation>
    <dataValidation type="list" allowBlank="1" showInputMessage="1" showErrorMessage="1" sqref="B38">
      <formula1>INDIRECT(B37)</formula1>
    </dataValidation>
    <dataValidation type="list" allowBlank="1" showInputMessage="1" showErrorMessage="1" sqref="B10">
      <formula1>"北京市,其他："</formula1>
    </dataValidation>
    <dataValidation type="list" allowBlank="1" showInputMessage="1" showErrorMessage="1" sqref="C29">
      <formula1>"否,全部为保障性住房,含保障性住房"</formula1>
    </dataValidation>
    <dataValidation type="list" allowBlank="1" showInputMessage="1" showErrorMessage="1" sqref="A18">
      <formula1>"建筑与土地面积依据相同,——"</formula1>
    </dataValidation>
    <dataValidation type="list" allowBlank="1" showInputMessage="1" showErrorMessage="1" sqref="B21 B22">
      <formula1>"《房屋所有权证》,《国有土地使用证》,《不动产权证书》,——"</formula1>
    </dataValidation>
    <dataValidation type="list" allowBlank="1" showInputMessage="1" showErrorMessage="1" sqref="C19 E19 G19">
      <formula1>判定</formula1>
    </dataValidation>
    <dataValidation type="list" allowBlank="1" showInputMessage="1" showErrorMessage="1" sqref="D38">
      <formula1>INDIRECT($D$37)</formula1>
    </dataValidation>
    <dataValidation type="list" allowBlank="1" showInputMessage="1" showErrorMessage="1" sqref="E21 C21:C22">
      <formula1>"原件,复印件,——"</formula1>
    </dataValidation>
    <dataValidation type="list" allowBlank="1" showInputMessage="1" showErrorMessage="1" sqref="E38">
      <formula1>INDIRECT($E$37)</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38">
      <formula1>INDIRECT($C$37)</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Normal="100" workbookViewId="0">
      <pane xSplit="4" ySplit="12" topLeftCell="E13" activePane="bottomRight" state="frozen"/>
      <selection/>
      <selection pane="topRight"/>
      <selection pane="bottomLeft"/>
      <selection pane="bottomRight" activeCell="A16" sqref="A16"/>
    </sheetView>
  </sheetViews>
  <sheetFormatPr defaultColWidth="8.88888888888889" defaultRowHeight="13.8"/>
  <cols>
    <col min="1" max="1" width="10.6666666666667" style="3091" customWidth="1"/>
    <col min="2" max="2" width="11" style="3091" customWidth="1"/>
    <col min="3" max="3" width="10.3333333333333" style="3091" customWidth="1"/>
    <col min="4" max="4" width="9.11111111111111" style="3091" customWidth="1"/>
    <col min="5" max="6" width="10" style="3089" customWidth="1"/>
    <col min="7" max="8" width="10" style="3091" customWidth="1"/>
    <col min="9" max="9" width="10.6666666666667" style="3091" customWidth="1"/>
    <col min="10" max="10" width="9.44444444444444" style="3091" customWidth="1"/>
    <col min="11" max="11" width="11" style="3091" customWidth="1"/>
    <col min="12" max="14" width="9.44444444444444" style="3091" customWidth="1"/>
    <col min="15" max="15" width="9.88888888888889" style="3091" customWidth="1"/>
    <col min="16" max="16" width="9.77777777777778" style="3091" customWidth="1"/>
    <col min="17" max="17" width="9.33333333333333" style="3091" customWidth="1"/>
    <col min="18" max="18" width="9.22222222222222" style="3091" customWidth="1"/>
    <col min="19" max="19" width="10.8888888888889" style="3091" customWidth="1"/>
    <col min="20" max="21" width="10.7777777777778" style="3091" customWidth="1"/>
    <col min="22" max="22" width="10.8888888888889" style="3091" customWidth="1"/>
    <col min="23" max="27" width="10.7777777777778" style="3091" customWidth="1"/>
    <col min="28" max="28" width="10.8888888888889" style="3091" customWidth="1"/>
    <col min="29" max="29" width="11" style="3091" customWidth="1"/>
    <col min="30" max="30" width="10" style="3091" customWidth="1"/>
    <col min="31" max="31" width="9.77777777777778" style="3091" customWidth="1"/>
    <col min="32" max="46" width="9.44444444444444" style="3091" customWidth="1"/>
    <col min="47" max="47" width="18.1111111111111" style="3091" customWidth="1"/>
    <col min="48" max="50" width="9.77777777777778" style="3091" customWidth="1"/>
    <col min="51" max="55" width="10.4444444444444" style="3091" customWidth="1"/>
    <col min="56" max="56" width="9.44444444444444" style="3091" customWidth="1"/>
    <col min="57" max="63" width="9.11111111111111" style="3091" customWidth="1"/>
    <col min="64" max="64" width="9.44444444444444" style="3091" customWidth="1"/>
    <col min="65" max="65" width="9.11111111111111" style="3091" customWidth="1"/>
    <col min="66" max="66" width="9.44444444444444" style="3091" customWidth="1"/>
    <col min="67" max="69" width="9.11111111111111" style="3091" customWidth="1"/>
    <col min="70" max="70" width="9.44444444444444" style="3091" customWidth="1"/>
    <col min="71" max="71" width="9" style="3091" customWidth="1"/>
    <col min="72" max="72" width="9.11111111111111" style="3091" customWidth="1"/>
    <col min="73" max="16384" width="8.88888888888889" style="3091"/>
  </cols>
  <sheetData>
    <row r="1" ht="20.4" spans="1:72">
      <c r="A1" s="3092" t="s">
        <v>425</v>
      </c>
      <c r="B1" s="3093"/>
      <c r="C1" s="3093"/>
      <c r="D1" s="3093"/>
      <c r="E1" s="3093"/>
      <c r="F1" s="3093"/>
      <c r="G1" s="3093"/>
      <c r="H1" s="3093"/>
      <c r="I1" s="3093"/>
      <c r="J1" s="3093"/>
      <c r="K1" s="3093"/>
      <c r="L1" s="3093"/>
      <c r="M1" s="3093"/>
      <c r="N1" s="3093"/>
      <c r="O1" s="3093"/>
      <c r="P1" s="3093"/>
      <c r="Q1" s="3093"/>
      <c r="R1" s="3093"/>
      <c r="S1" s="3093"/>
      <c r="T1" s="3093"/>
      <c r="U1" s="3093"/>
      <c r="V1" s="3093"/>
      <c r="W1" s="3093"/>
      <c r="X1" s="3093"/>
      <c r="Y1" s="3093"/>
      <c r="Z1" s="3093"/>
      <c r="AA1" s="3093"/>
      <c r="AB1" s="3093"/>
      <c r="AC1" s="3093"/>
      <c r="AD1" s="3093"/>
      <c r="AE1" s="3093"/>
      <c r="AF1" s="3093"/>
      <c r="AG1" s="3093"/>
      <c r="AH1" s="3093"/>
      <c r="AI1" s="3093"/>
      <c r="AJ1" s="3093"/>
      <c r="AK1" s="3093"/>
      <c r="AL1" s="3093"/>
      <c r="AM1" s="3093"/>
      <c r="AN1" s="3093"/>
      <c r="AO1" s="3093"/>
      <c r="AP1" s="3093"/>
      <c r="AQ1" s="3093"/>
      <c r="AR1" s="3093"/>
      <c r="AS1" s="3093"/>
      <c r="AT1" s="3093"/>
      <c r="AU1" s="3093"/>
      <c r="AV1" s="3145" t="s">
        <v>426</v>
      </c>
      <c r="AW1" s="3093"/>
      <c r="AX1" s="3093"/>
      <c r="AY1" s="3093"/>
      <c r="AZ1" s="3093"/>
      <c r="BA1" s="3093"/>
      <c r="BB1" s="3093"/>
      <c r="BC1" s="3093"/>
      <c r="BD1" s="3093"/>
      <c r="BE1" s="3093"/>
      <c r="BF1" s="3093"/>
      <c r="BG1" s="3093"/>
      <c r="BH1" s="3093"/>
      <c r="BI1" s="3093"/>
      <c r="BJ1" s="3093"/>
      <c r="BK1" s="3093"/>
      <c r="BL1" s="3093"/>
      <c r="BM1" s="3093"/>
      <c r="BN1" s="3093"/>
      <c r="BO1" s="3093"/>
      <c r="BP1" s="3093"/>
      <c r="BQ1" s="3093"/>
      <c r="BR1" s="3093"/>
      <c r="BS1" s="3093"/>
      <c r="BT1" s="3093"/>
    </row>
    <row r="2" s="3086" customFormat="1" ht="24" spans="1:72">
      <c r="A2" s="710" t="s">
        <v>365</v>
      </c>
      <c r="B2" s="710" t="s">
        <v>361</v>
      </c>
      <c r="C2" s="710" t="s">
        <v>427</v>
      </c>
      <c r="D2" s="3094"/>
      <c r="E2" s="2439"/>
      <c r="F2" s="2491"/>
      <c r="G2" s="3094"/>
      <c r="H2" s="3094"/>
      <c r="I2" s="3094"/>
      <c r="J2" s="3094"/>
      <c r="K2" s="3094"/>
      <c r="L2" s="3094"/>
      <c r="M2" s="3094"/>
      <c r="N2" s="3094"/>
      <c r="O2" s="3094"/>
      <c r="P2" s="3094"/>
      <c r="Q2" s="3094"/>
      <c r="R2" s="3094"/>
      <c r="S2" s="3094"/>
      <c r="T2" s="3094"/>
      <c r="U2" s="3094"/>
      <c r="V2" s="3094"/>
      <c r="W2" s="3094"/>
      <c r="X2" s="3094"/>
      <c r="Y2" s="3094"/>
      <c r="Z2" s="3094"/>
      <c r="AA2" s="3094"/>
      <c r="AB2" s="3094"/>
      <c r="AC2" s="3094"/>
      <c r="AD2" s="3094"/>
      <c r="AE2" s="3094"/>
      <c r="AF2" s="3094"/>
      <c r="AG2" s="3094"/>
      <c r="AH2" s="3094"/>
      <c r="AI2" s="3094"/>
      <c r="AJ2" s="3094"/>
      <c r="AK2" s="3094"/>
      <c r="AL2" s="3094"/>
      <c r="AM2" s="3094"/>
      <c r="AN2" s="3094"/>
      <c r="AO2" s="3094"/>
      <c r="AP2" s="3094"/>
      <c r="AQ2" s="3094"/>
      <c r="AR2" s="3094"/>
      <c r="AS2" s="3094"/>
      <c r="AT2" s="3094"/>
      <c r="AU2" s="3094"/>
      <c r="AV2" s="3094"/>
      <c r="AW2" s="3094"/>
      <c r="AX2" s="3094"/>
      <c r="AY2" s="3155" t="s">
        <v>428</v>
      </c>
      <c r="AZ2" s="3156" t="s">
        <v>429</v>
      </c>
      <c r="BA2" s="710" t="s">
        <v>430</v>
      </c>
      <c r="BB2" s="3094"/>
      <c r="BC2" s="3094"/>
      <c r="BD2" s="3094"/>
      <c r="BE2" s="3094"/>
      <c r="BF2" s="3094"/>
      <c r="BG2" s="3094"/>
      <c r="BH2" s="3094"/>
      <c r="BI2" s="3094"/>
      <c r="BJ2" s="3094"/>
      <c r="BK2" s="3094"/>
      <c r="BL2" s="3094"/>
      <c r="BM2" s="3094"/>
      <c r="BN2" s="3094"/>
      <c r="BO2" s="3094"/>
      <c r="BP2" s="3094"/>
      <c r="BQ2" s="3094"/>
      <c r="BR2" s="3094"/>
      <c r="BS2" s="3094"/>
      <c r="BT2" s="3094"/>
    </row>
    <row r="3" s="3086" customFormat="1" ht="13.2" spans="1:72">
      <c r="A3" s="3095">
        <v>15415.9</v>
      </c>
      <c r="B3" s="3096">
        <f>IF(C3="否",G5-AT5,G5)</f>
        <v>18907.05</v>
      </c>
      <c r="C3" s="3097" t="s">
        <v>431</v>
      </c>
      <c r="D3" s="3094"/>
      <c r="E3" s="3094"/>
      <c r="F3" s="3094"/>
      <c r="G3" s="3094"/>
      <c r="H3" s="3094"/>
      <c r="I3" s="3094"/>
      <c r="J3" s="3094"/>
      <c r="K3" s="3094"/>
      <c r="L3" s="3094"/>
      <c r="M3" s="3094"/>
      <c r="N3" s="3094"/>
      <c r="O3" s="3094"/>
      <c r="P3" s="3094"/>
      <c r="Q3" s="3094"/>
      <c r="R3" s="3094"/>
      <c r="S3" s="3094"/>
      <c r="T3" s="3094"/>
      <c r="U3" s="3094"/>
      <c r="V3" s="3094"/>
      <c r="W3" s="3094"/>
      <c r="X3" s="3094"/>
      <c r="Y3" s="3094"/>
      <c r="Z3" s="3094"/>
      <c r="AA3" s="3094"/>
      <c r="AB3" s="3094"/>
      <c r="AC3" s="3094"/>
      <c r="AD3" s="3094"/>
      <c r="AE3" s="3094"/>
      <c r="AF3" s="3094"/>
      <c r="AG3" s="3094"/>
      <c r="AH3" s="3094"/>
      <c r="AI3" s="3094"/>
      <c r="AJ3" s="3094"/>
      <c r="AK3" s="3094"/>
      <c r="AL3" s="3094"/>
      <c r="AM3" s="3094"/>
      <c r="AN3" s="3094"/>
      <c r="AO3" s="3094"/>
      <c r="AP3" s="3094"/>
      <c r="AQ3" s="3094"/>
      <c r="AR3" s="3094"/>
      <c r="AS3" s="3094"/>
      <c r="AT3" s="3094"/>
      <c r="AU3" s="3094"/>
      <c r="AV3" s="3094"/>
      <c r="AW3" s="3094"/>
      <c r="AX3" s="3094"/>
      <c r="AY3" s="3157"/>
      <c r="AZ3" s="3115"/>
      <c r="BA3" s="3158"/>
      <c r="BB3" s="3094"/>
      <c r="BC3" s="3094"/>
      <c r="BD3" s="3094"/>
      <c r="BE3" s="3094"/>
      <c r="BF3" s="3094"/>
      <c r="BG3" s="3094"/>
      <c r="BH3" s="3094"/>
      <c r="BI3" s="3094"/>
      <c r="BJ3" s="3094"/>
      <c r="BK3" s="3094"/>
      <c r="BL3" s="3094"/>
      <c r="BM3" s="3094"/>
      <c r="BN3" s="3094"/>
      <c r="BO3" s="3094"/>
      <c r="BP3" s="3094"/>
      <c r="BQ3" s="3094"/>
      <c r="BR3" s="3094"/>
      <c r="BS3" s="3094"/>
      <c r="BT3" s="3094"/>
    </row>
    <row r="4" s="3087" customFormat="1" ht="13.95" spans="1:72">
      <c r="A4" s="3098"/>
      <c r="B4" s="3099"/>
      <c r="C4" s="3100"/>
      <c r="D4" s="3094"/>
      <c r="E4" s="3094"/>
      <c r="F4" s="3094"/>
      <c r="G4" s="3094"/>
      <c r="H4" s="3094"/>
      <c r="I4" s="3094"/>
      <c r="J4" s="3094"/>
      <c r="K4" s="3094"/>
      <c r="L4" s="3094"/>
      <c r="M4" s="3094"/>
      <c r="N4" s="3094"/>
      <c r="O4" s="3094"/>
      <c r="P4" s="3094"/>
      <c r="Q4" s="3094"/>
      <c r="R4" s="3094"/>
      <c r="S4" s="3094"/>
      <c r="T4" s="3094"/>
      <c r="U4" s="3094"/>
      <c r="V4" s="3094"/>
      <c r="W4" s="3094"/>
      <c r="X4" s="3094"/>
      <c r="Y4" s="3094"/>
      <c r="Z4" s="3094"/>
      <c r="AA4" s="3094"/>
      <c r="AB4" s="3094"/>
      <c r="AC4" s="3094"/>
      <c r="AD4" s="3094"/>
      <c r="AE4" s="3094"/>
      <c r="AF4" s="3094"/>
      <c r="AG4" s="3094"/>
      <c r="AH4" s="3094"/>
      <c r="AI4" s="3094"/>
      <c r="AJ4" s="3094"/>
      <c r="AK4" s="3094"/>
      <c r="AL4" s="3094"/>
      <c r="AM4" s="3094"/>
      <c r="AN4" s="3094"/>
      <c r="AO4" s="3094"/>
      <c r="AP4" s="3094"/>
      <c r="AQ4" s="3094"/>
      <c r="AR4" s="3094"/>
      <c r="AS4" s="3094"/>
      <c r="AT4" s="3094"/>
      <c r="AU4" s="3094"/>
      <c r="AV4" s="3094"/>
      <c r="AW4" s="3094"/>
      <c r="AX4" s="3094"/>
      <c r="AY4" s="3094"/>
      <c r="AZ4" s="3094"/>
      <c r="BA4" s="3159"/>
      <c r="BB4" s="3094"/>
      <c r="BC4" s="3094"/>
      <c r="BD4" s="3094"/>
      <c r="BE4" s="3094"/>
      <c r="BF4" s="3094"/>
      <c r="BG4" s="3094"/>
      <c r="BH4" s="3094"/>
      <c r="BI4" s="3094"/>
      <c r="BJ4" s="3094"/>
      <c r="BK4" s="3094"/>
      <c r="BL4" s="3094"/>
      <c r="BM4" s="3094"/>
      <c r="BN4" s="3094"/>
      <c r="BO4" s="3094"/>
      <c r="BP4" s="3094"/>
      <c r="BQ4" s="3094"/>
      <c r="BR4" s="3094"/>
      <c r="BS4" s="3094"/>
      <c r="BT4" s="3094"/>
    </row>
    <row r="5" s="3086" customFormat="1" ht="13.2" spans="1:72">
      <c r="A5" s="2117" t="s">
        <v>432</v>
      </c>
      <c r="B5" s="2351"/>
      <c r="C5" s="2351"/>
      <c r="D5" s="2506"/>
      <c r="E5" s="3101" t="s">
        <v>124</v>
      </c>
      <c r="F5" s="3101">
        <f>SUM(F13:F587)</f>
        <v>0</v>
      </c>
      <c r="G5" s="3101">
        <f>SUM(G13:G587)</f>
        <v>18907.05</v>
      </c>
      <c r="H5" s="3101">
        <f t="shared" ref="H5:AT5" si="0">SUM(H13:H656)</f>
        <v>18872.33</v>
      </c>
      <c r="I5" s="3101">
        <f t="shared" si="0"/>
        <v>4363.97</v>
      </c>
      <c r="J5" s="3101">
        <f t="shared" si="0"/>
        <v>0</v>
      </c>
      <c r="K5" s="3101">
        <f t="shared" si="0"/>
        <v>6241.54</v>
      </c>
      <c r="L5" s="3101">
        <f t="shared" si="0"/>
        <v>0</v>
      </c>
      <c r="M5" s="3101">
        <f t="shared" si="0"/>
        <v>8266.82</v>
      </c>
      <c r="N5" s="3101">
        <f t="shared" si="0"/>
        <v>0</v>
      </c>
      <c r="O5" s="3101">
        <f t="shared" si="0"/>
        <v>0</v>
      </c>
      <c r="P5" s="3101">
        <f t="shared" si="0"/>
        <v>0</v>
      </c>
      <c r="Q5" s="3101">
        <f t="shared" si="0"/>
        <v>0</v>
      </c>
      <c r="R5" s="3101">
        <f t="shared" si="0"/>
        <v>0</v>
      </c>
      <c r="S5" s="3101">
        <f t="shared" si="0"/>
        <v>0</v>
      </c>
      <c r="T5" s="3101">
        <f t="shared" si="0"/>
        <v>0</v>
      </c>
      <c r="U5" s="3101">
        <f t="shared" si="0"/>
        <v>0</v>
      </c>
      <c r="V5" s="3101">
        <f t="shared" si="0"/>
        <v>0</v>
      </c>
      <c r="W5" s="3101">
        <f t="shared" si="0"/>
        <v>0</v>
      </c>
      <c r="X5" s="3101">
        <f t="shared" si="0"/>
        <v>0</v>
      </c>
      <c r="Y5" s="3101">
        <f t="shared" si="0"/>
        <v>0</v>
      </c>
      <c r="Z5" s="3101">
        <f t="shared" si="0"/>
        <v>0</v>
      </c>
      <c r="AA5" s="3101">
        <f t="shared" si="0"/>
        <v>0</v>
      </c>
      <c r="AB5" s="3101">
        <f t="shared" si="0"/>
        <v>0</v>
      </c>
      <c r="AC5" s="3101">
        <f t="shared" si="0"/>
        <v>34.72</v>
      </c>
      <c r="AD5" s="3101">
        <f t="shared" si="0"/>
        <v>0</v>
      </c>
      <c r="AE5" s="3101">
        <f t="shared" si="0"/>
        <v>0</v>
      </c>
      <c r="AF5" s="3101">
        <f t="shared" si="0"/>
        <v>0</v>
      </c>
      <c r="AG5" s="3101">
        <f t="shared" si="0"/>
        <v>0</v>
      </c>
      <c r="AH5" s="3101">
        <f t="shared" si="0"/>
        <v>0</v>
      </c>
      <c r="AI5" s="3101">
        <f t="shared" si="0"/>
        <v>0</v>
      </c>
      <c r="AJ5" s="3101">
        <f t="shared" si="0"/>
        <v>0</v>
      </c>
      <c r="AK5" s="3101">
        <f t="shared" si="0"/>
        <v>0</v>
      </c>
      <c r="AL5" s="3101">
        <f t="shared" si="0"/>
        <v>0</v>
      </c>
      <c r="AM5" s="3101">
        <f t="shared" si="0"/>
        <v>0</v>
      </c>
      <c r="AN5" s="3101">
        <f t="shared" si="0"/>
        <v>34.72</v>
      </c>
      <c r="AO5" s="3101">
        <f t="shared" si="0"/>
        <v>0</v>
      </c>
      <c r="AP5" s="3101">
        <f t="shared" si="0"/>
        <v>0</v>
      </c>
      <c r="AQ5" s="3101">
        <f t="shared" si="0"/>
        <v>0</v>
      </c>
      <c r="AR5" s="3101">
        <f t="shared" si="0"/>
        <v>0</v>
      </c>
      <c r="AS5" s="3101">
        <f t="shared" si="0"/>
        <v>0</v>
      </c>
      <c r="AT5" s="3101">
        <f t="shared" si="0"/>
        <v>0</v>
      </c>
      <c r="AU5" s="2350"/>
      <c r="AV5" s="2117" t="s">
        <v>432</v>
      </c>
      <c r="AW5" s="2351"/>
      <c r="AX5" s="2351"/>
      <c r="AY5" s="3160" t="s">
        <v>124</v>
      </c>
      <c r="AZ5" s="3161">
        <f t="shared" ref="AZ5:BT5" si="1">SUM(AZ13:AZ656)</f>
        <v>18907.05</v>
      </c>
      <c r="BA5" s="3161">
        <f t="shared" si="1"/>
        <v>18872.33</v>
      </c>
      <c r="BB5" s="3161">
        <f t="shared" si="1"/>
        <v>4363.97</v>
      </c>
      <c r="BC5" s="3161">
        <f t="shared" si="1"/>
        <v>6241.54</v>
      </c>
      <c r="BD5" s="3161">
        <f t="shared" si="1"/>
        <v>8266.82</v>
      </c>
      <c r="BE5" s="3161">
        <f t="shared" si="1"/>
        <v>0</v>
      </c>
      <c r="BF5" s="3161">
        <f t="shared" si="1"/>
        <v>0</v>
      </c>
      <c r="BG5" s="3161">
        <f t="shared" si="1"/>
        <v>0</v>
      </c>
      <c r="BH5" s="3161">
        <f t="shared" si="1"/>
        <v>0</v>
      </c>
      <c r="BI5" s="3161">
        <f t="shared" si="1"/>
        <v>0</v>
      </c>
      <c r="BJ5" s="3161">
        <f t="shared" si="1"/>
        <v>0</v>
      </c>
      <c r="BK5" s="3161">
        <f t="shared" si="1"/>
        <v>0</v>
      </c>
      <c r="BL5" s="3161">
        <f t="shared" si="1"/>
        <v>34.72</v>
      </c>
      <c r="BM5" s="3161">
        <f t="shared" si="1"/>
        <v>0</v>
      </c>
      <c r="BN5" s="3161">
        <f t="shared" si="1"/>
        <v>0</v>
      </c>
      <c r="BO5" s="3161">
        <f t="shared" si="1"/>
        <v>0</v>
      </c>
      <c r="BP5" s="3161">
        <f t="shared" si="1"/>
        <v>0</v>
      </c>
      <c r="BQ5" s="3161">
        <f t="shared" si="1"/>
        <v>0</v>
      </c>
      <c r="BR5" s="3161">
        <f t="shared" si="1"/>
        <v>34.72</v>
      </c>
      <c r="BS5" s="3161">
        <f t="shared" si="1"/>
        <v>0</v>
      </c>
      <c r="BT5" s="3170">
        <f t="shared" si="1"/>
        <v>0</v>
      </c>
    </row>
    <row r="6" s="3088" customFormat="1" ht="13.2" spans="1:72">
      <c r="A6" s="2117" t="s">
        <v>433</v>
      </c>
      <c r="B6" s="3102"/>
      <c r="C6" s="3102"/>
      <c r="D6" s="3103"/>
      <c r="E6" s="3101">
        <f>H6+AC6+AT6</f>
        <v>15415.9</v>
      </c>
      <c r="F6" s="3101" t="s">
        <v>124</v>
      </c>
      <c r="G6" s="3101" t="s">
        <v>124</v>
      </c>
      <c r="H6" s="3104">
        <f>SUMIF(I$12:AB$12,"总值",I6:AB6)</f>
        <v>15387.59</v>
      </c>
      <c r="I6" s="3101">
        <f t="shared" ref="I6:AB6" si="2">ROUND($A$3*I5/$B$3,2)</f>
        <v>3558.17</v>
      </c>
      <c r="J6" s="3101">
        <f t="shared" si="2"/>
        <v>0</v>
      </c>
      <c r="K6" s="3101">
        <f t="shared" si="2"/>
        <v>5089.05</v>
      </c>
      <c r="L6" s="3101">
        <f t="shared" si="2"/>
        <v>0</v>
      </c>
      <c r="M6" s="3101">
        <f t="shared" si="2"/>
        <v>6740.37</v>
      </c>
      <c r="N6" s="3101">
        <f t="shared" si="2"/>
        <v>0</v>
      </c>
      <c r="O6" s="3101">
        <f t="shared" si="2"/>
        <v>0</v>
      </c>
      <c r="P6" s="3101">
        <f t="shared" si="2"/>
        <v>0</v>
      </c>
      <c r="Q6" s="3101">
        <f t="shared" si="2"/>
        <v>0</v>
      </c>
      <c r="R6" s="3101">
        <f t="shared" si="2"/>
        <v>0</v>
      </c>
      <c r="S6" s="3101">
        <f t="shared" si="2"/>
        <v>0</v>
      </c>
      <c r="T6" s="3101">
        <f t="shared" si="2"/>
        <v>0</v>
      </c>
      <c r="U6" s="3101">
        <f t="shared" si="2"/>
        <v>0</v>
      </c>
      <c r="V6" s="3101">
        <f t="shared" si="2"/>
        <v>0</v>
      </c>
      <c r="W6" s="3101">
        <f t="shared" si="2"/>
        <v>0</v>
      </c>
      <c r="X6" s="3101">
        <f t="shared" si="2"/>
        <v>0</v>
      </c>
      <c r="Y6" s="3101">
        <f t="shared" si="2"/>
        <v>0</v>
      </c>
      <c r="Z6" s="3101">
        <f t="shared" si="2"/>
        <v>0</v>
      </c>
      <c r="AA6" s="3101">
        <f t="shared" si="2"/>
        <v>0</v>
      </c>
      <c r="AB6" s="3101">
        <f t="shared" si="2"/>
        <v>0</v>
      </c>
      <c r="AC6" s="3104">
        <f>SUMIF(AD$12:AS$12,"总值",AD6:AS6)</f>
        <v>28.31</v>
      </c>
      <c r="AD6" s="3101">
        <f t="shared" ref="AD6:AS6" si="3">ROUND($A$3*AD5/$B$3,2)</f>
        <v>0</v>
      </c>
      <c r="AE6" s="3101">
        <f t="shared" si="3"/>
        <v>0</v>
      </c>
      <c r="AF6" s="3101">
        <f t="shared" si="3"/>
        <v>0</v>
      </c>
      <c r="AG6" s="3101">
        <f t="shared" si="3"/>
        <v>0</v>
      </c>
      <c r="AH6" s="3101">
        <f t="shared" si="3"/>
        <v>0</v>
      </c>
      <c r="AI6" s="3101">
        <f t="shared" si="3"/>
        <v>0</v>
      </c>
      <c r="AJ6" s="3101">
        <f t="shared" si="3"/>
        <v>0</v>
      </c>
      <c r="AK6" s="3101">
        <f t="shared" si="3"/>
        <v>0</v>
      </c>
      <c r="AL6" s="3101">
        <f t="shared" si="3"/>
        <v>0</v>
      </c>
      <c r="AM6" s="3101">
        <f t="shared" si="3"/>
        <v>0</v>
      </c>
      <c r="AN6" s="3101">
        <f t="shared" si="3"/>
        <v>28.31</v>
      </c>
      <c r="AO6" s="3101">
        <f t="shared" si="3"/>
        <v>0</v>
      </c>
      <c r="AP6" s="3101">
        <f t="shared" si="3"/>
        <v>0</v>
      </c>
      <c r="AQ6" s="3101">
        <f t="shared" si="3"/>
        <v>0</v>
      </c>
      <c r="AR6" s="3101">
        <f t="shared" si="3"/>
        <v>0</v>
      </c>
      <c r="AS6" s="3101">
        <f t="shared" si="3"/>
        <v>0</v>
      </c>
      <c r="AT6" s="3104">
        <f>IF(C3="是",ROUND($A$3*AT5/$B$3,2),0)</f>
        <v>0</v>
      </c>
      <c r="AU6" s="3146"/>
      <c r="AV6" s="2117" t="s">
        <v>433</v>
      </c>
      <c r="AW6" s="3102"/>
      <c r="AX6" s="3102"/>
      <c r="AY6" s="3162">
        <f>IF(AY3&gt;0,AY3,ROUND($A$3*AZ5/$B$3,2))</f>
        <v>15415.9</v>
      </c>
      <c r="AZ6" s="3101" t="s">
        <v>124</v>
      </c>
      <c r="BA6" s="3101">
        <f>ROUND($AY$6*BA5/$AZ$5,2)</f>
        <v>15387.59</v>
      </c>
      <c r="BB6" s="3101">
        <f>ROUND($AY$6*BB5/$AZ$5,2)</f>
        <v>3558.17</v>
      </c>
      <c r="BC6" s="3101">
        <f t="shared" ref="BC6:BH6" si="4">ROUND($AY$6*BC5/$AZ$5,2)</f>
        <v>5089.05</v>
      </c>
      <c r="BD6" s="3101">
        <f t="shared" si="4"/>
        <v>6740.37</v>
      </c>
      <c r="BE6" s="3101">
        <f t="shared" si="4"/>
        <v>0</v>
      </c>
      <c r="BF6" s="3101">
        <f t="shared" si="4"/>
        <v>0</v>
      </c>
      <c r="BG6" s="3101">
        <f t="shared" si="4"/>
        <v>0</v>
      </c>
      <c r="BH6" s="3101">
        <f t="shared" si="4"/>
        <v>0</v>
      </c>
      <c r="BI6" s="3101">
        <f t="shared" ref="BI6:BT6" si="5">ROUND($AY$6*BI5/$AZ$5,2)</f>
        <v>0</v>
      </c>
      <c r="BJ6" s="3101">
        <f t="shared" si="5"/>
        <v>0</v>
      </c>
      <c r="BK6" s="3101">
        <f t="shared" si="5"/>
        <v>0</v>
      </c>
      <c r="BL6" s="3101">
        <f t="shared" si="5"/>
        <v>28.31</v>
      </c>
      <c r="BM6" s="3101">
        <f t="shared" si="5"/>
        <v>0</v>
      </c>
      <c r="BN6" s="3101">
        <f t="shared" si="5"/>
        <v>0</v>
      </c>
      <c r="BO6" s="3101">
        <f t="shared" si="5"/>
        <v>0</v>
      </c>
      <c r="BP6" s="3101">
        <f t="shared" si="5"/>
        <v>0</v>
      </c>
      <c r="BQ6" s="3101">
        <f t="shared" si="5"/>
        <v>0</v>
      </c>
      <c r="BR6" s="3101">
        <f t="shared" si="5"/>
        <v>28.31</v>
      </c>
      <c r="BS6" s="3101">
        <f t="shared" si="5"/>
        <v>0</v>
      </c>
      <c r="BT6" s="3171">
        <f t="shared" si="5"/>
        <v>0</v>
      </c>
    </row>
    <row r="7" s="3086" customFormat="1" ht="25.2" spans="1:72">
      <c r="A7" s="3105" t="s">
        <v>434</v>
      </c>
      <c r="B7" s="3105" t="s">
        <v>435</v>
      </c>
      <c r="C7" s="3105" t="s">
        <v>408</v>
      </c>
      <c r="D7" s="3105" t="s">
        <v>436</v>
      </c>
      <c r="E7" s="3105" t="s">
        <v>433</v>
      </c>
      <c r="F7" s="3105" t="s">
        <v>437</v>
      </c>
      <c r="G7" s="2465" t="s">
        <v>438</v>
      </c>
      <c r="H7" s="3106"/>
      <c r="I7" s="3106"/>
      <c r="J7" s="3106"/>
      <c r="K7" s="3106"/>
      <c r="L7" s="3106"/>
      <c r="M7" s="3106"/>
      <c r="N7" s="3106"/>
      <c r="O7" s="3106"/>
      <c r="P7" s="3106"/>
      <c r="Q7" s="3106"/>
      <c r="R7" s="3106"/>
      <c r="S7" s="3106"/>
      <c r="T7" s="3106"/>
      <c r="U7" s="3106"/>
      <c r="V7" s="3106"/>
      <c r="W7" s="3106"/>
      <c r="X7" s="3106"/>
      <c r="Y7" s="3106"/>
      <c r="Z7" s="3106"/>
      <c r="AA7" s="3106"/>
      <c r="AB7" s="3106"/>
      <c r="AC7" s="3106"/>
      <c r="AD7" s="3106"/>
      <c r="AE7" s="3106"/>
      <c r="AF7" s="3106"/>
      <c r="AG7" s="3106"/>
      <c r="AH7" s="3106"/>
      <c r="AI7" s="3106"/>
      <c r="AJ7" s="3106"/>
      <c r="AK7" s="3106"/>
      <c r="AL7" s="3106"/>
      <c r="AM7" s="3106"/>
      <c r="AN7" s="3106"/>
      <c r="AO7" s="3106"/>
      <c r="AP7" s="3106"/>
      <c r="AQ7" s="3106"/>
      <c r="AR7" s="3106"/>
      <c r="AS7" s="3106"/>
      <c r="AT7" s="2506"/>
      <c r="AU7" s="3106" t="s">
        <v>439</v>
      </c>
      <c r="AV7" s="3147" t="s">
        <v>434</v>
      </c>
      <c r="AW7" s="2491" t="s">
        <v>435</v>
      </c>
      <c r="AX7" s="3147" t="s">
        <v>408</v>
      </c>
      <c r="AY7" s="2351" t="s">
        <v>440</v>
      </c>
      <c r="AZ7" s="3138"/>
      <c r="BA7" s="3106"/>
      <c r="BB7" s="3106"/>
      <c r="BC7" s="3106"/>
      <c r="BD7" s="3106"/>
      <c r="BE7" s="3106"/>
      <c r="BF7" s="3106"/>
      <c r="BG7" s="3106"/>
      <c r="BH7" s="3106"/>
      <c r="BI7" s="3106"/>
      <c r="BJ7" s="3106"/>
      <c r="BK7" s="3106"/>
      <c r="BL7" s="3106"/>
      <c r="BM7" s="3106"/>
      <c r="BN7" s="3106"/>
      <c r="BO7" s="3106"/>
      <c r="BP7" s="3106"/>
      <c r="BQ7" s="3106"/>
      <c r="BR7" s="3106"/>
      <c r="BS7" s="3106"/>
      <c r="BT7" s="3172"/>
    </row>
    <row r="8" s="2786" customFormat="1" ht="24" spans="1:72">
      <c r="A8" s="3107"/>
      <c r="B8" s="3107"/>
      <c r="C8" s="3107"/>
      <c r="D8" s="3107"/>
      <c r="E8" s="3107"/>
      <c r="F8" s="3107"/>
      <c r="G8" s="3108" t="s">
        <v>441</v>
      </c>
      <c r="H8" s="3109" t="s">
        <v>442</v>
      </c>
      <c r="I8" s="3127"/>
      <c r="J8" s="709"/>
      <c r="K8" s="709"/>
      <c r="L8" s="709"/>
      <c r="M8" s="709"/>
      <c r="N8" s="709"/>
      <c r="O8" s="709"/>
      <c r="P8" s="709"/>
      <c r="Q8" s="709"/>
      <c r="R8" s="709"/>
      <c r="S8" s="709"/>
      <c r="T8" s="709"/>
      <c r="U8" s="709"/>
      <c r="V8" s="3134"/>
      <c r="W8" s="709"/>
      <c r="X8" s="709"/>
      <c r="Y8" s="709"/>
      <c r="Z8" s="709"/>
      <c r="AA8" s="3134"/>
      <c r="AB8" s="3136"/>
      <c r="AC8" s="2267" t="s">
        <v>443</v>
      </c>
      <c r="AD8" s="3137"/>
      <c r="AE8" s="3138"/>
      <c r="AF8" s="709"/>
      <c r="AG8" s="709"/>
      <c r="AH8" s="709"/>
      <c r="AI8" s="709"/>
      <c r="AJ8" s="709"/>
      <c r="AK8" s="709"/>
      <c r="AL8" s="709"/>
      <c r="AM8" s="709"/>
      <c r="AN8" s="709"/>
      <c r="AO8" s="709"/>
      <c r="AP8" s="709"/>
      <c r="AQ8" s="709"/>
      <c r="AR8" s="709"/>
      <c r="AS8" s="709"/>
      <c r="AT8" s="1954" t="s">
        <v>444</v>
      </c>
      <c r="AU8" s="3107" t="s">
        <v>445</v>
      </c>
      <c r="AV8" s="1954"/>
      <c r="AW8" s="2439"/>
      <c r="AX8" s="1954"/>
      <c r="AY8" s="2491" t="s">
        <v>433</v>
      </c>
      <c r="AZ8" s="708" t="s">
        <v>361</v>
      </c>
      <c r="BA8" s="709"/>
      <c r="BB8" s="709"/>
      <c r="BC8" s="709"/>
      <c r="BD8" s="709"/>
      <c r="BE8" s="709"/>
      <c r="BF8" s="709"/>
      <c r="BG8" s="709"/>
      <c r="BH8" s="709"/>
      <c r="BI8" s="709"/>
      <c r="BJ8" s="709"/>
      <c r="BK8" s="709"/>
      <c r="BL8" s="709"/>
      <c r="BM8" s="709"/>
      <c r="BN8" s="709"/>
      <c r="BO8" s="709"/>
      <c r="BP8" s="709"/>
      <c r="BQ8" s="709"/>
      <c r="BR8" s="709"/>
      <c r="BS8" s="709"/>
      <c r="BT8" s="2003"/>
    </row>
    <row r="9" s="2786" customFormat="1" ht="13.2" spans="1:72">
      <c r="A9" s="3107"/>
      <c r="B9" s="3107"/>
      <c r="C9" s="3107"/>
      <c r="D9" s="3107"/>
      <c r="E9" s="3107"/>
      <c r="F9" s="3107"/>
      <c r="G9" s="1954"/>
      <c r="H9" s="3110" t="s">
        <v>446</v>
      </c>
      <c r="I9" s="3128" t="s">
        <v>447</v>
      </c>
      <c r="J9" s="2267"/>
      <c r="K9" s="3128" t="s">
        <v>448</v>
      </c>
      <c r="L9" s="2267"/>
      <c r="M9" s="3128" t="s">
        <v>448</v>
      </c>
      <c r="N9" s="2267"/>
      <c r="O9" s="3128"/>
      <c r="P9" s="2267"/>
      <c r="Q9" s="3128"/>
      <c r="R9" s="2267"/>
      <c r="S9" s="3128"/>
      <c r="T9" s="2267"/>
      <c r="U9" s="3128"/>
      <c r="V9" s="2267"/>
      <c r="W9" s="3128"/>
      <c r="X9" s="3135"/>
      <c r="Y9" s="3128"/>
      <c r="Z9" s="2267"/>
      <c r="AA9" s="3128"/>
      <c r="AB9" s="2267"/>
      <c r="AC9" s="3108" t="s">
        <v>446</v>
      </c>
      <c r="AD9" s="2117" t="s">
        <v>449</v>
      </c>
      <c r="AE9" s="1968"/>
      <c r="AF9" s="2117" t="s">
        <v>450</v>
      </c>
      <c r="AG9" s="1968"/>
      <c r="AH9" s="2117" t="s">
        <v>449</v>
      </c>
      <c r="AI9" s="1968"/>
      <c r="AJ9" s="2117" t="s">
        <v>450</v>
      </c>
      <c r="AK9" s="1968"/>
      <c r="AL9" s="2117" t="s">
        <v>449</v>
      </c>
      <c r="AM9" s="1968"/>
      <c r="AN9" s="2117" t="s">
        <v>450</v>
      </c>
      <c r="AO9" s="1968"/>
      <c r="AP9" s="2117" t="s">
        <v>449</v>
      </c>
      <c r="AQ9" s="1968"/>
      <c r="AR9" s="2117" t="s">
        <v>450</v>
      </c>
      <c r="AS9" s="3148"/>
      <c r="AT9" s="3107"/>
      <c r="AU9" s="3107" t="s">
        <v>451</v>
      </c>
      <c r="AV9" s="1954"/>
      <c r="AW9" s="2439"/>
      <c r="AX9" s="1954"/>
      <c r="AY9" s="3111"/>
      <c r="AZ9" s="3111" t="s">
        <v>441</v>
      </c>
      <c r="BA9" s="3163" t="s">
        <v>452</v>
      </c>
      <c r="BB9" s="3164"/>
      <c r="BC9" s="2015"/>
      <c r="BD9" s="2015"/>
      <c r="BE9" s="2015"/>
      <c r="BF9" s="2015"/>
      <c r="BG9" s="2015"/>
      <c r="BH9" s="2015"/>
      <c r="BI9" s="2015"/>
      <c r="BJ9" s="2015"/>
      <c r="BK9" s="3169"/>
      <c r="BL9" s="2117" t="s">
        <v>453</v>
      </c>
      <c r="BM9" s="709"/>
      <c r="BN9" s="3127"/>
      <c r="BO9" s="709"/>
      <c r="BP9" s="709"/>
      <c r="BQ9" s="709"/>
      <c r="BR9" s="709"/>
      <c r="BS9" s="709"/>
      <c r="BT9" s="2003"/>
    </row>
    <row r="10" s="2786" customFormat="1" ht="13.2" spans="1:72">
      <c r="A10" s="3107"/>
      <c r="B10" s="3107"/>
      <c r="C10" s="3107"/>
      <c r="D10" s="3107"/>
      <c r="E10" s="3107"/>
      <c r="F10" s="3107"/>
      <c r="G10" s="1954"/>
      <c r="H10" s="3111"/>
      <c r="I10" s="3128" t="s">
        <v>454</v>
      </c>
      <c r="J10" s="2267"/>
      <c r="K10" s="3129" t="s">
        <v>454</v>
      </c>
      <c r="L10" s="2267"/>
      <c r="M10" s="3129" t="s">
        <v>455</v>
      </c>
      <c r="N10" s="2267"/>
      <c r="O10" s="3129"/>
      <c r="P10" s="2267"/>
      <c r="Q10" s="3129"/>
      <c r="R10" s="2267"/>
      <c r="S10" s="3129"/>
      <c r="T10" s="2267"/>
      <c r="U10" s="3129"/>
      <c r="V10" s="2267"/>
      <c r="W10" s="3129"/>
      <c r="X10" s="2267"/>
      <c r="Y10" s="3129"/>
      <c r="Z10" s="2267"/>
      <c r="AA10" s="3129"/>
      <c r="AB10" s="2267"/>
      <c r="AC10" s="1954"/>
      <c r="AD10" s="2117" t="s">
        <v>456</v>
      </c>
      <c r="AE10" s="3139"/>
      <c r="AF10" s="2117" t="s">
        <v>456</v>
      </c>
      <c r="AG10" s="3139"/>
      <c r="AH10" s="2117" t="s">
        <v>457</v>
      </c>
      <c r="AI10" s="3139"/>
      <c r="AJ10" s="2117" t="s">
        <v>457</v>
      </c>
      <c r="AK10" s="3139"/>
      <c r="AL10" s="2117" t="s">
        <v>458</v>
      </c>
      <c r="AM10" s="1968"/>
      <c r="AN10" s="2117" t="s">
        <v>458</v>
      </c>
      <c r="AO10" s="1968"/>
      <c r="AP10" s="2117" t="s">
        <v>459</v>
      </c>
      <c r="AQ10" s="1968"/>
      <c r="AR10" s="2117" t="s">
        <v>459</v>
      </c>
      <c r="AS10" s="1968"/>
      <c r="AT10" s="3107"/>
      <c r="AU10" s="3107"/>
      <c r="AV10" s="1954"/>
      <c r="AW10" s="2439"/>
      <c r="AX10" s="1954"/>
      <c r="AY10" s="3111"/>
      <c r="AZ10" s="3111"/>
      <c r="BA10" s="3112" t="s">
        <v>446</v>
      </c>
      <c r="BB10" s="3165" t="str">
        <f>I9</f>
        <v>地上</v>
      </c>
      <c r="BC10" s="2027" t="str">
        <f>K9</f>
        <v>地下</v>
      </c>
      <c r="BD10" s="2027" t="str">
        <f>M9</f>
        <v>地下</v>
      </c>
      <c r="BE10" s="2027">
        <f>O9</f>
        <v>0</v>
      </c>
      <c r="BF10" s="2027">
        <f>Q9</f>
        <v>0</v>
      </c>
      <c r="BG10" s="2027">
        <f>S9</f>
        <v>0</v>
      </c>
      <c r="BH10" s="2027">
        <f>U9</f>
        <v>0</v>
      </c>
      <c r="BI10" s="2027">
        <f>W9</f>
        <v>0</v>
      </c>
      <c r="BJ10" s="2027">
        <f>Y9</f>
        <v>0</v>
      </c>
      <c r="BK10" s="2027">
        <f>AA9</f>
        <v>0</v>
      </c>
      <c r="BL10" s="2023" t="s">
        <v>446</v>
      </c>
      <c r="BM10" s="708" t="str">
        <f>AD9</f>
        <v>地上</v>
      </c>
      <c r="BN10" s="2027" t="str">
        <f>AF9</f>
        <v>地下</v>
      </c>
      <c r="BO10" s="708" t="str">
        <f>AH9</f>
        <v>地上</v>
      </c>
      <c r="BP10" s="2027" t="str">
        <f>AJ9</f>
        <v>地下</v>
      </c>
      <c r="BQ10" s="708" t="str">
        <f>AL9</f>
        <v>地上</v>
      </c>
      <c r="BR10" s="2027" t="str">
        <f>AN9</f>
        <v>地下</v>
      </c>
      <c r="BS10" s="708" t="str">
        <f>AP9</f>
        <v>地上</v>
      </c>
      <c r="BT10" s="3173" t="str">
        <f>AR9</f>
        <v>地下</v>
      </c>
    </row>
    <row r="11" s="2786" customFormat="1" ht="13.2" spans="1:72">
      <c r="A11" s="3107"/>
      <c r="B11" s="3107"/>
      <c r="C11" s="3107"/>
      <c r="D11" s="3107"/>
      <c r="E11" s="3107"/>
      <c r="F11" s="3107"/>
      <c r="G11" s="1954"/>
      <c r="H11" s="3112"/>
      <c r="I11" s="3130"/>
      <c r="J11" s="3131"/>
      <c r="K11" s="3130"/>
      <c r="L11" s="3131"/>
      <c r="M11" s="3130"/>
      <c r="N11" s="3131"/>
      <c r="O11" s="3130"/>
      <c r="P11" s="3131"/>
      <c r="Q11" s="3130"/>
      <c r="R11" s="3131"/>
      <c r="S11" s="3130"/>
      <c r="T11" s="3131"/>
      <c r="U11" s="3130"/>
      <c r="V11" s="3131"/>
      <c r="W11" s="3130"/>
      <c r="X11" s="3131"/>
      <c r="Y11" s="3130"/>
      <c r="Z11" s="3131"/>
      <c r="AA11" s="3130"/>
      <c r="AB11" s="3131"/>
      <c r="AC11" s="1954"/>
      <c r="AD11" s="3140" t="s">
        <v>460</v>
      </c>
      <c r="AE11" s="767"/>
      <c r="AF11" s="3140" t="s">
        <v>460</v>
      </c>
      <c r="AG11" s="767"/>
      <c r="AH11" s="3140" t="s">
        <v>461</v>
      </c>
      <c r="AI11" s="3144"/>
      <c r="AJ11" s="3140" t="s">
        <v>461</v>
      </c>
      <c r="AK11" s="767"/>
      <c r="AL11" s="708"/>
      <c r="AM11" s="767"/>
      <c r="AN11" s="708"/>
      <c r="AO11" s="767"/>
      <c r="AP11" s="708"/>
      <c r="AQ11" s="767"/>
      <c r="AR11" s="708"/>
      <c r="AS11" s="767"/>
      <c r="AT11" s="2439"/>
      <c r="AU11" s="3107"/>
      <c r="AV11" s="1954"/>
      <c r="AW11" s="2439"/>
      <c r="AX11" s="1954"/>
      <c r="AY11" s="3111"/>
      <c r="AZ11" s="3111"/>
      <c r="BA11" s="3111"/>
      <c r="BB11" s="3136" t="str">
        <f>I10</f>
        <v>工业</v>
      </c>
      <c r="BC11" s="3136" t="str">
        <f>K10</f>
        <v>工业</v>
      </c>
      <c r="BD11" s="3136" t="str">
        <f>M10</f>
        <v>车库</v>
      </c>
      <c r="BE11" s="3136">
        <f>O10</f>
        <v>0</v>
      </c>
      <c r="BF11" s="3136">
        <f>Q10</f>
        <v>0</v>
      </c>
      <c r="BG11" s="3136">
        <f>S10</f>
        <v>0</v>
      </c>
      <c r="BH11" s="3136">
        <f>U10</f>
        <v>0</v>
      </c>
      <c r="BI11" s="3136">
        <f>W10</f>
        <v>0</v>
      </c>
      <c r="BJ11" s="3136">
        <f>Y10</f>
        <v>0</v>
      </c>
      <c r="BK11" s="3136">
        <f>AA10</f>
        <v>0</v>
      </c>
      <c r="BL11" s="1954"/>
      <c r="BM11" s="708" t="str">
        <f>AD10</f>
        <v>公共配套设施</v>
      </c>
      <c r="BN11" s="708" t="str">
        <f>AF10</f>
        <v>公共配套设施</v>
      </c>
      <c r="BO11" s="707" t="str">
        <f>AH10</f>
        <v>物业管理用房</v>
      </c>
      <c r="BP11" s="707" t="str">
        <f>AJ10</f>
        <v>物业管理用房</v>
      </c>
      <c r="BQ11" s="707" t="str">
        <f>AL10</f>
        <v>设备及其他</v>
      </c>
      <c r="BR11" s="707" t="str">
        <f>AN10</f>
        <v>设备及其他</v>
      </c>
      <c r="BS11" s="2023" t="str">
        <f>AP10</f>
        <v>未注明</v>
      </c>
      <c r="BT11" s="3174" t="str">
        <f>AR10</f>
        <v>未注明</v>
      </c>
    </row>
    <row r="12" s="3086" customFormat="1" ht="13.2" spans="1:72">
      <c r="A12" s="3113"/>
      <c r="B12" s="3113"/>
      <c r="C12" s="3113"/>
      <c r="D12" s="3113"/>
      <c r="E12" s="3113"/>
      <c r="F12" s="3113"/>
      <c r="G12" s="1078"/>
      <c r="H12" s="3114"/>
      <c r="I12" s="2506" t="s">
        <v>462</v>
      </c>
      <c r="J12" s="710" t="s">
        <v>463</v>
      </c>
      <c r="K12" s="710" t="s">
        <v>462</v>
      </c>
      <c r="L12" s="710" t="s">
        <v>463</v>
      </c>
      <c r="M12" s="710" t="s">
        <v>462</v>
      </c>
      <c r="N12" s="710" t="s">
        <v>463</v>
      </c>
      <c r="O12" s="710" t="s">
        <v>462</v>
      </c>
      <c r="P12" s="710" t="s">
        <v>463</v>
      </c>
      <c r="Q12" s="710" t="s">
        <v>462</v>
      </c>
      <c r="R12" s="710" t="s">
        <v>463</v>
      </c>
      <c r="S12" s="710" t="s">
        <v>462</v>
      </c>
      <c r="T12" s="710" t="s">
        <v>463</v>
      </c>
      <c r="U12" s="710" t="s">
        <v>462</v>
      </c>
      <c r="V12" s="2350" t="s">
        <v>463</v>
      </c>
      <c r="W12" s="710" t="s">
        <v>462</v>
      </c>
      <c r="X12" s="710" t="s">
        <v>463</v>
      </c>
      <c r="Y12" s="710" t="s">
        <v>462</v>
      </c>
      <c r="Z12" s="710" t="s">
        <v>463</v>
      </c>
      <c r="AA12" s="710" t="s">
        <v>462</v>
      </c>
      <c r="AB12" s="710" t="s">
        <v>463</v>
      </c>
      <c r="AC12" s="3141"/>
      <c r="AD12" s="2506" t="s">
        <v>462</v>
      </c>
      <c r="AE12" s="710" t="s">
        <v>463</v>
      </c>
      <c r="AF12" s="710" t="s">
        <v>462</v>
      </c>
      <c r="AG12" s="710" t="s">
        <v>463</v>
      </c>
      <c r="AH12" s="710" t="s">
        <v>462</v>
      </c>
      <c r="AI12" s="710" t="s">
        <v>463</v>
      </c>
      <c r="AJ12" s="710" t="s">
        <v>462</v>
      </c>
      <c r="AK12" s="710" t="s">
        <v>463</v>
      </c>
      <c r="AL12" s="710" t="s">
        <v>462</v>
      </c>
      <c r="AM12" s="710" t="s">
        <v>463</v>
      </c>
      <c r="AN12" s="710" t="s">
        <v>462</v>
      </c>
      <c r="AO12" s="710" t="s">
        <v>463</v>
      </c>
      <c r="AP12" s="710" t="s">
        <v>462</v>
      </c>
      <c r="AQ12" s="710" t="s">
        <v>463</v>
      </c>
      <c r="AR12" s="1078" t="s">
        <v>462</v>
      </c>
      <c r="AS12" s="3113" t="s">
        <v>463</v>
      </c>
      <c r="AT12" s="3149"/>
      <c r="AU12" s="3113"/>
      <c r="AV12" s="3150"/>
      <c r="AW12" s="2491"/>
      <c r="AX12" s="3150"/>
      <c r="AY12" s="3166"/>
      <c r="AZ12" s="3111"/>
      <c r="BA12" s="3112"/>
      <c r="BB12" s="707">
        <f>I11</f>
        <v>0</v>
      </c>
      <c r="BC12" s="3167">
        <f>K11</f>
        <v>0</v>
      </c>
      <c r="BD12" s="3167">
        <f>M11</f>
        <v>0</v>
      </c>
      <c r="BE12" s="3136">
        <f>O11</f>
        <v>0</v>
      </c>
      <c r="BF12" s="3136">
        <f>Q11</f>
        <v>0</v>
      </c>
      <c r="BG12" s="3136">
        <f>S11</f>
        <v>0</v>
      </c>
      <c r="BH12" s="3136">
        <f>U11</f>
        <v>0</v>
      </c>
      <c r="BI12" s="3136">
        <f>W11</f>
        <v>0</v>
      </c>
      <c r="BJ12" s="3136">
        <f>Y11</f>
        <v>0</v>
      </c>
      <c r="BK12" s="3136">
        <f>AA11</f>
        <v>0</v>
      </c>
      <c r="BL12" s="1954"/>
      <c r="BM12" s="708" t="str">
        <f>AD11</f>
        <v>（住宅）</v>
      </c>
      <c r="BN12" s="708" t="str">
        <f>AF11</f>
        <v>（住宅）</v>
      </c>
      <c r="BO12" s="707" t="str">
        <f>AH11</f>
        <v>（住宅、计出让金）</v>
      </c>
      <c r="BP12" s="707" t="str">
        <f>AJ11</f>
        <v>（住宅、计出让金）</v>
      </c>
      <c r="BQ12" s="707">
        <f>AL11</f>
        <v>0</v>
      </c>
      <c r="BR12" s="707">
        <f>AN11</f>
        <v>0</v>
      </c>
      <c r="BS12" s="2023">
        <f>AP11</f>
        <v>0</v>
      </c>
      <c r="BT12" s="3174">
        <f>AR11</f>
        <v>0</v>
      </c>
    </row>
    <row r="13" s="3086" customFormat="1" ht="13.2" spans="1:72">
      <c r="A13" s="3115"/>
      <c r="B13" s="3115"/>
      <c r="C13" s="3115"/>
      <c r="D13" s="3116" t="s">
        <v>464</v>
      </c>
      <c r="E13" s="3101">
        <f>IF($C$3="是",ROUND($A$3*G13/$B$3,2),ROUND($A$3*(G13-AT13)/$B$3,2))</f>
        <v>15415.9</v>
      </c>
      <c r="F13" s="3117"/>
      <c r="G13" s="3118">
        <f>H13+AC13+AT13</f>
        <v>18907.05</v>
      </c>
      <c r="H13" s="3104">
        <f>SUMIF(I$12:AB$12,"总值",I13:AB13)</f>
        <v>18872.33</v>
      </c>
      <c r="I13" s="3132">
        <f>面积明细!D9</f>
        <v>4363.97</v>
      </c>
      <c r="J13" s="3132"/>
      <c r="K13" s="3132">
        <f>面积明细!E9</f>
        <v>6241.54</v>
      </c>
      <c r="L13" s="3132"/>
      <c r="M13" s="3132">
        <f>面积明细!F9</f>
        <v>8266.82</v>
      </c>
      <c r="N13" s="3132"/>
      <c r="O13" s="3132"/>
      <c r="P13" s="3132"/>
      <c r="Q13" s="3132"/>
      <c r="R13" s="3132"/>
      <c r="S13" s="3132"/>
      <c r="T13" s="3132"/>
      <c r="U13" s="3132"/>
      <c r="V13" s="3132"/>
      <c r="W13" s="3132"/>
      <c r="X13" s="3132"/>
      <c r="Y13" s="3132"/>
      <c r="Z13" s="3132"/>
      <c r="AA13" s="3132"/>
      <c r="AB13" s="3132"/>
      <c r="AC13" s="3101">
        <f>SUMIF(AD$12:AS$12,"总值",AD13:AS13)</f>
        <v>34.72</v>
      </c>
      <c r="AD13" s="3142"/>
      <c r="AE13" s="3142"/>
      <c r="AF13" s="3142"/>
      <c r="AG13" s="3142"/>
      <c r="AH13" s="3142"/>
      <c r="AI13" s="3142"/>
      <c r="AJ13" s="3142"/>
      <c r="AK13" s="3142"/>
      <c r="AL13" s="3142"/>
      <c r="AM13" s="3142"/>
      <c r="AN13" s="3142">
        <v>34.72</v>
      </c>
      <c r="AO13" s="3142"/>
      <c r="AP13" s="3142"/>
      <c r="AQ13" s="3142"/>
      <c r="AR13" s="3142"/>
      <c r="AS13" s="3142"/>
      <c r="AT13" s="3151"/>
      <c r="AU13" s="3152"/>
      <c r="AV13" s="710">
        <f t="shared" ref="AV13:AX17" si="6">A13</f>
        <v>0</v>
      </c>
      <c r="AW13" s="710">
        <f t="shared" si="6"/>
        <v>0</v>
      </c>
      <c r="AX13" s="710">
        <f t="shared" si="6"/>
        <v>0</v>
      </c>
      <c r="AY13" s="2506">
        <f>ROUND($AY$6*AZ13/$AZ$5,2)</f>
        <v>15415.9</v>
      </c>
      <c r="AZ13" s="3101">
        <f>BA13+BL13</f>
        <v>18907.05</v>
      </c>
      <c r="BA13" s="3101">
        <f>SUM(BB13:BK13)</f>
        <v>18872.33</v>
      </c>
      <c r="BB13" s="3101">
        <f>IF($D13="是",I13-J13,0)</f>
        <v>4363.97</v>
      </c>
      <c r="BC13" s="3101">
        <f>IF($D13="是",K13-L13,0)</f>
        <v>6241.54</v>
      </c>
      <c r="BD13" s="3101">
        <f>IF($D13="是",M13-N13,0)</f>
        <v>8266.82</v>
      </c>
      <c r="BE13" s="3101">
        <f>IF($D13="是",O13-P13,0)</f>
        <v>0</v>
      </c>
      <c r="BF13" s="3101">
        <f>IF($D13="是",Q13-R13,0)</f>
        <v>0</v>
      </c>
      <c r="BG13" s="3101">
        <f>IF($D13="是",S13-T13,0)</f>
        <v>0</v>
      </c>
      <c r="BH13" s="3101">
        <f>IF($D13="是",U13-V13,0)</f>
        <v>0</v>
      </c>
      <c r="BI13" s="3101">
        <f>IF($D13="是",W13-X13,0)</f>
        <v>0</v>
      </c>
      <c r="BJ13" s="3101">
        <f>IF($D13="是",Y13-Z13,0)</f>
        <v>0</v>
      </c>
      <c r="BK13" s="3101">
        <f>IF($D13="是",AA13-AB13,0)</f>
        <v>0</v>
      </c>
      <c r="BL13" s="3101">
        <f>SUM(BM13:BT13)</f>
        <v>34.72</v>
      </c>
      <c r="BM13" s="3101">
        <f>IF($D13="是",AD13-AE13,0)</f>
        <v>0</v>
      </c>
      <c r="BN13" s="3101">
        <f>IF($D13="是",AF13-AG13,0)</f>
        <v>0</v>
      </c>
      <c r="BO13" s="3101">
        <f>IF($D13="是",AH13-AI13,0)</f>
        <v>0</v>
      </c>
      <c r="BP13" s="3101">
        <f>IF($D13="是",AJ13-AK13,0)</f>
        <v>0</v>
      </c>
      <c r="BQ13" s="3101">
        <f>IF($D13="是",AL13-AM13,0)</f>
        <v>0</v>
      </c>
      <c r="BR13" s="3101">
        <f>IF($D13="是",AN13-AO13,0)</f>
        <v>34.72</v>
      </c>
      <c r="BS13" s="3101">
        <f>IF($D13="是",AP13-AQ13,0)</f>
        <v>0</v>
      </c>
      <c r="BT13" s="3171">
        <f>IF($D13="是",AR13-AS13,0)</f>
        <v>0</v>
      </c>
    </row>
    <row r="14" s="3086" customFormat="1" ht="13.2" spans="1:72">
      <c r="A14" s="3115">
        <v>614.76</v>
      </c>
      <c r="B14" s="3115"/>
      <c r="C14" s="3119"/>
      <c r="D14" s="3116"/>
      <c r="E14" s="3101">
        <f>IF($C$3="是",ROUND($A$3*G14/$B$3,2),ROUND($A$3*(G14-AT14)/$B$3,2))</f>
        <v>0</v>
      </c>
      <c r="F14" s="3117"/>
      <c r="G14" s="3118">
        <f>H14+AC14+AT14</f>
        <v>0</v>
      </c>
      <c r="H14" s="3104">
        <f>SUMIF(I$12:AB$12,"总值",I14:AB14)</f>
        <v>0</v>
      </c>
      <c r="I14" s="3132"/>
      <c r="J14" s="3132"/>
      <c r="K14" s="3132"/>
      <c r="L14" s="3132"/>
      <c r="M14" s="3132"/>
      <c r="N14" s="3132"/>
      <c r="O14" s="3132"/>
      <c r="P14" s="3132"/>
      <c r="Q14" s="3132"/>
      <c r="R14" s="3132"/>
      <c r="S14" s="3132"/>
      <c r="T14" s="3132"/>
      <c r="U14" s="3132"/>
      <c r="V14" s="3132"/>
      <c r="W14" s="3132"/>
      <c r="X14" s="3132"/>
      <c r="Y14" s="3132"/>
      <c r="Z14" s="3132"/>
      <c r="AA14" s="3132"/>
      <c r="AB14" s="3132"/>
      <c r="AC14" s="3101">
        <f>SUMIF(AD$12:AS$12,"总值",AD14:AS14)</f>
        <v>0</v>
      </c>
      <c r="AD14" s="3142"/>
      <c r="AE14" s="3142"/>
      <c r="AF14" s="3142"/>
      <c r="AG14" s="3142"/>
      <c r="AH14" s="3142"/>
      <c r="AI14" s="3142"/>
      <c r="AJ14" s="3142"/>
      <c r="AK14" s="3142"/>
      <c r="AL14" s="3142"/>
      <c r="AM14" s="3142"/>
      <c r="AN14" s="3142"/>
      <c r="AO14" s="3142"/>
      <c r="AP14" s="3142"/>
      <c r="AQ14" s="3142"/>
      <c r="AR14" s="3142"/>
      <c r="AS14" s="3142"/>
      <c r="AT14" s="3151"/>
      <c r="AU14" s="3152"/>
      <c r="AV14" s="710">
        <f t="shared" si="6"/>
        <v>614.76</v>
      </c>
      <c r="AW14" s="710">
        <f t="shared" si="6"/>
        <v>0</v>
      </c>
      <c r="AX14" s="710">
        <f t="shared" si="6"/>
        <v>0</v>
      </c>
      <c r="AY14" s="2506">
        <f>ROUND($AY$6*AZ14/$AZ$5,2)</f>
        <v>0</v>
      </c>
      <c r="AZ14" s="3101">
        <f>BA14+BL14</f>
        <v>0</v>
      </c>
      <c r="BA14" s="3101">
        <f>SUM(BB14:BK14)</f>
        <v>0</v>
      </c>
      <c r="BB14" s="3101">
        <f>IF($D14="是",I14-J14,0)</f>
        <v>0</v>
      </c>
      <c r="BC14" s="3101">
        <f>IF($D14="是",K14-L14,0)</f>
        <v>0</v>
      </c>
      <c r="BD14" s="3101">
        <f>IF($D14="是",M14-N14,0)</f>
        <v>0</v>
      </c>
      <c r="BE14" s="3101">
        <f>IF($D14="是",O14-P14,0)</f>
        <v>0</v>
      </c>
      <c r="BF14" s="3101">
        <f>IF($D14="是",Q14-R14,0)</f>
        <v>0</v>
      </c>
      <c r="BG14" s="3101">
        <f>IF($D14="是",S14-T14,0)</f>
        <v>0</v>
      </c>
      <c r="BH14" s="3101">
        <f>IF($D14="是",U14-V14,0)</f>
        <v>0</v>
      </c>
      <c r="BI14" s="3101">
        <f>IF($D14="是",W14-X14,0)</f>
        <v>0</v>
      </c>
      <c r="BJ14" s="3101">
        <f>IF($D14="是",Y14-Z14,0)</f>
        <v>0</v>
      </c>
      <c r="BK14" s="3101">
        <f>IF($D14="是",AA14-AB14,0)</f>
        <v>0</v>
      </c>
      <c r="BL14" s="3101">
        <f>SUM(BM14:BT14)</f>
        <v>0</v>
      </c>
      <c r="BM14" s="3101">
        <f>IF($D14="是",AD14-AE14,0)</f>
        <v>0</v>
      </c>
      <c r="BN14" s="3101">
        <f>IF($D14="是",AF14-AG14,0)</f>
        <v>0</v>
      </c>
      <c r="BO14" s="3101">
        <f>IF($D14="是",AH14-AI14,0)</f>
        <v>0</v>
      </c>
      <c r="BP14" s="3101">
        <f>IF($D14="是",AJ14-AK14,0)</f>
        <v>0</v>
      </c>
      <c r="BQ14" s="3101">
        <f>IF($D14="是",AL14-AM14,0)</f>
        <v>0</v>
      </c>
      <c r="BR14" s="3101">
        <f>IF($D14="是",AN14-AO14,0)</f>
        <v>0</v>
      </c>
      <c r="BS14" s="3101">
        <f>IF($D14="是",AP14-AQ14,0)</f>
        <v>0</v>
      </c>
      <c r="BT14" s="3171">
        <f>IF($D14="是",AR14-AS14,0)</f>
        <v>0</v>
      </c>
    </row>
    <row r="15" s="3086" customFormat="1" ht="13.2" spans="1:72">
      <c r="A15" s="3115">
        <f>A3-A14</f>
        <v>14801.14</v>
      </c>
      <c r="B15" s="3115"/>
      <c r="C15" s="3119"/>
      <c r="D15" s="3116"/>
      <c r="E15" s="3101">
        <f>IF($C$3="是",ROUND($A$3*G15/$B$3,2),ROUND($A$3*(G15-AT15)/$B$3,2))</f>
        <v>0</v>
      </c>
      <c r="F15" s="3117"/>
      <c r="G15" s="3118">
        <f>H15+AC15+AT15</f>
        <v>0</v>
      </c>
      <c r="H15" s="3104">
        <f>SUMIF(I$12:AB$12,"总值",I15:AB15)</f>
        <v>0</v>
      </c>
      <c r="I15" s="3132"/>
      <c r="J15" s="3132"/>
      <c r="K15" s="3132"/>
      <c r="L15" s="3132"/>
      <c r="M15" s="3132"/>
      <c r="N15" s="3132"/>
      <c r="O15" s="3132"/>
      <c r="P15" s="3132"/>
      <c r="Q15" s="3132"/>
      <c r="R15" s="3132"/>
      <c r="S15" s="3132"/>
      <c r="T15" s="3132"/>
      <c r="U15" s="3132"/>
      <c r="V15" s="3132"/>
      <c r="W15" s="3132"/>
      <c r="X15" s="3132"/>
      <c r="Y15" s="3132"/>
      <c r="Z15" s="3132"/>
      <c r="AA15" s="3132"/>
      <c r="AB15" s="3132"/>
      <c r="AC15" s="3101">
        <f>SUMIF(AD$12:AS$12,"总值",AD15:AS15)</f>
        <v>0</v>
      </c>
      <c r="AD15" s="3142"/>
      <c r="AE15" s="3142"/>
      <c r="AF15" s="3142"/>
      <c r="AG15" s="3142"/>
      <c r="AH15" s="3142"/>
      <c r="AI15" s="3142"/>
      <c r="AJ15" s="3142"/>
      <c r="AK15" s="3142"/>
      <c r="AL15" s="3142"/>
      <c r="AM15" s="3142"/>
      <c r="AN15" s="3142"/>
      <c r="AO15" s="3142"/>
      <c r="AP15" s="3142"/>
      <c r="AQ15" s="3142"/>
      <c r="AR15" s="3142"/>
      <c r="AS15" s="3142"/>
      <c r="AT15" s="3151"/>
      <c r="AU15" s="3152"/>
      <c r="AV15" s="710">
        <f t="shared" si="6"/>
        <v>14801.14</v>
      </c>
      <c r="AW15" s="710">
        <f t="shared" si="6"/>
        <v>0</v>
      </c>
      <c r="AX15" s="710">
        <f t="shared" si="6"/>
        <v>0</v>
      </c>
      <c r="AY15" s="2506">
        <f>ROUND($AY$6*AZ15/$AZ$5,2)</f>
        <v>0</v>
      </c>
      <c r="AZ15" s="3101">
        <f>BA15+BL15</f>
        <v>0</v>
      </c>
      <c r="BA15" s="3101">
        <f>SUM(BB15:BK15)</f>
        <v>0</v>
      </c>
      <c r="BB15" s="3101">
        <f>IF($D15="是",I15-J15,0)</f>
        <v>0</v>
      </c>
      <c r="BC15" s="3101">
        <f>IF($D15="是",K15-L15,0)</f>
        <v>0</v>
      </c>
      <c r="BD15" s="3101">
        <f>IF($D15="是",M15-N15,0)</f>
        <v>0</v>
      </c>
      <c r="BE15" s="3101">
        <f>IF($D15="是",O15-P15,0)</f>
        <v>0</v>
      </c>
      <c r="BF15" s="3101">
        <f>IF($D15="是",Q15-R15,0)</f>
        <v>0</v>
      </c>
      <c r="BG15" s="3101">
        <f>IF($D15="是",S15-T15,0)</f>
        <v>0</v>
      </c>
      <c r="BH15" s="3101">
        <f>IF($D15="是",U15-V15,0)</f>
        <v>0</v>
      </c>
      <c r="BI15" s="3101">
        <f>IF($D15="是",W15-X15,0)</f>
        <v>0</v>
      </c>
      <c r="BJ15" s="3101">
        <f>IF($D15="是",Y15-Z15,0)</f>
        <v>0</v>
      </c>
      <c r="BK15" s="3101">
        <f>IF($D15="是",AA15-AB15,0)</f>
        <v>0</v>
      </c>
      <c r="BL15" s="3101">
        <f>SUM(BM15:BT15)</f>
        <v>0</v>
      </c>
      <c r="BM15" s="3101">
        <f>IF($D15="是",AD15-AE15,0)</f>
        <v>0</v>
      </c>
      <c r="BN15" s="3101">
        <f>IF($D15="是",AF15-AG15,0)</f>
        <v>0</v>
      </c>
      <c r="BO15" s="3101">
        <f>IF($D15="是",AH15-AI15,0)</f>
        <v>0</v>
      </c>
      <c r="BP15" s="3101">
        <f>IF($D15="是",AJ15-AK15,0)</f>
        <v>0</v>
      </c>
      <c r="BQ15" s="3101">
        <f>IF($D15="是",AL15-AM15,0)</f>
        <v>0</v>
      </c>
      <c r="BR15" s="3101">
        <f>IF($D15="是",AN15-AO15,0)</f>
        <v>0</v>
      </c>
      <c r="BS15" s="3101">
        <f>IF($D15="是",AP15-AQ15,0)</f>
        <v>0</v>
      </c>
      <c r="BT15" s="3171">
        <f>IF($D15="是",AR15-AS15,0)</f>
        <v>0</v>
      </c>
    </row>
    <row r="16" s="3086" customFormat="1" ht="13.2" spans="1:72">
      <c r="A16" s="3115"/>
      <c r="B16" s="3115"/>
      <c r="C16" s="3119"/>
      <c r="D16" s="3116"/>
      <c r="E16" s="3101">
        <f>IF($C$3="是",ROUND($A$3*G16/$B$3,2),ROUND($A$3*(G16-AT16)/$B$3,2))</f>
        <v>0</v>
      </c>
      <c r="F16" s="3117"/>
      <c r="G16" s="3118">
        <f>H16+AC16+AT16</f>
        <v>0</v>
      </c>
      <c r="H16" s="3104">
        <f>SUMIF(I$12:AB$12,"总值",I16:AB16)</f>
        <v>0</v>
      </c>
      <c r="I16" s="3132"/>
      <c r="J16" s="3132"/>
      <c r="K16" s="3132"/>
      <c r="L16" s="3132"/>
      <c r="M16" s="3132"/>
      <c r="N16" s="3132"/>
      <c r="O16" s="3132"/>
      <c r="P16" s="3132"/>
      <c r="Q16" s="3132"/>
      <c r="R16" s="3132"/>
      <c r="S16" s="3132"/>
      <c r="T16" s="3132"/>
      <c r="U16" s="3132"/>
      <c r="V16" s="3132"/>
      <c r="W16" s="3132"/>
      <c r="X16" s="3132"/>
      <c r="Y16" s="3132"/>
      <c r="Z16" s="3132"/>
      <c r="AA16" s="3132"/>
      <c r="AB16" s="3132"/>
      <c r="AC16" s="3101">
        <f>SUMIF(AD$12:AS$12,"总值",AD16:AS16)</f>
        <v>0</v>
      </c>
      <c r="AD16" s="3142"/>
      <c r="AE16" s="3142"/>
      <c r="AF16" s="3142"/>
      <c r="AG16" s="3142"/>
      <c r="AH16" s="3142"/>
      <c r="AI16" s="3142"/>
      <c r="AJ16" s="3142"/>
      <c r="AK16" s="3142"/>
      <c r="AL16" s="3142"/>
      <c r="AM16" s="3142"/>
      <c r="AN16" s="3142"/>
      <c r="AO16" s="3142"/>
      <c r="AP16" s="3142"/>
      <c r="AQ16" s="3142"/>
      <c r="AR16" s="3142"/>
      <c r="AS16" s="3142"/>
      <c r="AT16" s="3151"/>
      <c r="AU16" s="3152"/>
      <c r="AV16" s="710">
        <f t="shared" si="6"/>
        <v>0</v>
      </c>
      <c r="AW16" s="710">
        <f t="shared" si="6"/>
        <v>0</v>
      </c>
      <c r="AX16" s="710">
        <f t="shared" si="6"/>
        <v>0</v>
      </c>
      <c r="AY16" s="2506">
        <f>ROUND($AY$6*AZ16/$AZ$5,2)</f>
        <v>0</v>
      </c>
      <c r="AZ16" s="3101">
        <f>BA16+BL16</f>
        <v>0</v>
      </c>
      <c r="BA16" s="3101">
        <f>SUM(BB16:BK16)</f>
        <v>0</v>
      </c>
      <c r="BB16" s="3101">
        <f>IF($D16="是",I16-J16,0)</f>
        <v>0</v>
      </c>
      <c r="BC16" s="3101">
        <f>IF($D16="是",K16-L16,0)</f>
        <v>0</v>
      </c>
      <c r="BD16" s="3101">
        <f>IF($D16="是",M16-N16,0)</f>
        <v>0</v>
      </c>
      <c r="BE16" s="3101">
        <f>IF($D16="是",O16-P16,0)</f>
        <v>0</v>
      </c>
      <c r="BF16" s="3101">
        <f>IF($D16="是",Q16-R16,0)</f>
        <v>0</v>
      </c>
      <c r="BG16" s="3101">
        <f>IF($D16="是",S16-T16,0)</f>
        <v>0</v>
      </c>
      <c r="BH16" s="3101">
        <f>IF($D16="是",U16-V16,0)</f>
        <v>0</v>
      </c>
      <c r="BI16" s="3101">
        <f>IF($D16="是",W16-X16,0)</f>
        <v>0</v>
      </c>
      <c r="BJ16" s="3101">
        <f>IF($D16="是",Y16-Z16,0)</f>
        <v>0</v>
      </c>
      <c r="BK16" s="3101">
        <f>IF($D16="是",AA16-AB16,0)</f>
        <v>0</v>
      </c>
      <c r="BL16" s="3101">
        <f>SUM(BM16:BT16)</f>
        <v>0</v>
      </c>
      <c r="BM16" s="3101">
        <f>IF($D16="是",AD16-AE16,0)</f>
        <v>0</v>
      </c>
      <c r="BN16" s="3101">
        <f>IF($D16="是",AF16-AG16,0)</f>
        <v>0</v>
      </c>
      <c r="BO16" s="3101">
        <f>IF($D16="是",AH16-AI16,0)</f>
        <v>0</v>
      </c>
      <c r="BP16" s="3101">
        <f>IF($D16="是",AJ16-AK16,0)</f>
        <v>0</v>
      </c>
      <c r="BQ16" s="3101">
        <f>IF($D16="是",AL16-AM16,0)</f>
        <v>0</v>
      </c>
      <c r="BR16" s="3101">
        <f>IF($D16="是",AN16-AO16,0)</f>
        <v>0</v>
      </c>
      <c r="BS16" s="3101">
        <f>IF($D16="是",AP16-AQ16,0)</f>
        <v>0</v>
      </c>
      <c r="BT16" s="3171">
        <f>IF($D16="是",AR16-AS16,0)</f>
        <v>0</v>
      </c>
    </row>
    <row r="17" s="3086" customFormat="1" ht="13.2" spans="1:72">
      <c r="A17" s="3115"/>
      <c r="B17" s="3115"/>
      <c r="C17" s="3119"/>
      <c r="D17" s="3116"/>
      <c r="E17" s="3101">
        <f>IF($C$3="是",ROUND($A$3*G17/$B$3,2),ROUND($A$3*(G17-AT17)/$B$3,2))</f>
        <v>0</v>
      </c>
      <c r="F17" s="3117"/>
      <c r="G17" s="3118">
        <f>H17+AC17+AT17</f>
        <v>0</v>
      </c>
      <c r="H17" s="3104">
        <f>SUMIF(I$12:AB$12,"总值",I17:AB17)</f>
        <v>0</v>
      </c>
      <c r="I17" s="3132"/>
      <c r="J17" s="3132"/>
      <c r="K17" s="3132"/>
      <c r="L17" s="3132"/>
      <c r="M17" s="3132"/>
      <c r="N17" s="3132"/>
      <c r="O17" s="3132"/>
      <c r="P17" s="3132"/>
      <c r="Q17" s="3132"/>
      <c r="R17" s="3132"/>
      <c r="S17" s="3132"/>
      <c r="T17" s="3132"/>
      <c r="U17" s="3132"/>
      <c r="V17" s="3132"/>
      <c r="W17" s="3132"/>
      <c r="X17" s="3132"/>
      <c r="Y17" s="3132"/>
      <c r="Z17" s="3132"/>
      <c r="AA17" s="3132"/>
      <c r="AB17" s="3132"/>
      <c r="AC17" s="3101">
        <f>SUMIF(AD$12:AS$12,"总值",AD17:AS17)</f>
        <v>0</v>
      </c>
      <c r="AD17" s="3142"/>
      <c r="AE17" s="3142"/>
      <c r="AF17" s="3142"/>
      <c r="AG17" s="3142"/>
      <c r="AH17" s="3142"/>
      <c r="AI17" s="3142"/>
      <c r="AJ17" s="3142"/>
      <c r="AK17" s="3142"/>
      <c r="AL17" s="3142"/>
      <c r="AM17" s="3142"/>
      <c r="AN17" s="3142"/>
      <c r="AO17" s="3142"/>
      <c r="AP17" s="3142"/>
      <c r="AQ17" s="3142"/>
      <c r="AR17" s="3142"/>
      <c r="AS17" s="3142"/>
      <c r="AT17" s="3151"/>
      <c r="AU17" s="3152"/>
      <c r="AV17" s="710">
        <f t="shared" si="6"/>
        <v>0</v>
      </c>
      <c r="AW17" s="710">
        <f t="shared" si="6"/>
        <v>0</v>
      </c>
      <c r="AX17" s="710">
        <f t="shared" si="6"/>
        <v>0</v>
      </c>
      <c r="AY17" s="2506">
        <f>ROUND($AY$6*AZ17/$AZ$5,2)</f>
        <v>0</v>
      </c>
      <c r="AZ17" s="3101">
        <f>BA17+BL17</f>
        <v>0</v>
      </c>
      <c r="BA17" s="3101">
        <f>SUM(BB17:BK17)</f>
        <v>0</v>
      </c>
      <c r="BB17" s="3101">
        <f>IF($D17="是",I17-J17,0)</f>
        <v>0</v>
      </c>
      <c r="BC17" s="3101">
        <f>IF($D17="是",K17-L17,0)</f>
        <v>0</v>
      </c>
      <c r="BD17" s="3101">
        <f>IF($D17="是",M17-N17,0)</f>
        <v>0</v>
      </c>
      <c r="BE17" s="3101">
        <f>IF($D17="是",O17-P17,0)</f>
        <v>0</v>
      </c>
      <c r="BF17" s="3101">
        <f>IF($D17="是",Q17-R17,0)</f>
        <v>0</v>
      </c>
      <c r="BG17" s="3101">
        <f>IF($D17="是",S17-T17,0)</f>
        <v>0</v>
      </c>
      <c r="BH17" s="3101">
        <f>IF($D17="是",U17-V17,0)</f>
        <v>0</v>
      </c>
      <c r="BI17" s="3101">
        <f>IF($D17="是",W17-X17,0)</f>
        <v>0</v>
      </c>
      <c r="BJ17" s="3101">
        <f>IF($D17="是",Y17-Z17,0)</f>
        <v>0</v>
      </c>
      <c r="BK17" s="3101">
        <f>IF($D17="是",AA17-AB17,0)</f>
        <v>0</v>
      </c>
      <c r="BL17" s="3101">
        <f>SUM(BM17:BT17)</f>
        <v>0</v>
      </c>
      <c r="BM17" s="3101">
        <f>IF($D17="是",AD17-AE17,0)</f>
        <v>0</v>
      </c>
      <c r="BN17" s="3101">
        <f>IF($D17="是",AF17-AG17,0)</f>
        <v>0</v>
      </c>
      <c r="BO17" s="3101">
        <f>IF($D17="是",AH17-AI17,0)</f>
        <v>0</v>
      </c>
      <c r="BP17" s="3101">
        <f>IF($D17="是",AJ17-AK17,0)</f>
        <v>0</v>
      </c>
      <c r="BQ17" s="3101">
        <f>IF($D17="是",AL17-AM17,0)</f>
        <v>0</v>
      </c>
      <c r="BR17" s="3101">
        <f>IF($D17="是",AN17-AO17,0)</f>
        <v>0</v>
      </c>
      <c r="BS17" s="3101">
        <f>IF($D17="是",AP17-AQ17,0)</f>
        <v>0</v>
      </c>
      <c r="BT17" s="3171">
        <f>IF($D17="是",AR17-AS17,0)</f>
        <v>0</v>
      </c>
    </row>
    <row r="18" spans="1:72">
      <c r="A18" s="3120"/>
      <c r="B18" s="3121"/>
      <c r="C18" s="3121"/>
      <c r="D18" s="3122"/>
      <c r="E18" s="3123">
        <f t="shared" ref="E18:E112" si="7">IF($C$3="是",ROUND($A$3*G18/$B$3,2),ROUND($A$3*(G18-AT18)/$B$3,2))</f>
        <v>0</v>
      </c>
      <c r="F18" s="3124"/>
      <c r="G18" s="3125">
        <f t="shared" ref="G18:G109" si="8">H18+AC18+AT18</f>
        <v>0</v>
      </c>
      <c r="H18" s="3126">
        <f t="shared" ref="H18:H109" si="9">SUMIF(I$12:AB$12,"总值",I18:AB18)</f>
        <v>0</v>
      </c>
      <c r="I18" s="3133"/>
      <c r="J18" s="3133"/>
      <c r="K18" s="3133"/>
      <c r="L18" s="3133"/>
      <c r="M18" s="3133"/>
      <c r="N18" s="3133"/>
      <c r="O18" s="3133"/>
      <c r="P18" s="3133"/>
      <c r="Q18" s="3133"/>
      <c r="R18" s="3133"/>
      <c r="S18" s="3133"/>
      <c r="T18" s="3133"/>
      <c r="U18" s="3133"/>
      <c r="V18" s="3133"/>
      <c r="W18" s="3133"/>
      <c r="X18" s="3133"/>
      <c r="Y18" s="3133"/>
      <c r="Z18" s="3133"/>
      <c r="AA18" s="3133"/>
      <c r="AB18" s="3133"/>
      <c r="AC18" s="3123">
        <f t="shared" ref="AC18:AC109" si="10">SUMIF(AD$12:AS$12,"总值",AD18:AS18)</f>
        <v>0</v>
      </c>
      <c r="AD18" s="3143"/>
      <c r="AE18" s="3143"/>
      <c r="AF18" s="3143"/>
      <c r="AG18" s="3143"/>
      <c r="AH18" s="3143"/>
      <c r="AI18" s="3143"/>
      <c r="AJ18" s="3143"/>
      <c r="AK18" s="3143"/>
      <c r="AL18" s="3143"/>
      <c r="AM18" s="3143"/>
      <c r="AN18" s="3143"/>
      <c r="AO18" s="3143"/>
      <c r="AP18" s="3143"/>
      <c r="AQ18" s="3143"/>
      <c r="AR18" s="3143"/>
      <c r="AS18" s="3143"/>
      <c r="AT18" s="3153"/>
      <c r="AU18" s="3154"/>
      <c r="AV18" s="270">
        <f t="shared" ref="AV18:AV112" si="11">A18</f>
        <v>0</v>
      </c>
      <c r="AW18" s="270">
        <f t="shared" ref="AW18:AW112" si="12">B18</f>
        <v>0</v>
      </c>
      <c r="AX18" s="270">
        <f t="shared" ref="AX18:AX112" si="13">C18</f>
        <v>0</v>
      </c>
      <c r="AY18" s="3168">
        <f t="shared" ref="AY18:AY109" si="14">ROUND($AY$6*AZ18/$AZ$5,2)</f>
        <v>0</v>
      </c>
      <c r="AZ18" s="3123">
        <f t="shared" ref="AZ18:AZ109" si="15">BA18+BL18</f>
        <v>0</v>
      </c>
      <c r="BA18" s="3123">
        <f t="shared" ref="BA18:BA109" si="16">SUM(BB18:BK18)</f>
        <v>0</v>
      </c>
      <c r="BB18" s="3123">
        <f t="shared" ref="BB18:BB109" si="17">IF($D18="是",I18-J18,0)</f>
        <v>0</v>
      </c>
      <c r="BC18" s="3123">
        <f t="shared" ref="BC18:BC109" si="18">IF($D18="是",K18-L18,0)</f>
        <v>0</v>
      </c>
      <c r="BD18" s="3123">
        <f t="shared" ref="BD18:BD109" si="19">IF($D18="是",M18-N18,0)</f>
        <v>0</v>
      </c>
      <c r="BE18" s="3123">
        <f t="shared" ref="BE18:BE109" si="20">IF($D18="是",O18-P18,0)</f>
        <v>0</v>
      </c>
      <c r="BF18" s="3123">
        <f t="shared" ref="BF18:BF109" si="21">IF($D18="是",Q18-R18,0)</f>
        <v>0</v>
      </c>
      <c r="BG18" s="3123">
        <f t="shared" ref="BG18:BG109" si="22">IF($D18="是",S18-T18,0)</f>
        <v>0</v>
      </c>
      <c r="BH18" s="3123">
        <f t="shared" ref="BH18:BH109" si="23">IF($D18="是",U18-V18,0)</f>
        <v>0</v>
      </c>
      <c r="BI18" s="3123">
        <f t="shared" ref="BI18:BI109" si="24">IF($D18="是",W18-X18,0)</f>
        <v>0</v>
      </c>
      <c r="BJ18" s="3123">
        <f t="shared" ref="BJ18:BJ109" si="25">IF($D18="是",Y18-Z18,0)</f>
        <v>0</v>
      </c>
      <c r="BK18" s="3123">
        <f t="shared" ref="BK18:BK109" si="26">IF($D18="是",AA18-AB18,0)</f>
        <v>0</v>
      </c>
      <c r="BL18" s="3123">
        <f t="shared" ref="BL18:BL109" si="27">SUM(BM18:BT18)</f>
        <v>0</v>
      </c>
      <c r="BM18" s="3123">
        <f t="shared" ref="BM18:BM109" si="28">IF($D18="是",AD18-AE18,0)</f>
        <v>0</v>
      </c>
      <c r="BN18" s="3123">
        <f t="shared" ref="BN18:BN109" si="29">IF($D18="是",AF18-AG18,0)</f>
        <v>0</v>
      </c>
      <c r="BO18" s="3123">
        <f t="shared" ref="BO18:BO109" si="30">IF($D18="是",AH18-AI18,0)</f>
        <v>0</v>
      </c>
      <c r="BP18" s="3123">
        <f t="shared" ref="BP18:BP109" si="31">IF($D18="是",AJ18-AK18,0)</f>
        <v>0</v>
      </c>
      <c r="BQ18" s="3123">
        <f t="shared" ref="BQ18:BQ109" si="32">IF($D18="是",AL18-AM18,0)</f>
        <v>0</v>
      </c>
      <c r="BR18" s="3123">
        <f t="shared" ref="BR18:BR109" si="33">IF($D18="是",AN18-AO18,0)</f>
        <v>0</v>
      </c>
      <c r="BS18" s="3123">
        <f t="shared" ref="BS18:BS109" si="34">IF($D18="是",AP18-AQ18,0)</f>
        <v>0</v>
      </c>
      <c r="BT18" s="3175">
        <f t="shared" ref="BT18:BT109" si="35">IF($D18="是",AR18-AS18,0)</f>
        <v>0</v>
      </c>
    </row>
    <row r="19" spans="1:72">
      <c r="A19" s="3120"/>
      <c r="B19" s="3121"/>
      <c r="C19" s="3121"/>
      <c r="D19" s="3122"/>
      <c r="E19" s="3123">
        <f t="shared" si="7"/>
        <v>0</v>
      </c>
      <c r="F19" s="3124"/>
      <c r="G19" s="3125">
        <f t="shared" si="8"/>
        <v>0</v>
      </c>
      <c r="H19" s="3126">
        <f t="shared" si="9"/>
        <v>0</v>
      </c>
      <c r="I19" s="3133"/>
      <c r="J19" s="3133"/>
      <c r="K19" s="3133"/>
      <c r="L19" s="3133"/>
      <c r="M19" s="3133"/>
      <c r="N19" s="3133"/>
      <c r="O19" s="3133"/>
      <c r="P19" s="3133"/>
      <c r="Q19" s="3133"/>
      <c r="R19" s="3133"/>
      <c r="S19" s="3133"/>
      <c r="T19" s="3133"/>
      <c r="U19" s="3133"/>
      <c r="V19" s="3133"/>
      <c r="W19" s="3133"/>
      <c r="X19" s="3133"/>
      <c r="Y19" s="3133"/>
      <c r="Z19" s="3133"/>
      <c r="AA19" s="3133"/>
      <c r="AB19" s="3133"/>
      <c r="AC19" s="3123">
        <f t="shared" si="10"/>
        <v>0</v>
      </c>
      <c r="AD19" s="3143"/>
      <c r="AE19" s="3143"/>
      <c r="AF19" s="3143"/>
      <c r="AG19" s="3143"/>
      <c r="AH19" s="3143"/>
      <c r="AI19" s="3143"/>
      <c r="AJ19" s="3143"/>
      <c r="AK19" s="3143"/>
      <c r="AL19" s="3143"/>
      <c r="AM19" s="3143"/>
      <c r="AN19" s="3143"/>
      <c r="AO19" s="3143"/>
      <c r="AP19" s="3143"/>
      <c r="AQ19" s="3143"/>
      <c r="AR19" s="3143"/>
      <c r="AS19" s="3143"/>
      <c r="AT19" s="3153"/>
      <c r="AU19" s="3154"/>
      <c r="AV19" s="270">
        <f t="shared" si="11"/>
        <v>0</v>
      </c>
      <c r="AW19" s="270">
        <f t="shared" si="12"/>
        <v>0</v>
      </c>
      <c r="AX19" s="270">
        <f t="shared" si="13"/>
        <v>0</v>
      </c>
      <c r="AY19" s="3168">
        <f t="shared" si="14"/>
        <v>0</v>
      </c>
      <c r="AZ19" s="3123">
        <f t="shared" si="15"/>
        <v>0</v>
      </c>
      <c r="BA19" s="3123">
        <f t="shared" si="16"/>
        <v>0</v>
      </c>
      <c r="BB19" s="3123">
        <f t="shared" si="17"/>
        <v>0</v>
      </c>
      <c r="BC19" s="3123">
        <f t="shared" si="18"/>
        <v>0</v>
      </c>
      <c r="BD19" s="3123">
        <f t="shared" si="19"/>
        <v>0</v>
      </c>
      <c r="BE19" s="3123">
        <f t="shared" si="20"/>
        <v>0</v>
      </c>
      <c r="BF19" s="3123">
        <f t="shared" si="21"/>
        <v>0</v>
      </c>
      <c r="BG19" s="3123">
        <f t="shared" si="22"/>
        <v>0</v>
      </c>
      <c r="BH19" s="3123">
        <f t="shared" si="23"/>
        <v>0</v>
      </c>
      <c r="BI19" s="3123">
        <f t="shared" si="24"/>
        <v>0</v>
      </c>
      <c r="BJ19" s="3123">
        <f t="shared" si="25"/>
        <v>0</v>
      </c>
      <c r="BK19" s="3123">
        <f t="shared" si="26"/>
        <v>0</v>
      </c>
      <c r="BL19" s="3123">
        <f t="shared" si="27"/>
        <v>0</v>
      </c>
      <c r="BM19" s="3123">
        <f t="shared" si="28"/>
        <v>0</v>
      </c>
      <c r="BN19" s="3123">
        <f t="shared" si="29"/>
        <v>0</v>
      </c>
      <c r="BO19" s="3123">
        <f t="shared" si="30"/>
        <v>0</v>
      </c>
      <c r="BP19" s="3123">
        <f t="shared" si="31"/>
        <v>0</v>
      </c>
      <c r="BQ19" s="3123">
        <f t="shared" si="32"/>
        <v>0</v>
      </c>
      <c r="BR19" s="3123">
        <f t="shared" si="33"/>
        <v>0</v>
      </c>
      <c r="BS19" s="3123">
        <f t="shared" si="34"/>
        <v>0</v>
      </c>
      <c r="BT19" s="3175">
        <f t="shared" si="35"/>
        <v>0</v>
      </c>
    </row>
    <row r="20" spans="1:72">
      <c r="A20" s="3120"/>
      <c r="B20" s="3121"/>
      <c r="C20" s="3121"/>
      <c r="D20" s="3122"/>
      <c r="E20" s="3123">
        <f t="shared" si="7"/>
        <v>0</v>
      </c>
      <c r="F20" s="3124"/>
      <c r="G20" s="3125">
        <f t="shared" si="8"/>
        <v>0</v>
      </c>
      <c r="H20" s="3126">
        <f t="shared" si="9"/>
        <v>0</v>
      </c>
      <c r="I20" s="3133"/>
      <c r="J20" s="3133"/>
      <c r="K20" s="3133"/>
      <c r="L20" s="3133"/>
      <c r="M20" s="3133"/>
      <c r="N20" s="3133"/>
      <c r="O20" s="3133"/>
      <c r="P20" s="3133"/>
      <c r="Q20" s="3133"/>
      <c r="R20" s="3133"/>
      <c r="S20" s="3133"/>
      <c r="T20" s="3133"/>
      <c r="U20" s="3133"/>
      <c r="V20" s="3133"/>
      <c r="W20" s="3133"/>
      <c r="X20" s="3133"/>
      <c r="Y20" s="3133"/>
      <c r="Z20" s="3133"/>
      <c r="AA20" s="3133"/>
      <c r="AB20" s="3133"/>
      <c r="AC20" s="3123">
        <f t="shared" si="10"/>
        <v>0</v>
      </c>
      <c r="AD20" s="3143"/>
      <c r="AE20" s="3143"/>
      <c r="AF20" s="3143"/>
      <c r="AG20" s="3143"/>
      <c r="AH20" s="3143"/>
      <c r="AI20" s="3143"/>
      <c r="AJ20" s="3143"/>
      <c r="AK20" s="3143"/>
      <c r="AL20" s="3143"/>
      <c r="AM20" s="3143"/>
      <c r="AN20" s="3143"/>
      <c r="AO20" s="3143"/>
      <c r="AP20" s="3143"/>
      <c r="AQ20" s="3143"/>
      <c r="AR20" s="3143"/>
      <c r="AS20" s="3143"/>
      <c r="AT20" s="3153"/>
      <c r="AU20" s="3154"/>
      <c r="AV20" s="270">
        <f t="shared" si="11"/>
        <v>0</v>
      </c>
      <c r="AW20" s="270">
        <f t="shared" si="12"/>
        <v>0</v>
      </c>
      <c r="AX20" s="270">
        <f t="shared" si="13"/>
        <v>0</v>
      </c>
      <c r="AY20" s="3168">
        <f t="shared" si="14"/>
        <v>0</v>
      </c>
      <c r="AZ20" s="3123">
        <f t="shared" si="15"/>
        <v>0</v>
      </c>
      <c r="BA20" s="3123">
        <f t="shared" si="16"/>
        <v>0</v>
      </c>
      <c r="BB20" s="3123">
        <f t="shared" si="17"/>
        <v>0</v>
      </c>
      <c r="BC20" s="3123">
        <f t="shared" si="18"/>
        <v>0</v>
      </c>
      <c r="BD20" s="3123">
        <f t="shared" si="19"/>
        <v>0</v>
      </c>
      <c r="BE20" s="3123">
        <f t="shared" si="20"/>
        <v>0</v>
      </c>
      <c r="BF20" s="3123">
        <f t="shared" si="21"/>
        <v>0</v>
      </c>
      <c r="BG20" s="3123">
        <f t="shared" si="22"/>
        <v>0</v>
      </c>
      <c r="BH20" s="3123">
        <f t="shared" si="23"/>
        <v>0</v>
      </c>
      <c r="BI20" s="3123">
        <f t="shared" si="24"/>
        <v>0</v>
      </c>
      <c r="BJ20" s="3123">
        <f t="shared" si="25"/>
        <v>0</v>
      </c>
      <c r="BK20" s="3123">
        <f t="shared" si="26"/>
        <v>0</v>
      </c>
      <c r="BL20" s="3123">
        <f t="shared" si="27"/>
        <v>0</v>
      </c>
      <c r="BM20" s="3123">
        <f t="shared" si="28"/>
        <v>0</v>
      </c>
      <c r="BN20" s="3123">
        <f t="shared" si="29"/>
        <v>0</v>
      </c>
      <c r="BO20" s="3123">
        <f t="shared" si="30"/>
        <v>0</v>
      </c>
      <c r="BP20" s="3123">
        <f t="shared" si="31"/>
        <v>0</v>
      </c>
      <c r="BQ20" s="3123">
        <f t="shared" si="32"/>
        <v>0</v>
      </c>
      <c r="BR20" s="3123">
        <f t="shared" si="33"/>
        <v>0</v>
      </c>
      <c r="BS20" s="3123">
        <f t="shared" si="34"/>
        <v>0</v>
      </c>
      <c r="BT20" s="3175">
        <f t="shared" si="35"/>
        <v>0</v>
      </c>
    </row>
    <row r="21" spans="1:72">
      <c r="A21" s="3120"/>
      <c r="B21" s="3121"/>
      <c r="C21" s="3121"/>
      <c r="D21" s="3122"/>
      <c r="E21" s="3123">
        <f t="shared" si="7"/>
        <v>0</v>
      </c>
      <c r="F21" s="3124"/>
      <c r="G21" s="3125">
        <f t="shared" si="8"/>
        <v>0</v>
      </c>
      <c r="H21" s="3126">
        <f t="shared" si="9"/>
        <v>0</v>
      </c>
      <c r="I21" s="3133"/>
      <c r="J21" s="3133"/>
      <c r="K21" s="3133"/>
      <c r="L21" s="3133"/>
      <c r="M21" s="3133"/>
      <c r="N21" s="3133"/>
      <c r="O21" s="3133"/>
      <c r="P21" s="3133"/>
      <c r="Q21" s="3133"/>
      <c r="R21" s="3133"/>
      <c r="S21" s="3133"/>
      <c r="T21" s="3133"/>
      <c r="U21" s="3133"/>
      <c r="V21" s="3133"/>
      <c r="W21" s="3133"/>
      <c r="X21" s="3133"/>
      <c r="Y21" s="3133"/>
      <c r="Z21" s="3133"/>
      <c r="AA21" s="3133"/>
      <c r="AB21" s="3133"/>
      <c r="AC21" s="3123">
        <f t="shared" si="10"/>
        <v>0</v>
      </c>
      <c r="AD21" s="3143"/>
      <c r="AE21" s="3143"/>
      <c r="AF21" s="3143"/>
      <c r="AG21" s="3143"/>
      <c r="AH21" s="3143"/>
      <c r="AI21" s="3143"/>
      <c r="AJ21" s="3143"/>
      <c r="AK21" s="3143"/>
      <c r="AL21" s="3143"/>
      <c r="AM21" s="3143"/>
      <c r="AN21" s="3143"/>
      <c r="AO21" s="3143"/>
      <c r="AP21" s="3143"/>
      <c r="AQ21" s="3143"/>
      <c r="AR21" s="3143"/>
      <c r="AS21" s="3143"/>
      <c r="AT21" s="3153"/>
      <c r="AU21" s="3154"/>
      <c r="AV21" s="270">
        <f t="shared" si="11"/>
        <v>0</v>
      </c>
      <c r="AW21" s="270">
        <f t="shared" si="12"/>
        <v>0</v>
      </c>
      <c r="AX21" s="270">
        <f t="shared" si="13"/>
        <v>0</v>
      </c>
      <c r="AY21" s="3168">
        <f t="shared" si="14"/>
        <v>0</v>
      </c>
      <c r="AZ21" s="3123">
        <f t="shared" si="15"/>
        <v>0</v>
      </c>
      <c r="BA21" s="3123">
        <f t="shared" si="16"/>
        <v>0</v>
      </c>
      <c r="BB21" s="3123">
        <f t="shared" si="17"/>
        <v>0</v>
      </c>
      <c r="BC21" s="3123">
        <f t="shared" si="18"/>
        <v>0</v>
      </c>
      <c r="BD21" s="3123">
        <f t="shared" si="19"/>
        <v>0</v>
      </c>
      <c r="BE21" s="3123">
        <f t="shared" si="20"/>
        <v>0</v>
      </c>
      <c r="BF21" s="3123">
        <f t="shared" si="21"/>
        <v>0</v>
      </c>
      <c r="BG21" s="3123">
        <f t="shared" si="22"/>
        <v>0</v>
      </c>
      <c r="BH21" s="3123">
        <f t="shared" si="23"/>
        <v>0</v>
      </c>
      <c r="BI21" s="3123">
        <f t="shared" si="24"/>
        <v>0</v>
      </c>
      <c r="BJ21" s="3123">
        <f t="shared" si="25"/>
        <v>0</v>
      </c>
      <c r="BK21" s="3123">
        <f t="shared" si="26"/>
        <v>0</v>
      </c>
      <c r="BL21" s="3123">
        <f t="shared" si="27"/>
        <v>0</v>
      </c>
      <c r="BM21" s="3123">
        <f t="shared" si="28"/>
        <v>0</v>
      </c>
      <c r="BN21" s="3123">
        <f t="shared" si="29"/>
        <v>0</v>
      </c>
      <c r="BO21" s="3123">
        <f t="shared" si="30"/>
        <v>0</v>
      </c>
      <c r="BP21" s="3123">
        <f t="shared" si="31"/>
        <v>0</v>
      </c>
      <c r="BQ21" s="3123">
        <f t="shared" si="32"/>
        <v>0</v>
      </c>
      <c r="BR21" s="3123">
        <f t="shared" si="33"/>
        <v>0</v>
      </c>
      <c r="BS21" s="3123">
        <f t="shared" si="34"/>
        <v>0</v>
      </c>
      <c r="BT21" s="3175">
        <f t="shared" si="35"/>
        <v>0</v>
      </c>
    </row>
    <row r="22" spans="1:72">
      <c r="A22" s="3120"/>
      <c r="B22" s="3121"/>
      <c r="C22" s="3121"/>
      <c r="D22" s="3122"/>
      <c r="E22" s="3123">
        <f t="shared" si="7"/>
        <v>0</v>
      </c>
      <c r="F22" s="3124"/>
      <c r="G22" s="3125">
        <f t="shared" si="8"/>
        <v>0</v>
      </c>
      <c r="H22" s="3126">
        <f t="shared" si="9"/>
        <v>0</v>
      </c>
      <c r="I22" s="3133"/>
      <c r="J22" s="3133"/>
      <c r="K22" s="3133"/>
      <c r="L22" s="3133"/>
      <c r="M22" s="3133"/>
      <c r="N22" s="3133"/>
      <c r="O22" s="3133"/>
      <c r="P22" s="3133"/>
      <c r="Q22" s="3133"/>
      <c r="R22" s="3133"/>
      <c r="S22" s="3133"/>
      <c r="T22" s="3133"/>
      <c r="U22" s="3133"/>
      <c r="V22" s="3133"/>
      <c r="W22" s="3133"/>
      <c r="X22" s="3133"/>
      <c r="Y22" s="3133"/>
      <c r="Z22" s="3133"/>
      <c r="AA22" s="3133"/>
      <c r="AB22" s="3133"/>
      <c r="AC22" s="3123">
        <f t="shared" si="10"/>
        <v>0</v>
      </c>
      <c r="AD22" s="3143"/>
      <c r="AE22" s="3143"/>
      <c r="AF22" s="3143"/>
      <c r="AG22" s="3143"/>
      <c r="AH22" s="3143"/>
      <c r="AI22" s="3143"/>
      <c r="AJ22" s="3143"/>
      <c r="AK22" s="3143"/>
      <c r="AL22" s="3143"/>
      <c r="AM22" s="3143"/>
      <c r="AN22" s="3143"/>
      <c r="AO22" s="3143"/>
      <c r="AP22" s="3143"/>
      <c r="AQ22" s="3143"/>
      <c r="AR22" s="3143"/>
      <c r="AS22" s="3143"/>
      <c r="AT22" s="3153"/>
      <c r="AU22" s="3154"/>
      <c r="AV22" s="270">
        <f t="shared" si="11"/>
        <v>0</v>
      </c>
      <c r="AW22" s="270">
        <f t="shared" si="12"/>
        <v>0</v>
      </c>
      <c r="AX22" s="270">
        <f t="shared" si="13"/>
        <v>0</v>
      </c>
      <c r="AY22" s="3168">
        <f t="shared" si="14"/>
        <v>0</v>
      </c>
      <c r="AZ22" s="3123">
        <f t="shared" si="15"/>
        <v>0</v>
      </c>
      <c r="BA22" s="3123">
        <f t="shared" si="16"/>
        <v>0</v>
      </c>
      <c r="BB22" s="3123">
        <f t="shared" si="17"/>
        <v>0</v>
      </c>
      <c r="BC22" s="3123">
        <f t="shared" si="18"/>
        <v>0</v>
      </c>
      <c r="BD22" s="3123">
        <f t="shared" si="19"/>
        <v>0</v>
      </c>
      <c r="BE22" s="3123">
        <f t="shared" si="20"/>
        <v>0</v>
      </c>
      <c r="BF22" s="3123">
        <f t="shared" si="21"/>
        <v>0</v>
      </c>
      <c r="BG22" s="3123">
        <f t="shared" si="22"/>
        <v>0</v>
      </c>
      <c r="BH22" s="3123">
        <f t="shared" si="23"/>
        <v>0</v>
      </c>
      <c r="BI22" s="3123">
        <f t="shared" si="24"/>
        <v>0</v>
      </c>
      <c r="BJ22" s="3123">
        <f t="shared" si="25"/>
        <v>0</v>
      </c>
      <c r="BK22" s="3123">
        <f t="shared" si="26"/>
        <v>0</v>
      </c>
      <c r="BL22" s="3123">
        <f t="shared" si="27"/>
        <v>0</v>
      </c>
      <c r="BM22" s="3123">
        <f t="shared" si="28"/>
        <v>0</v>
      </c>
      <c r="BN22" s="3123">
        <f t="shared" si="29"/>
        <v>0</v>
      </c>
      <c r="BO22" s="3123">
        <f t="shared" si="30"/>
        <v>0</v>
      </c>
      <c r="BP22" s="3123">
        <f t="shared" si="31"/>
        <v>0</v>
      </c>
      <c r="BQ22" s="3123">
        <f t="shared" si="32"/>
        <v>0</v>
      </c>
      <c r="BR22" s="3123">
        <f t="shared" si="33"/>
        <v>0</v>
      </c>
      <c r="BS22" s="3123">
        <f t="shared" si="34"/>
        <v>0</v>
      </c>
      <c r="BT22" s="3175">
        <f t="shared" si="35"/>
        <v>0</v>
      </c>
    </row>
    <row r="23" spans="1:72">
      <c r="A23" s="3120"/>
      <c r="B23" s="3121"/>
      <c r="C23" s="3121"/>
      <c r="D23" s="3122"/>
      <c r="E23" s="3123">
        <f t="shared" si="7"/>
        <v>0</v>
      </c>
      <c r="F23" s="3124"/>
      <c r="G23" s="3125">
        <f t="shared" si="8"/>
        <v>0</v>
      </c>
      <c r="H23" s="3126">
        <f t="shared" si="9"/>
        <v>0</v>
      </c>
      <c r="I23" s="3133"/>
      <c r="J23" s="3133"/>
      <c r="K23" s="3133"/>
      <c r="L23" s="3133"/>
      <c r="M23" s="3133"/>
      <c r="N23" s="3133"/>
      <c r="O23" s="3133"/>
      <c r="P23" s="3133"/>
      <c r="Q23" s="3133"/>
      <c r="R23" s="3133"/>
      <c r="S23" s="3133"/>
      <c r="T23" s="3133"/>
      <c r="U23" s="3133"/>
      <c r="V23" s="3133"/>
      <c r="W23" s="3133"/>
      <c r="X23" s="3133"/>
      <c r="Y23" s="3133"/>
      <c r="Z23" s="3133"/>
      <c r="AA23" s="3133"/>
      <c r="AB23" s="3133"/>
      <c r="AC23" s="3123">
        <f t="shared" si="10"/>
        <v>0</v>
      </c>
      <c r="AD23" s="3143"/>
      <c r="AE23" s="3143"/>
      <c r="AF23" s="3143"/>
      <c r="AG23" s="3143"/>
      <c r="AH23" s="3143"/>
      <c r="AI23" s="3143"/>
      <c r="AJ23" s="3143"/>
      <c r="AK23" s="3143"/>
      <c r="AL23" s="3143"/>
      <c r="AM23" s="3143"/>
      <c r="AN23" s="3143"/>
      <c r="AO23" s="3143"/>
      <c r="AP23" s="3143"/>
      <c r="AQ23" s="3143"/>
      <c r="AR23" s="3143"/>
      <c r="AS23" s="3143"/>
      <c r="AT23" s="3153"/>
      <c r="AU23" s="3154"/>
      <c r="AV23" s="270">
        <f t="shared" si="11"/>
        <v>0</v>
      </c>
      <c r="AW23" s="270">
        <f t="shared" si="12"/>
        <v>0</v>
      </c>
      <c r="AX23" s="270">
        <f t="shared" si="13"/>
        <v>0</v>
      </c>
      <c r="AY23" s="3168">
        <f t="shared" si="14"/>
        <v>0</v>
      </c>
      <c r="AZ23" s="3123">
        <f t="shared" si="15"/>
        <v>0</v>
      </c>
      <c r="BA23" s="3123">
        <f t="shared" si="16"/>
        <v>0</v>
      </c>
      <c r="BB23" s="3123">
        <f t="shared" si="17"/>
        <v>0</v>
      </c>
      <c r="BC23" s="3123">
        <f t="shared" si="18"/>
        <v>0</v>
      </c>
      <c r="BD23" s="3123">
        <f t="shared" si="19"/>
        <v>0</v>
      </c>
      <c r="BE23" s="3123">
        <f t="shared" si="20"/>
        <v>0</v>
      </c>
      <c r="BF23" s="3123">
        <f t="shared" si="21"/>
        <v>0</v>
      </c>
      <c r="BG23" s="3123">
        <f t="shared" si="22"/>
        <v>0</v>
      </c>
      <c r="BH23" s="3123">
        <f t="shared" si="23"/>
        <v>0</v>
      </c>
      <c r="BI23" s="3123">
        <f t="shared" si="24"/>
        <v>0</v>
      </c>
      <c r="BJ23" s="3123">
        <f t="shared" si="25"/>
        <v>0</v>
      </c>
      <c r="BK23" s="3123">
        <f t="shared" si="26"/>
        <v>0</v>
      </c>
      <c r="BL23" s="3123">
        <f t="shared" si="27"/>
        <v>0</v>
      </c>
      <c r="BM23" s="3123">
        <f t="shared" si="28"/>
        <v>0</v>
      </c>
      <c r="BN23" s="3123">
        <f t="shared" si="29"/>
        <v>0</v>
      </c>
      <c r="BO23" s="3123">
        <f t="shared" si="30"/>
        <v>0</v>
      </c>
      <c r="BP23" s="3123">
        <f t="shared" si="31"/>
        <v>0</v>
      </c>
      <c r="BQ23" s="3123">
        <f t="shared" si="32"/>
        <v>0</v>
      </c>
      <c r="BR23" s="3123">
        <f t="shared" si="33"/>
        <v>0</v>
      </c>
      <c r="BS23" s="3123">
        <f t="shared" si="34"/>
        <v>0</v>
      </c>
      <c r="BT23" s="3175">
        <f t="shared" si="35"/>
        <v>0</v>
      </c>
    </row>
    <row r="24" spans="1:72">
      <c r="A24" s="3120"/>
      <c r="B24" s="3121"/>
      <c r="C24" s="3121"/>
      <c r="D24" s="3122"/>
      <c r="E24" s="3123">
        <f t="shared" si="7"/>
        <v>0</v>
      </c>
      <c r="F24" s="3124"/>
      <c r="G24" s="3125">
        <f t="shared" si="8"/>
        <v>0</v>
      </c>
      <c r="H24" s="3126">
        <f t="shared" si="9"/>
        <v>0</v>
      </c>
      <c r="I24" s="3133"/>
      <c r="J24" s="3133"/>
      <c r="K24" s="3133"/>
      <c r="L24" s="3133"/>
      <c r="M24" s="3133"/>
      <c r="N24" s="3133"/>
      <c r="O24" s="3133"/>
      <c r="P24" s="3133"/>
      <c r="Q24" s="3133"/>
      <c r="R24" s="3133"/>
      <c r="S24" s="3133"/>
      <c r="T24" s="3133"/>
      <c r="U24" s="3133"/>
      <c r="V24" s="3133"/>
      <c r="W24" s="3133"/>
      <c r="X24" s="3133"/>
      <c r="Y24" s="3133"/>
      <c r="Z24" s="3133"/>
      <c r="AA24" s="3133"/>
      <c r="AB24" s="3133"/>
      <c r="AC24" s="3123">
        <f t="shared" si="10"/>
        <v>0</v>
      </c>
      <c r="AD24" s="3143"/>
      <c r="AE24" s="3143"/>
      <c r="AF24" s="3143"/>
      <c r="AG24" s="3143"/>
      <c r="AH24" s="3143"/>
      <c r="AI24" s="3143"/>
      <c r="AJ24" s="3143"/>
      <c r="AK24" s="3143"/>
      <c r="AL24" s="3143"/>
      <c r="AM24" s="3143"/>
      <c r="AN24" s="3143"/>
      <c r="AO24" s="3143"/>
      <c r="AP24" s="3143"/>
      <c r="AQ24" s="3143"/>
      <c r="AR24" s="3143"/>
      <c r="AS24" s="3143"/>
      <c r="AT24" s="3153"/>
      <c r="AU24" s="3154"/>
      <c r="AV24" s="270">
        <f t="shared" si="11"/>
        <v>0</v>
      </c>
      <c r="AW24" s="270">
        <f t="shared" si="12"/>
        <v>0</v>
      </c>
      <c r="AX24" s="270">
        <f t="shared" si="13"/>
        <v>0</v>
      </c>
      <c r="AY24" s="3168">
        <f t="shared" si="14"/>
        <v>0</v>
      </c>
      <c r="AZ24" s="3123">
        <f t="shared" si="15"/>
        <v>0</v>
      </c>
      <c r="BA24" s="3123">
        <f t="shared" si="16"/>
        <v>0</v>
      </c>
      <c r="BB24" s="3123">
        <f t="shared" si="17"/>
        <v>0</v>
      </c>
      <c r="BC24" s="3123">
        <f t="shared" si="18"/>
        <v>0</v>
      </c>
      <c r="BD24" s="3123">
        <f t="shared" si="19"/>
        <v>0</v>
      </c>
      <c r="BE24" s="3123">
        <f t="shared" si="20"/>
        <v>0</v>
      </c>
      <c r="BF24" s="3123">
        <f t="shared" si="21"/>
        <v>0</v>
      </c>
      <c r="BG24" s="3123">
        <f t="shared" si="22"/>
        <v>0</v>
      </c>
      <c r="BH24" s="3123">
        <f t="shared" si="23"/>
        <v>0</v>
      </c>
      <c r="BI24" s="3123">
        <f t="shared" si="24"/>
        <v>0</v>
      </c>
      <c r="BJ24" s="3123">
        <f t="shared" si="25"/>
        <v>0</v>
      </c>
      <c r="BK24" s="3123">
        <f t="shared" si="26"/>
        <v>0</v>
      </c>
      <c r="BL24" s="3123">
        <f t="shared" si="27"/>
        <v>0</v>
      </c>
      <c r="BM24" s="3123">
        <f t="shared" si="28"/>
        <v>0</v>
      </c>
      <c r="BN24" s="3123">
        <f t="shared" si="29"/>
        <v>0</v>
      </c>
      <c r="BO24" s="3123">
        <f t="shared" si="30"/>
        <v>0</v>
      </c>
      <c r="BP24" s="3123">
        <f t="shared" si="31"/>
        <v>0</v>
      </c>
      <c r="BQ24" s="3123">
        <f t="shared" si="32"/>
        <v>0</v>
      </c>
      <c r="BR24" s="3123">
        <f t="shared" si="33"/>
        <v>0</v>
      </c>
      <c r="BS24" s="3123">
        <f t="shared" si="34"/>
        <v>0</v>
      </c>
      <c r="BT24" s="3175">
        <f t="shared" si="35"/>
        <v>0</v>
      </c>
    </row>
    <row r="25" spans="1:72">
      <c r="A25" s="3120"/>
      <c r="B25" s="3121"/>
      <c r="C25" s="3121"/>
      <c r="D25" s="3122"/>
      <c r="E25" s="3123">
        <f t="shared" si="7"/>
        <v>0</v>
      </c>
      <c r="F25" s="3124"/>
      <c r="G25" s="3125">
        <f t="shared" si="8"/>
        <v>0</v>
      </c>
      <c r="H25" s="3126">
        <f t="shared" si="9"/>
        <v>0</v>
      </c>
      <c r="I25" s="3133"/>
      <c r="J25" s="3133"/>
      <c r="K25" s="3133"/>
      <c r="L25" s="3133"/>
      <c r="M25" s="3133"/>
      <c r="N25" s="3133"/>
      <c r="O25" s="3133"/>
      <c r="P25" s="3133"/>
      <c r="Q25" s="3133"/>
      <c r="R25" s="3133"/>
      <c r="S25" s="3133"/>
      <c r="T25" s="3133"/>
      <c r="U25" s="3133"/>
      <c r="V25" s="3133"/>
      <c r="W25" s="3133"/>
      <c r="X25" s="3133"/>
      <c r="Y25" s="3133"/>
      <c r="Z25" s="3133"/>
      <c r="AA25" s="3133"/>
      <c r="AB25" s="3133"/>
      <c r="AC25" s="3123">
        <f t="shared" si="10"/>
        <v>0</v>
      </c>
      <c r="AD25" s="3143"/>
      <c r="AE25" s="3143"/>
      <c r="AF25" s="3143"/>
      <c r="AG25" s="3143"/>
      <c r="AH25" s="3143"/>
      <c r="AI25" s="3143"/>
      <c r="AJ25" s="3143"/>
      <c r="AK25" s="3143"/>
      <c r="AL25" s="3143"/>
      <c r="AM25" s="3143"/>
      <c r="AN25" s="3143"/>
      <c r="AO25" s="3143"/>
      <c r="AP25" s="3143"/>
      <c r="AQ25" s="3143"/>
      <c r="AR25" s="3143"/>
      <c r="AS25" s="3143"/>
      <c r="AT25" s="3153"/>
      <c r="AU25" s="3154"/>
      <c r="AV25" s="270">
        <f t="shared" si="11"/>
        <v>0</v>
      </c>
      <c r="AW25" s="270">
        <f t="shared" si="12"/>
        <v>0</v>
      </c>
      <c r="AX25" s="270">
        <f t="shared" si="13"/>
        <v>0</v>
      </c>
      <c r="AY25" s="3168">
        <f t="shared" si="14"/>
        <v>0</v>
      </c>
      <c r="AZ25" s="3123">
        <f t="shared" si="15"/>
        <v>0</v>
      </c>
      <c r="BA25" s="3123">
        <f t="shared" si="16"/>
        <v>0</v>
      </c>
      <c r="BB25" s="3123">
        <f t="shared" si="17"/>
        <v>0</v>
      </c>
      <c r="BC25" s="3123">
        <f t="shared" si="18"/>
        <v>0</v>
      </c>
      <c r="BD25" s="3123">
        <f t="shared" si="19"/>
        <v>0</v>
      </c>
      <c r="BE25" s="3123">
        <f t="shared" si="20"/>
        <v>0</v>
      </c>
      <c r="BF25" s="3123">
        <f t="shared" si="21"/>
        <v>0</v>
      </c>
      <c r="BG25" s="3123">
        <f t="shared" si="22"/>
        <v>0</v>
      </c>
      <c r="BH25" s="3123">
        <f t="shared" si="23"/>
        <v>0</v>
      </c>
      <c r="BI25" s="3123">
        <f t="shared" si="24"/>
        <v>0</v>
      </c>
      <c r="BJ25" s="3123">
        <f t="shared" si="25"/>
        <v>0</v>
      </c>
      <c r="BK25" s="3123">
        <f t="shared" si="26"/>
        <v>0</v>
      </c>
      <c r="BL25" s="3123">
        <f t="shared" si="27"/>
        <v>0</v>
      </c>
      <c r="BM25" s="3123">
        <f t="shared" si="28"/>
        <v>0</v>
      </c>
      <c r="BN25" s="3123">
        <f t="shared" si="29"/>
        <v>0</v>
      </c>
      <c r="BO25" s="3123">
        <f t="shared" si="30"/>
        <v>0</v>
      </c>
      <c r="BP25" s="3123">
        <f t="shared" si="31"/>
        <v>0</v>
      </c>
      <c r="BQ25" s="3123">
        <f t="shared" si="32"/>
        <v>0</v>
      </c>
      <c r="BR25" s="3123">
        <f t="shared" si="33"/>
        <v>0</v>
      </c>
      <c r="BS25" s="3123">
        <f t="shared" si="34"/>
        <v>0</v>
      </c>
      <c r="BT25" s="3175">
        <f t="shared" si="35"/>
        <v>0</v>
      </c>
    </row>
    <row r="26" spans="1:72">
      <c r="A26" s="3120"/>
      <c r="B26" s="3121"/>
      <c r="C26" s="3121"/>
      <c r="D26" s="3122"/>
      <c r="E26" s="3123">
        <f t="shared" si="7"/>
        <v>0</v>
      </c>
      <c r="F26" s="3124"/>
      <c r="G26" s="3125">
        <f t="shared" si="8"/>
        <v>0</v>
      </c>
      <c r="H26" s="3126">
        <f t="shared" si="9"/>
        <v>0</v>
      </c>
      <c r="I26" s="3133"/>
      <c r="J26" s="3133"/>
      <c r="K26" s="3133"/>
      <c r="L26" s="3133"/>
      <c r="M26" s="3133"/>
      <c r="N26" s="3133"/>
      <c r="O26" s="3133"/>
      <c r="P26" s="3133"/>
      <c r="Q26" s="3133"/>
      <c r="R26" s="3133"/>
      <c r="S26" s="3133"/>
      <c r="T26" s="3133"/>
      <c r="U26" s="3133"/>
      <c r="V26" s="3133"/>
      <c r="W26" s="3133"/>
      <c r="X26" s="3133"/>
      <c r="Y26" s="3133"/>
      <c r="Z26" s="3133"/>
      <c r="AA26" s="3133"/>
      <c r="AB26" s="3133"/>
      <c r="AC26" s="3123">
        <f t="shared" si="10"/>
        <v>0</v>
      </c>
      <c r="AD26" s="3143"/>
      <c r="AE26" s="3143"/>
      <c r="AF26" s="3143"/>
      <c r="AG26" s="3143"/>
      <c r="AH26" s="3143"/>
      <c r="AI26" s="3143"/>
      <c r="AJ26" s="3143"/>
      <c r="AK26" s="3143"/>
      <c r="AL26" s="3143"/>
      <c r="AM26" s="3143"/>
      <c r="AN26" s="3143"/>
      <c r="AO26" s="3143"/>
      <c r="AP26" s="3143"/>
      <c r="AQ26" s="3143"/>
      <c r="AR26" s="3143"/>
      <c r="AS26" s="3143"/>
      <c r="AT26" s="3153"/>
      <c r="AU26" s="3154"/>
      <c r="AV26" s="270">
        <f t="shared" si="11"/>
        <v>0</v>
      </c>
      <c r="AW26" s="270">
        <f t="shared" si="12"/>
        <v>0</v>
      </c>
      <c r="AX26" s="270">
        <f t="shared" si="13"/>
        <v>0</v>
      </c>
      <c r="AY26" s="3168">
        <f t="shared" si="14"/>
        <v>0</v>
      </c>
      <c r="AZ26" s="3123">
        <f t="shared" si="15"/>
        <v>0</v>
      </c>
      <c r="BA26" s="3123">
        <f t="shared" si="16"/>
        <v>0</v>
      </c>
      <c r="BB26" s="3123">
        <f t="shared" si="17"/>
        <v>0</v>
      </c>
      <c r="BC26" s="3123">
        <f t="shared" si="18"/>
        <v>0</v>
      </c>
      <c r="BD26" s="3123">
        <f t="shared" si="19"/>
        <v>0</v>
      </c>
      <c r="BE26" s="3123">
        <f t="shared" si="20"/>
        <v>0</v>
      </c>
      <c r="BF26" s="3123">
        <f t="shared" si="21"/>
        <v>0</v>
      </c>
      <c r="BG26" s="3123">
        <f t="shared" si="22"/>
        <v>0</v>
      </c>
      <c r="BH26" s="3123">
        <f t="shared" si="23"/>
        <v>0</v>
      </c>
      <c r="BI26" s="3123">
        <f t="shared" si="24"/>
        <v>0</v>
      </c>
      <c r="BJ26" s="3123">
        <f t="shared" si="25"/>
        <v>0</v>
      </c>
      <c r="BK26" s="3123">
        <f t="shared" si="26"/>
        <v>0</v>
      </c>
      <c r="BL26" s="3123">
        <f t="shared" si="27"/>
        <v>0</v>
      </c>
      <c r="BM26" s="3123">
        <f t="shared" si="28"/>
        <v>0</v>
      </c>
      <c r="BN26" s="3123">
        <f t="shared" si="29"/>
        <v>0</v>
      </c>
      <c r="BO26" s="3123">
        <f t="shared" si="30"/>
        <v>0</v>
      </c>
      <c r="BP26" s="3123">
        <f t="shared" si="31"/>
        <v>0</v>
      </c>
      <c r="BQ26" s="3123">
        <f t="shared" si="32"/>
        <v>0</v>
      </c>
      <c r="BR26" s="3123">
        <f t="shared" si="33"/>
        <v>0</v>
      </c>
      <c r="BS26" s="3123">
        <f t="shared" si="34"/>
        <v>0</v>
      </c>
      <c r="BT26" s="3175">
        <f t="shared" si="35"/>
        <v>0</v>
      </c>
    </row>
    <row r="27" spans="1:72">
      <c r="A27" s="3120"/>
      <c r="B27" s="3121"/>
      <c r="C27" s="3121"/>
      <c r="D27" s="3122"/>
      <c r="E27" s="3123">
        <f t="shared" si="7"/>
        <v>0</v>
      </c>
      <c r="F27" s="3124"/>
      <c r="G27" s="3125">
        <f t="shared" si="8"/>
        <v>0</v>
      </c>
      <c r="H27" s="3126">
        <f t="shared" si="9"/>
        <v>0</v>
      </c>
      <c r="I27" s="3133"/>
      <c r="J27" s="3133"/>
      <c r="K27" s="3133"/>
      <c r="L27" s="3133"/>
      <c r="M27" s="3133"/>
      <c r="N27" s="3133"/>
      <c r="O27" s="3133"/>
      <c r="P27" s="3133"/>
      <c r="Q27" s="3133"/>
      <c r="R27" s="3133"/>
      <c r="S27" s="3133"/>
      <c r="T27" s="3133"/>
      <c r="U27" s="3133"/>
      <c r="V27" s="3133"/>
      <c r="W27" s="3133"/>
      <c r="X27" s="3133"/>
      <c r="Y27" s="3133"/>
      <c r="Z27" s="3133"/>
      <c r="AA27" s="3133"/>
      <c r="AB27" s="3133"/>
      <c r="AC27" s="3123">
        <f t="shared" si="10"/>
        <v>0</v>
      </c>
      <c r="AD27" s="3143"/>
      <c r="AE27" s="3143"/>
      <c r="AF27" s="3143"/>
      <c r="AG27" s="3143"/>
      <c r="AH27" s="3143"/>
      <c r="AI27" s="3143"/>
      <c r="AJ27" s="3143"/>
      <c r="AK27" s="3143"/>
      <c r="AL27" s="3143"/>
      <c r="AM27" s="3143"/>
      <c r="AN27" s="3143"/>
      <c r="AO27" s="3143"/>
      <c r="AP27" s="3143"/>
      <c r="AQ27" s="3143"/>
      <c r="AR27" s="3143"/>
      <c r="AS27" s="3143"/>
      <c r="AT27" s="3153"/>
      <c r="AU27" s="3154"/>
      <c r="AV27" s="270">
        <f t="shared" si="11"/>
        <v>0</v>
      </c>
      <c r="AW27" s="270">
        <f t="shared" si="12"/>
        <v>0</v>
      </c>
      <c r="AX27" s="270">
        <f t="shared" si="13"/>
        <v>0</v>
      </c>
      <c r="AY27" s="3168">
        <f t="shared" si="14"/>
        <v>0</v>
      </c>
      <c r="AZ27" s="3123">
        <f t="shared" si="15"/>
        <v>0</v>
      </c>
      <c r="BA27" s="3123">
        <f t="shared" si="16"/>
        <v>0</v>
      </c>
      <c r="BB27" s="3123">
        <f t="shared" si="17"/>
        <v>0</v>
      </c>
      <c r="BC27" s="3123">
        <f t="shared" si="18"/>
        <v>0</v>
      </c>
      <c r="BD27" s="3123">
        <f t="shared" si="19"/>
        <v>0</v>
      </c>
      <c r="BE27" s="3123">
        <f t="shared" si="20"/>
        <v>0</v>
      </c>
      <c r="BF27" s="3123">
        <f t="shared" si="21"/>
        <v>0</v>
      </c>
      <c r="BG27" s="3123">
        <f t="shared" si="22"/>
        <v>0</v>
      </c>
      <c r="BH27" s="3123">
        <f t="shared" si="23"/>
        <v>0</v>
      </c>
      <c r="BI27" s="3123">
        <f t="shared" si="24"/>
        <v>0</v>
      </c>
      <c r="BJ27" s="3123">
        <f t="shared" si="25"/>
        <v>0</v>
      </c>
      <c r="BK27" s="3123">
        <f t="shared" si="26"/>
        <v>0</v>
      </c>
      <c r="BL27" s="3123">
        <f t="shared" si="27"/>
        <v>0</v>
      </c>
      <c r="BM27" s="3123">
        <f t="shared" si="28"/>
        <v>0</v>
      </c>
      <c r="BN27" s="3123">
        <f t="shared" si="29"/>
        <v>0</v>
      </c>
      <c r="BO27" s="3123">
        <f t="shared" si="30"/>
        <v>0</v>
      </c>
      <c r="BP27" s="3123">
        <f t="shared" si="31"/>
        <v>0</v>
      </c>
      <c r="BQ27" s="3123">
        <f t="shared" si="32"/>
        <v>0</v>
      </c>
      <c r="BR27" s="3123">
        <f t="shared" si="33"/>
        <v>0</v>
      </c>
      <c r="BS27" s="3123">
        <f t="shared" si="34"/>
        <v>0</v>
      </c>
      <c r="BT27" s="3175">
        <f t="shared" si="35"/>
        <v>0</v>
      </c>
    </row>
    <row r="28" spans="1:72">
      <c r="A28" s="3120"/>
      <c r="B28" s="3121"/>
      <c r="C28" s="3121"/>
      <c r="D28" s="3122"/>
      <c r="E28" s="3123">
        <f t="shared" si="7"/>
        <v>0</v>
      </c>
      <c r="F28" s="3124"/>
      <c r="G28" s="3125">
        <f t="shared" si="8"/>
        <v>0</v>
      </c>
      <c r="H28" s="3126">
        <f t="shared" si="9"/>
        <v>0</v>
      </c>
      <c r="I28" s="3133"/>
      <c r="J28" s="3133"/>
      <c r="K28" s="3133"/>
      <c r="L28" s="3133"/>
      <c r="M28" s="3133"/>
      <c r="N28" s="3133"/>
      <c r="O28" s="3133"/>
      <c r="P28" s="3133"/>
      <c r="Q28" s="3133"/>
      <c r="R28" s="3133"/>
      <c r="S28" s="3133"/>
      <c r="T28" s="3133"/>
      <c r="U28" s="3133"/>
      <c r="V28" s="3133"/>
      <c r="W28" s="3133"/>
      <c r="X28" s="3133"/>
      <c r="Y28" s="3133"/>
      <c r="Z28" s="3133"/>
      <c r="AA28" s="3133"/>
      <c r="AB28" s="3133"/>
      <c r="AC28" s="3123">
        <f t="shared" si="10"/>
        <v>0</v>
      </c>
      <c r="AD28" s="3143"/>
      <c r="AE28" s="3143"/>
      <c r="AF28" s="3143"/>
      <c r="AG28" s="3143"/>
      <c r="AH28" s="3143"/>
      <c r="AI28" s="3143"/>
      <c r="AJ28" s="3143"/>
      <c r="AK28" s="3143"/>
      <c r="AL28" s="3143"/>
      <c r="AM28" s="3143"/>
      <c r="AN28" s="3143"/>
      <c r="AO28" s="3143"/>
      <c r="AP28" s="3143"/>
      <c r="AQ28" s="3143"/>
      <c r="AR28" s="3143"/>
      <c r="AS28" s="3143"/>
      <c r="AT28" s="3153"/>
      <c r="AU28" s="3154"/>
      <c r="AV28" s="270">
        <f t="shared" si="11"/>
        <v>0</v>
      </c>
      <c r="AW28" s="270">
        <f t="shared" si="12"/>
        <v>0</v>
      </c>
      <c r="AX28" s="270">
        <f t="shared" si="13"/>
        <v>0</v>
      </c>
      <c r="AY28" s="3168">
        <f t="shared" si="14"/>
        <v>0</v>
      </c>
      <c r="AZ28" s="3123">
        <f t="shared" si="15"/>
        <v>0</v>
      </c>
      <c r="BA28" s="3123">
        <f t="shared" si="16"/>
        <v>0</v>
      </c>
      <c r="BB28" s="3123">
        <f t="shared" si="17"/>
        <v>0</v>
      </c>
      <c r="BC28" s="3123">
        <f t="shared" si="18"/>
        <v>0</v>
      </c>
      <c r="BD28" s="3123">
        <f t="shared" si="19"/>
        <v>0</v>
      </c>
      <c r="BE28" s="3123">
        <f t="shared" si="20"/>
        <v>0</v>
      </c>
      <c r="BF28" s="3123">
        <f t="shared" si="21"/>
        <v>0</v>
      </c>
      <c r="BG28" s="3123">
        <f t="shared" si="22"/>
        <v>0</v>
      </c>
      <c r="BH28" s="3123">
        <f t="shared" si="23"/>
        <v>0</v>
      </c>
      <c r="BI28" s="3123">
        <f t="shared" si="24"/>
        <v>0</v>
      </c>
      <c r="BJ28" s="3123">
        <f t="shared" si="25"/>
        <v>0</v>
      </c>
      <c r="BK28" s="3123">
        <f t="shared" si="26"/>
        <v>0</v>
      </c>
      <c r="BL28" s="3123">
        <f t="shared" si="27"/>
        <v>0</v>
      </c>
      <c r="BM28" s="3123">
        <f t="shared" si="28"/>
        <v>0</v>
      </c>
      <c r="BN28" s="3123">
        <f t="shared" si="29"/>
        <v>0</v>
      </c>
      <c r="BO28" s="3123">
        <f t="shared" si="30"/>
        <v>0</v>
      </c>
      <c r="BP28" s="3123">
        <f t="shared" si="31"/>
        <v>0</v>
      </c>
      <c r="BQ28" s="3123">
        <f t="shared" si="32"/>
        <v>0</v>
      </c>
      <c r="BR28" s="3123">
        <f t="shared" si="33"/>
        <v>0</v>
      </c>
      <c r="BS28" s="3123">
        <f t="shared" si="34"/>
        <v>0</v>
      </c>
      <c r="BT28" s="3175">
        <f t="shared" si="35"/>
        <v>0</v>
      </c>
    </row>
    <row r="29" spans="1:72">
      <c r="A29" s="3120"/>
      <c r="B29" s="3121"/>
      <c r="C29" s="3121"/>
      <c r="D29" s="3122"/>
      <c r="E29" s="3123">
        <f t="shared" si="7"/>
        <v>0</v>
      </c>
      <c r="F29" s="3124"/>
      <c r="G29" s="3125">
        <f t="shared" si="8"/>
        <v>0</v>
      </c>
      <c r="H29" s="3126">
        <f t="shared" si="9"/>
        <v>0</v>
      </c>
      <c r="I29" s="3133"/>
      <c r="J29" s="3133"/>
      <c r="K29" s="3133"/>
      <c r="L29" s="3133"/>
      <c r="M29" s="3133"/>
      <c r="N29" s="3133"/>
      <c r="O29" s="3133"/>
      <c r="P29" s="3133"/>
      <c r="Q29" s="3133"/>
      <c r="R29" s="3133"/>
      <c r="S29" s="3133"/>
      <c r="T29" s="3133"/>
      <c r="U29" s="3133"/>
      <c r="V29" s="3133"/>
      <c r="W29" s="3133"/>
      <c r="X29" s="3133"/>
      <c r="Y29" s="3133"/>
      <c r="Z29" s="3133"/>
      <c r="AA29" s="3133"/>
      <c r="AB29" s="3133"/>
      <c r="AC29" s="3123">
        <f t="shared" si="10"/>
        <v>0</v>
      </c>
      <c r="AD29" s="3143"/>
      <c r="AE29" s="3143"/>
      <c r="AF29" s="3143"/>
      <c r="AG29" s="3143"/>
      <c r="AH29" s="3143"/>
      <c r="AI29" s="3143"/>
      <c r="AJ29" s="3143"/>
      <c r="AK29" s="3143"/>
      <c r="AL29" s="3143"/>
      <c r="AM29" s="3143"/>
      <c r="AN29" s="3143"/>
      <c r="AO29" s="3143"/>
      <c r="AP29" s="3143"/>
      <c r="AQ29" s="3143"/>
      <c r="AR29" s="3143"/>
      <c r="AS29" s="3143"/>
      <c r="AT29" s="3153"/>
      <c r="AU29" s="3154"/>
      <c r="AV29" s="270">
        <f t="shared" si="11"/>
        <v>0</v>
      </c>
      <c r="AW29" s="270">
        <f t="shared" si="12"/>
        <v>0</v>
      </c>
      <c r="AX29" s="270">
        <f t="shared" si="13"/>
        <v>0</v>
      </c>
      <c r="AY29" s="3168">
        <f t="shared" si="14"/>
        <v>0</v>
      </c>
      <c r="AZ29" s="3123">
        <f t="shared" si="15"/>
        <v>0</v>
      </c>
      <c r="BA29" s="3123">
        <f t="shared" si="16"/>
        <v>0</v>
      </c>
      <c r="BB29" s="3123">
        <f t="shared" si="17"/>
        <v>0</v>
      </c>
      <c r="BC29" s="3123">
        <f t="shared" si="18"/>
        <v>0</v>
      </c>
      <c r="BD29" s="3123">
        <f t="shared" si="19"/>
        <v>0</v>
      </c>
      <c r="BE29" s="3123">
        <f t="shared" si="20"/>
        <v>0</v>
      </c>
      <c r="BF29" s="3123">
        <f t="shared" si="21"/>
        <v>0</v>
      </c>
      <c r="BG29" s="3123">
        <f t="shared" si="22"/>
        <v>0</v>
      </c>
      <c r="BH29" s="3123">
        <f t="shared" si="23"/>
        <v>0</v>
      </c>
      <c r="BI29" s="3123">
        <f t="shared" si="24"/>
        <v>0</v>
      </c>
      <c r="BJ29" s="3123">
        <f t="shared" si="25"/>
        <v>0</v>
      </c>
      <c r="BK29" s="3123">
        <f t="shared" si="26"/>
        <v>0</v>
      </c>
      <c r="BL29" s="3123">
        <f t="shared" si="27"/>
        <v>0</v>
      </c>
      <c r="BM29" s="3123">
        <f t="shared" si="28"/>
        <v>0</v>
      </c>
      <c r="BN29" s="3123">
        <f t="shared" si="29"/>
        <v>0</v>
      </c>
      <c r="BO29" s="3123">
        <f t="shared" si="30"/>
        <v>0</v>
      </c>
      <c r="BP29" s="3123">
        <f t="shared" si="31"/>
        <v>0</v>
      </c>
      <c r="BQ29" s="3123">
        <f t="shared" si="32"/>
        <v>0</v>
      </c>
      <c r="BR29" s="3123">
        <f t="shared" si="33"/>
        <v>0</v>
      </c>
      <c r="BS29" s="3123">
        <f t="shared" si="34"/>
        <v>0</v>
      </c>
      <c r="BT29" s="3175">
        <f t="shared" si="35"/>
        <v>0</v>
      </c>
    </row>
    <row r="30" spans="1:72">
      <c r="A30" s="3120"/>
      <c r="B30" s="3121"/>
      <c r="C30" s="3121"/>
      <c r="D30" s="3122"/>
      <c r="E30" s="3123">
        <f t="shared" si="7"/>
        <v>0</v>
      </c>
      <c r="F30" s="3124"/>
      <c r="G30" s="3125">
        <f t="shared" si="8"/>
        <v>0</v>
      </c>
      <c r="H30" s="3126">
        <f t="shared" si="9"/>
        <v>0</v>
      </c>
      <c r="I30" s="3133"/>
      <c r="J30" s="3133"/>
      <c r="K30" s="3133"/>
      <c r="L30" s="3133"/>
      <c r="M30" s="3133"/>
      <c r="N30" s="3133"/>
      <c r="O30" s="3133"/>
      <c r="P30" s="3133"/>
      <c r="Q30" s="3133"/>
      <c r="R30" s="3133"/>
      <c r="S30" s="3133"/>
      <c r="T30" s="3133"/>
      <c r="U30" s="3133"/>
      <c r="V30" s="3133"/>
      <c r="W30" s="3133"/>
      <c r="X30" s="3133"/>
      <c r="Y30" s="3133"/>
      <c r="Z30" s="3133"/>
      <c r="AA30" s="3133"/>
      <c r="AB30" s="3133"/>
      <c r="AC30" s="3123">
        <f t="shared" si="10"/>
        <v>0</v>
      </c>
      <c r="AD30" s="3143"/>
      <c r="AE30" s="3143"/>
      <c r="AF30" s="3143"/>
      <c r="AG30" s="3143"/>
      <c r="AH30" s="3143"/>
      <c r="AI30" s="3143"/>
      <c r="AJ30" s="3143"/>
      <c r="AK30" s="3143"/>
      <c r="AL30" s="3143"/>
      <c r="AM30" s="3143"/>
      <c r="AN30" s="3143"/>
      <c r="AO30" s="3143"/>
      <c r="AP30" s="3143"/>
      <c r="AQ30" s="3143"/>
      <c r="AR30" s="3143"/>
      <c r="AS30" s="3143"/>
      <c r="AT30" s="3153"/>
      <c r="AU30" s="3154"/>
      <c r="AV30" s="270">
        <f t="shared" si="11"/>
        <v>0</v>
      </c>
      <c r="AW30" s="270">
        <f t="shared" si="12"/>
        <v>0</v>
      </c>
      <c r="AX30" s="270">
        <f t="shared" si="13"/>
        <v>0</v>
      </c>
      <c r="AY30" s="3168">
        <f t="shared" si="14"/>
        <v>0</v>
      </c>
      <c r="AZ30" s="3123">
        <f t="shared" si="15"/>
        <v>0</v>
      </c>
      <c r="BA30" s="3123">
        <f t="shared" si="16"/>
        <v>0</v>
      </c>
      <c r="BB30" s="3123">
        <f t="shared" si="17"/>
        <v>0</v>
      </c>
      <c r="BC30" s="3123">
        <f t="shared" si="18"/>
        <v>0</v>
      </c>
      <c r="BD30" s="3123">
        <f t="shared" si="19"/>
        <v>0</v>
      </c>
      <c r="BE30" s="3123">
        <f t="shared" si="20"/>
        <v>0</v>
      </c>
      <c r="BF30" s="3123">
        <f t="shared" si="21"/>
        <v>0</v>
      </c>
      <c r="BG30" s="3123">
        <f t="shared" si="22"/>
        <v>0</v>
      </c>
      <c r="BH30" s="3123">
        <f t="shared" si="23"/>
        <v>0</v>
      </c>
      <c r="BI30" s="3123">
        <f t="shared" si="24"/>
        <v>0</v>
      </c>
      <c r="BJ30" s="3123">
        <f t="shared" si="25"/>
        <v>0</v>
      </c>
      <c r="BK30" s="3123">
        <f t="shared" si="26"/>
        <v>0</v>
      </c>
      <c r="BL30" s="3123">
        <f t="shared" si="27"/>
        <v>0</v>
      </c>
      <c r="BM30" s="3123">
        <f t="shared" si="28"/>
        <v>0</v>
      </c>
      <c r="BN30" s="3123">
        <f t="shared" si="29"/>
        <v>0</v>
      </c>
      <c r="BO30" s="3123">
        <f t="shared" si="30"/>
        <v>0</v>
      </c>
      <c r="BP30" s="3123">
        <f t="shared" si="31"/>
        <v>0</v>
      </c>
      <c r="BQ30" s="3123">
        <f t="shared" si="32"/>
        <v>0</v>
      </c>
      <c r="BR30" s="3123">
        <f t="shared" si="33"/>
        <v>0</v>
      </c>
      <c r="BS30" s="3123">
        <f t="shared" si="34"/>
        <v>0</v>
      </c>
      <c r="BT30" s="3175">
        <f t="shared" si="35"/>
        <v>0</v>
      </c>
    </row>
    <row r="31" spans="1:72">
      <c r="A31" s="3120"/>
      <c r="B31" s="3121"/>
      <c r="C31" s="3121"/>
      <c r="D31" s="3122"/>
      <c r="E31" s="3123">
        <f t="shared" si="7"/>
        <v>0</v>
      </c>
      <c r="F31" s="3124"/>
      <c r="G31" s="3125">
        <f t="shared" si="8"/>
        <v>0</v>
      </c>
      <c r="H31" s="3126">
        <f t="shared" si="9"/>
        <v>0</v>
      </c>
      <c r="I31" s="3133"/>
      <c r="J31" s="3133"/>
      <c r="K31" s="3133"/>
      <c r="L31" s="3133"/>
      <c r="M31" s="3133"/>
      <c r="N31" s="3133"/>
      <c r="O31" s="3133"/>
      <c r="P31" s="3133"/>
      <c r="Q31" s="3133"/>
      <c r="R31" s="3133"/>
      <c r="S31" s="3133"/>
      <c r="T31" s="3133"/>
      <c r="U31" s="3133"/>
      <c r="V31" s="3133"/>
      <c r="W31" s="3133"/>
      <c r="X31" s="3133"/>
      <c r="Y31" s="3133"/>
      <c r="Z31" s="3133"/>
      <c r="AA31" s="3133"/>
      <c r="AB31" s="3133"/>
      <c r="AC31" s="3123">
        <f t="shared" si="10"/>
        <v>0</v>
      </c>
      <c r="AD31" s="3143"/>
      <c r="AE31" s="3143"/>
      <c r="AF31" s="3143"/>
      <c r="AG31" s="3143"/>
      <c r="AH31" s="3143"/>
      <c r="AI31" s="3143"/>
      <c r="AJ31" s="3143"/>
      <c r="AK31" s="3143"/>
      <c r="AL31" s="3143"/>
      <c r="AM31" s="3143"/>
      <c r="AN31" s="3143"/>
      <c r="AO31" s="3143"/>
      <c r="AP31" s="3143"/>
      <c r="AQ31" s="3143"/>
      <c r="AR31" s="3143"/>
      <c r="AS31" s="3143"/>
      <c r="AT31" s="3153"/>
      <c r="AU31" s="3154"/>
      <c r="AV31" s="270">
        <f t="shared" si="11"/>
        <v>0</v>
      </c>
      <c r="AW31" s="270">
        <f t="shared" si="12"/>
        <v>0</v>
      </c>
      <c r="AX31" s="270">
        <f t="shared" si="13"/>
        <v>0</v>
      </c>
      <c r="AY31" s="3168">
        <f t="shared" si="14"/>
        <v>0</v>
      </c>
      <c r="AZ31" s="3123">
        <f t="shared" si="15"/>
        <v>0</v>
      </c>
      <c r="BA31" s="3123">
        <f t="shared" si="16"/>
        <v>0</v>
      </c>
      <c r="BB31" s="3123">
        <f t="shared" si="17"/>
        <v>0</v>
      </c>
      <c r="BC31" s="3123">
        <f t="shared" si="18"/>
        <v>0</v>
      </c>
      <c r="BD31" s="3123">
        <f t="shared" si="19"/>
        <v>0</v>
      </c>
      <c r="BE31" s="3123">
        <f t="shared" si="20"/>
        <v>0</v>
      </c>
      <c r="BF31" s="3123">
        <f t="shared" si="21"/>
        <v>0</v>
      </c>
      <c r="BG31" s="3123">
        <f t="shared" si="22"/>
        <v>0</v>
      </c>
      <c r="BH31" s="3123">
        <f t="shared" si="23"/>
        <v>0</v>
      </c>
      <c r="BI31" s="3123">
        <f t="shared" si="24"/>
        <v>0</v>
      </c>
      <c r="BJ31" s="3123">
        <f t="shared" si="25"/>
        <v>0</v>
      </c>
      <c r="BK31" s="3123">
        <f t="shared" si="26"/>
        <v>0</v>
      </c>
      <c r="BL31" s="3123">
        <f t="shared" si="27"/>
        <v>0</v>
      </c>
      <c r="BM31" s="3123">
        <f t="shared" si="28"/>
        <v>0</v>
      </c>
      <c r="BN31" s="3123">
        <f t="shared" si="29"/>
        <v>0</v>
      </c>
      <c r="BO31" s="3123">
        <f t="shared" si="30"/>
        <v>0</v>
      </c>
      <c r="BP31" s="3123">
        <f t="shared" si="31"/>
        <v>0</v>
      </c>
      <c r="BQ31" s="3123">
        <f t="shared" si="32"/>
        <v>0</v>
      </c>
      <c r="BR31" s="3123">
        <f t="shared" si="33"/>
        <v>0</v>
      </c>
      <c r="BS31" s="3123">
        <f t="shared" si="34"/>
        <v>0</v>
      </c>
      <c r="BT31" s="3175">
        <f t="shared" si="35"/>
        <v>0</v>
      </c>
    </row>
    <row r="32" spans="1:72">
      <c r="A32" s="3120"/>
      <c r="B32" s="3121"/>
      <c r="C32" s="3121"/>
      <c r="D32" s="3122"/>
      <c r="E32" s="3123">
        <f t="shared" si="7"/>
        <v>0</v>
      </c>
      <c r="F32" s="3124"/>
      <c r="G32" s="3125">
        <f t="shared" si="8"/>
        <v>0</v>
      </c>
      <c r="H32" s="3126">
        <f t="shared" si="9"/>
        <v>0</v>
      </c>
      <c r="I32" s="3133"/>
      <c r="J32" s="3133"/>
      <c r="K32" s="3133"/>
      <c r="L32" s="3133"/>
      <c r="M32" s="3133"/>
      <c r="N32" s="3133"/>
      <c r="O32" s="3133"/>
      <c r="P32" s="3133"/>
      <c r="Q32" s="3133"/>
      <c r="R32" s="3133"/>
      <c r="S32" s="3133"/>
      <c r="T32" s="3133"/>
      <c r="U32" s="3133"/>
      <c r="V32" s="3133"/>
      <c r="W32" s="3133"/>
      <c r="X32" s="3133"/>
      <c r="Y32" s="3133"/>
      <c r="Z32" s="3133"/>
      <c r="AA32" s="3133"/>
      <c r="AB32" s="3133"/>
      <c r="AC32" s="3123">
        <f t="shared" si="10"/>
        <v>0</v>
      </c>
      <c r="AD32" s="3143"/>
      <c r="AE32" s="3143"/>
      <c r="AF32" s="3143"/>
      <c r="AG32" s="3143"/>
      <c r="AH32" s="3143"/>
      <c r="AI32" s="3143"/>
      <c r="AJ32" s="3143"/>
      <c r="AK32" s="3143"/>
      <c r="AL32" s="3143"/>
      <c r="AM32" s="3143"/>
      <c r="AN32" s="3143"/>
      <c r="AO32" s="3143"/>
      <c r="AP32" s="3143"/>
      <c r="AQ32" s="3143"/>
      <c r="AR32" s="3143"/>
      <c r="AS32" s="3143"/>
      <c r="AT32" s="3153"/>
      <c r="AU32" s="3154"/>
      <c r="AV32" s="270">
        <f t="shared" si="11"/>
        <v>0</v>
      </c>
      <c r="AW32" s="270">
        <f t="shared" si="12"/>
        <v>0</v>
      </c>
      <c r="AX32" s="270">
        <f t="shared" si="13"/>
        <v>0</v>
      </c>
      <c r="AY32" s="3168">
        <f t="shared" si="14"/>
        <v>0</v>
      </c>
      <c r="AZ32" s="3123">
        <f t="shared" si="15"/>
        <v>0</v>
      </c>
      <c r="BA32" s="3123">
        <f t="shared" si="16"/>
        <v>0</v>
      </c>
      <c r="BB32" s="3123">
        <f t="shared" si="17"/>
        <v>0</v>
      </c>
      <c r="BC32" s="3123">
        <f t="shared" si="18"/>
        <v>0</v>
      </c>
      <c r="BD32" s="3123">
        <f t="shared" si="19"/>
        <v>0</v>
      </c>
      <c r="BE32" s="3123">
        <f t="shared" si="20"/>
        <v>0</v>
      </c>
      <c r="BF32" s="3123">
        <f t="shared" si="21"/>
        <v>0</v>
      </c>
      <c r="BG32" s="3123">
        <f t="shared" si="22"/>
        <v>0</v>
      </c>
      <c r="BH32" s="3123">
        <f t="shared" si="23"/>
        <v>0</v>
      </c>
      <c r="BI32" s="3123">
        <f t="shared" si="24"/>
        <v>0</v>
      </c>
      <c r="BJ32" s="3123">
        <f t="shared" si="25"/>
        <v>0</v>
      </c>
      <c r="BK32" s="3123">
        <f t="shared" si="26"/>
        <v>0</v>
      </c>
      <c r="BL32" s="3123">
        <f t="shared" si="27"/>
        <v>0</v>
      </c>
      <c r="BM32" s="3123">
        <f t="shared" si="28"/>
        <v>0</v>
      </c>
      <c r="BN32" s="3123">
        <f t="shared" si="29"/>
        <v>0</v>
      </c>
      <c r="BO32" s="3123">
        <f t="shared" si="30"/>
        <v>0</v>
      </c>
      <c r="BP32" s="3123">
        <f t="shared" si="31"/>
        <v>0</v>
      </c>
      <c r="BQ32" s="3123">
        <f t="shared" si="32"/>
        <v>0</v>
      </c>
      <c r="BR32" s="3123">
        <f t="shared" si="33"/>
        <v>0</v>
      </c>
      <c r="BS32" s="3123">
        <f t="shared" si="34"/>
        <v>0</v>
      </c>
      <c r="BT32" s="3175">
        <f t="shared" si="35"/>
        <v>0</v>
      </c>
    </row>
    <row r="33" spans="1:72">
      <c r="A33" s="3120"/>
      <c r="B33" s="3121"/>
      <c r="C33" s="3121"/>
      <c r="D33" s="3122"/>
      <c r="E33" s="3123">
        <f t="shared" si="7"/>
        <v>0</v>
      </c>
      <c r="F33" s="3124"/>
      <c r="G33" s="3125">
        <f t="shared" si="8"/>
        <v>0</v>
      </c>
      <c r="H33" s="3126">
        <f t="shared" si="9"/>
        <v>0</v>
      </c>
      <c r="I33" s="3133"/>
      <c r="J33" s="3133"/>
      <c r="K33" s="3133"/>
      <c r="L33" s="3133"/>
      <c r="M33" s="3133"/>
      <c r="N33" s="3133"/>
      <c r="O33" s="3133"/>
      <c r="P33" s="3133"/>
      <c r="Q33" s="3133"/>
      <c r="R33" s="3133"/>
      <c r="S33" s="3133"/>
      <c r="T33" s="3133"/>
      <c r="U33" s="3133"/>
      <c r="V33" s="3133"/>
      <c r="W33" s="3133"/>
      <c r="X33" s="3133"/>
      <c r="Y33" s="3133"/>
      <c r="Z33" s="3133"/>
      <c r="AA33" s="3133"/>
      <c r="AB33" s="3133"/>
      <c r="AC33" s="3123">
        <f t="shared" si="10"/>
        <v>0</v>
      </c>
      <c r="AD33" s="3143"/>
      <c r="AE33" s="3143"/>
      <c r="AF33" s="3143"/>
      <c r="AG33" s="3143"/>
      <c r="AH33" s="3143"/>
      <c r="AI33" s="3143"/>
      <c r="AJ33" s="3143"/>
      <c r="AK33" s="3143"/>
      <c r="AL33" s="3143"/>
      <c r="AM33" s="3143"/>
      <c r="AN33" s="3143"/>
      <c r="AO33" s="3143"/>
      <c r="AP33" s="3143"/>
      <c r="AQ33" s="3143"/>
      <c r="AR33" s="3143"/>
      <c r="AS33" s="3143"/>
      <c r="AT33" s="3153"/>
      <c r="AU33" s="3154"/>
      <c r="AV33" s="270">
        <f t="shared" si="11"/>
        <v>0</v>
      </c>
      <c r="AW33" s="270">
        <f t="shared" si="12"/>
        <v>0</v>
      </c>
      <c r="AX33" s="270">
        <f t="shared" si="13"/>
        <v>0</v>
      </c>
      <c r="AY33" s="3168">
        <f t="shared" si="14"/>
        <v>0</v>
      </c>
      <c r="AZ33" s="3123">
        <f t="shared" si="15"/>
        <v>0</v>
      </c>
      <c r="BA33" s="3123">
        <f t="shared" si="16"/>
        <v>0</v>
      </c>
      <c r="BB33" s="3123">
        <f t="shared" si="17"/>
        <v>0</v>
      </c>
      <c r="BC33" s="3123">
        <f t="shared" si="18"/>
        <v>0</v>
      </c>
      <c r="BD33" s="3123">
        <f t="shared" si="19"/>
        <v>0</v>
      </c>
      <c r="BE33" s="3123">
        <f t="shared" si="20"/>
        <v>0</v>
      </c>
      <c r="BF33" s="3123">
        <f t="shared" si="21"/>
        <v>0</v>
      </c>
      <c r="BG33" s="3123">
        <f t="shared" si="22"/>
        <v>0</v>
      </c>
      <c r="BH33" s="3123">
        <f t="shared" si="23"/>
        <v>0</v>
      </c>
      <c r="BI33" s="3123">
        <f t="shared" si="24"/>
        <v>0</v>
      </c>
      <c r="BJ33" s="3123">
        <f t="shared" si="25"/>
        <v>0</v>
      </c>
      <c r="BK33" s="3123">
        <f t="shared" si="26"/>
        <v>0</v>
      </c>
      <c r="BL33" s="3123">
        <f t="shared" si="27"/>
        <v>0</v>
      </c>
      <c r="BM33" s="3123">
        <f t="shared" si="28"/>
        <v>0</v>
      </c>
      <c r="BN33" s="3123">
        <f t="shared" si="29"/>
        <v>0</v>
      </c>
      <c r="BO33" s="3123">
        <f t="shared" si="30"/>
        <v>0</v>
      </c>
      <c r="BP33" s="3123">
        <f t="shared" si="31"/>
        <v>0</v>
      </c>
      <c r="BQ33" s="3123">
        <f t="shared" si="32"/>
        <v>0</v>
      </c>
      <c r="BR33" s="3123">
        <f t="shared" si="33"/>
        <v>0</v>
      </c>
      <c r="BS33" s="3123">
        <f t="shared" si="34"/>
        <v>0</v>
      </c>
      <c r="BT33" s="3175">
        <f t="shared" si="35"/>
        <v>0</v>
      </c>
    </row>
    <row r="34" spans="1:72">
      <c r="A34" s="3120"/>
      <c r="B34" s="3121"/>
      <c r="C34" s="3121"/>
      <c r="D34" s="3122"/>
      <c r="E34" s="3123">
        <f t="shared" si="7"/>
        <v>0</v>
      </c>
      <c r="F34" s="3124"/>
      <c r="G34" s="3125">
        <f t="shared" si="8"/>
        <v>0</v>
      </c>
      <c r="H34" s="3126">
        <f t="shared" si="9"/>
        <v>0</v>
      </c>
      <c r="I34" s="3133"/>
      <c r="J34" s="3133"/>
      <c r="K34" s="3133"/>
      <c r="L34" s="3133"/>
      <c r="M34" s="3133"/>
      <c r="N34" s="3133"/>
      <c r="O34" s="3133"/>
      <c r="P34" s="3133"/>
      <c r="Q34" s="3133"/>
      <c r="R34" s="3133"/>
      <c r="S34" s="3133"/>
      <c r="T34" s="3133"/>
      <c r="U34" s="3133"/>
      <c r="V34" s="3133"/>
      <c r="W34" s="3133"/>
      <c r="X34" s="3133"/>
      <c r="Y34" s="3133"/>
      <c r="Z34" s="3133"/>
      <c r="AA34" s="3133"/>
      <c r="AB34" s="3133"/>
      <c r="AC34" s="3123">
        <f t="shared" si="10"/>
        <v>0</v>
      </c>
      <c r="AD34" s="3143"/>
      <c r="AE34" s="3143"/>
      <c r="AF34" s="3143"/>
      <c r="AG34" s="3143"/>
      <c r="AH34" s="3143"/>
      <c r="AI34" s="3143"/>
      <c r="AJ34" s="3143"/>
      <c r="AK34" s="3143"/>
      <c r="AL34" s="3143"/>
      <c r="AM34" s="3143"/>
      <c r="AN34" s="3143"/>
      <c r="AO34" s="3143"/>
      <c r="AP34" s="3143"/>
      <c r="AQ34" s="3143"/>
      <c r="AR34" s="3143"/>
      <c r="AS34" s="3143"/>
      <c r="AT34" s="3153"/>
      <c r="AU34" s="3154"/>
      <c r="AV34" s="270">
        <f t="shared" si="11"/>
        <v>0</v>
      </c>
      <c r="AW34" s="270">
        <f t="shared" si="12"/>
        <v>0</v>
      </c>
      <c r="AX34" s="270">
        <f t="shared" si="13"/>
        <v>0</v>
      </c>
      <c r="AY34" s="3168">
        <f t="shared" si="14"/>
        <v>0</v>
      </c>
      <c r="AZ34" s="3123">
        <f t="shared" si="15"/>
        <v>0</v>
      </c>
      <c r="BA34" s="3123">
        <f t="shared" si="16"/>
        <v>0</v>
      </c>
      <c r="BB34" s="3123">
        <f t="shared" si="17"/>
        <v>0</v>
      </c>
      <c r="BC34" s="3123">
        <f t="shared" si="18"/>
        <v>0</v>
      </c>
      <c r="BD34" s="3123">
        <f t="shared" si="19"/>
        <v>0</v>
      </c>
      <c r="BE34" s="3123">
        <f t="shared" si="20"/>
        <v>0</v>
      </c>
      <c r="BF34" s="3123">
        <f t="shared" si="21"/>
        <v>0</v>
      </c>
      <c r="BG34" s="3123">
        <f t="shared" si="22"/>
        <v>0</v>
      </c>
      <c r="BH34" s="3123">
        <f t="shared" si="23"/>
        <v>0</v>
      </c>
      <c r="BI34" s="3123">
        <f t="shared" si="24"/>
        <v>0</v>
      </c>
      <c r="BJ34" s="3123">
        <f t="shared" si="25"/>
        <v>0</v>
      </c>
      <c r="BK34" s="3123">
        <f t="shared" si="26"/>
        <v>0</v>
      </c>
      <c r="BL34" s="3123">
        <f t="shared" si="27"/>
        <v>0</v>
      </c>
      <c r="BM34" s="3123">
        <f t="shared" si="28"/>
        <v>0</v>
      </c>
      <c r="BN34" s="3123">
        <f t="shared" si="29"/>
        <v>0</v>
      </c>
      <c r="BO34" s="3123">
        <f t="shared" si="30"/>
        <v>0</v>
      </c>
      <c r="BP34" s="3123">
        <f t="shared" si="31"/>
        <v>0</v>
      </c>
      <c r="BQ34" s="3123">
        <f t="shared" si="32"/>
        <v>0</v>
      </c>
      <c r="BR34" s="3123">
        <f t="shared" si="33"/>
        <v>0</v>
      </c>
      <c r="BS34" s="3123">
        <f t="shared" si="34"/>
        <v>0</v>
      </c>
      <c r="BT34" s="3175">
        <f t="shared" si="35"/>
        <v>0</v>
      </c>
    </row>
    <row r="35" spans="1:72">
      <c r="A35" s="3120"/>
      <c r="B35" s="3121"/>
      <c r="C35" s="3121"/>
      <c r="D35" s="3122"/>
      <c r="E35" s="3123">
        <f t="shared" si="7"/>
        <v>0</v>
      </c>
      <c r="F35" s="3124"/>
      <c r="G35" s="3125">
        <f t="shared" si="8"/>
        <v>0</v>
      </c>
      <c r="H35" s="3126">
        <f t="shared" si="9"/>
        <v>0</v>
      </c>
      <c r="I35" s="3133"/>
      <c r="J35" s="3133"/>
      <c r="K35" s="3133"/>
      <c r="L35" s="3133"/>
      <c r="M35" s="3133"/>
      <c r="N35" s="3133"/>
      <c r="O35" s="3133"/>
      <c r="P35" s="3133"/>
      <c r="Q35" s="3133"/>
      <c r="R35" s="3133"/>
      <c r="S35" s="3133"/>
      <c r="T35" s="3133"/>
      <c r="U35" s="3133"/>
      <c r="V35" s="3133"/>
      <c r="W35" s="3133"/>
      <c r="X35" s="3133"/>
      <c r="Y35" s="3133"/>
      <c r="Z35" s="3133"/>
      <c r="AA35" s="3133"/>
      <c r="AB35" s="3133"/>
      <c r="AC35" s="3123">
        <f t="shared" si="10"/>
        <v>0</v>
      </c>
      <c r="AD35" s="3143"/>
      <c r="AE35" s="3143"/>
      <c r="AF35" s="3143"/>
      <c r="AG35" s="3143"/>
      <c r="AH35" s="3143"/>
      <c r="AI35" s="3143"/>
      <c r="AJ35" s="3143"/>
      <c r="AK35" s="3143"/>
      <c r="AL35" s="3143"/>
      <c r="AM35" s="3143"/>
      <c r="AN35" s="3143"/>
      <c r="AO35" s="3143"/>
      <c r="AP35" s="3143"/>
      <c r="AQ35" s="3143"/>
      <c r="AR35" s="3143"/>
      <c r="AS35" s="3143"/>
      <c r="AT35" s="3153"/>
      <c r="AU35" s="3154"/>
      <c r="AV35" s="270">
        <f t="shared" si="11"/>
        <v>0</v>
      </c>
      <c r="AW35" s="270">
        <f t="shared" si="12"/>
        <v>0</v>
      </c>
      <c r="AX35" s="270">
        <f t="shared" si="13"/>
        <v>0</v>
      </c>
      <c r="AY35" s="3168">
        <f t="shared" si="14"/>
        <v>0</v>
      </c>
      <c r="AZ35" s="3123">
        <f t="shared" si="15"/>
        <v>0</v>
      </c>
      <c r="BA35" s="3123">
        <f t="shared" si="16"/>
        <v>0</v>
      </c>
      <c r="BB35" s="3123">
        <f t="shared" si="17"/>
        <v>0</v>
      </c>
      <c r="BC35" s="3123">
        <f t="shared" si="18"/>
        <v>0</v>
      </c>
      <c r="BD35" s="3123">
        <f t="shared" si="19"/>
        <v>0</v>
      </c>
      <c r="BE35" s="3123">
        <f t="shared" si="20"/>
        <v>0</v>
      </c>
      <c r="BF35" s="3123">
        <f t="shared" si="21"/>
        <v>0</v>
      </c>
      <c r="BG35" s="3123">
        <f t="shared" si="22"/>
        <v>0</v>
      </c>
      <c r="BH35" s="3123">
        <f t="shared" si="23"/>
        <v>0</v>
      </c>
      <c r="BI35" s="3123">
        <f t="shared" si="24"/>
        <v>0</v>
      </c>
      <c r="BJ35" s="3123">
        <f t="shared" si="25"/>
        <v>0</v>
      </c>
      <c r="BK35" s="3123">
        <f t="shared" si="26"/>
        <v>0</v>
      </c>
      <c r="BL35" s="3123">
        <f t="shared" si="27"/>
        <v>0</v>
      </c>
      <c r="BM35" s="3123">
        <f t="shared" si="28"/>
        <v>0</v>
      </c>
      <c r="BN35" s="3123">
        <f t="shared" si="29"/>
        <v>0</v>
      </c>
      <c r="BO35" s="3123">
        <f t="shared" si="30"/>
        <v>0</v>
      </c>
      <c r="BP35" s="3123">
        <f t="shared" si="31"/>
        <v>0</v>
      </c>
      <c r="BQ35" s="3123">
        <f t="shared" si="32"/>
        <v>0</v>
      </c>
      <c r="BR35" s="3123">
        <f t="shared" si="33"/>
        <v>0</v>
      </c>
      <c r="BS35" s="3123">
        <f t="shared" si="34"/>
        <v>0</v>
      </c>
      <c r="BT35" s="3175">
        <f t="shared" si="35"/>
        <v>0</v>
      </c>
    </row>
    <row r="36" spans="1:72">
      <c r="A36" s="3120"/>
      <c r="B36" s="3121"/>
      <c r="C36" s="3121"/>
      <c r="D36" s="3122"/>
      <c r="E36" s="3123">
        <f t="shared" si="7"/>
        <v>0</v>
      </c>
      <c r="F36" s="3124"/>
      <c r="G36" s="3125">
        <f t="shared" si="8"/>
        <v>0</v>
      </c>
      <c r="H36" s="3126">
        <f t="shared" si="9"/>
        <v>0</v>
      </c>
      <c r="I36" s="3133"/>
      <c r="J36" s="3133"/>
      <c r="K36" s="3133"/>
      <c r="L36" s="3133"/>
      <c r="M36" s="3133"/>
      <c r="N36" s="3133"/>
      <c r="O36" s="3133"/>
      <c r="P36" s="3133"/>
      <c r="Q36" s="3133"/>
      <c r="R36" s="3133"/>
      <c r="S36" s="3133"/>
      <c r="T36" s="3133"/>
      <c r="U36" s="3133"/>
      <c r="V36" s="3133"/>
      <c r="W36" s="3133"/>
      <c r="X36" s="3133"/>
      <c r="Y36" s="3133"/>
      <c r="Z36" s="3133"/>
      <c r="AA36" s="3133"/>
      <c r="AB36" s="3133"/>
      <c r="AC36" s="3123">
        <f t="shared" si="10"/>
        <v>0</v>
      </c>
      <c r="AD36" s="3143"/>
      <c r="AE36" s="3143"/>
      <c r="AF36" s="3143"/>
      <c r="AG36" s="3143"/>
      <c r="AH36" s="3143"/>
      <c r="AI36" s="3143"/>
      <c r="AJ36" s="3143"/>
      <c r="AK36" s="3143"/>
      <c r="AL36" s="3143"/>
      <c r="AM36" s="3143"/>
      <c r="AN36" s="3143"/>
      <c r="AO36" s="3143"/>
      <c r="AP36" s="3143"/>
      <c r="AQ36" s="3143"/>
      <c r="AR36" s="3143"/>
      <c r="AS36" s="3143"/>
      <c r="AT36" s="3153"/>
      <c r="AU36" s="3154"/>
      <c r="AV36" s="270">
        <f t="shared" si="11"/>
        <v>0</v>
      </c>
      <c r="AW36" s="270">
        <f t="shared" si="12"/>
        <v>0</v>
      </c>
      <c r="AX36" s="270">
        <f t="shared" si="13"/>
        <v>0</v>
      </c>
      <c r="AY36" s="3168">
        <f t="shared" si="14"/>
        <v>0</v>
      </c>
      <c r="AZ36" s="3123">
        <f t="shared" si="15"/>
        <v>0</v>
      </c>
      <c r="BA36" s="3123">
        <f t="shared" si="16"/>
        <v>0</v>
      </c>
      <c r="BB36" s="3123">
        <f t="shared" si="17"/>
        <v>0</v>
      </c>
      <c r="BC36" s="3123">
        <f t="shared" si="18"/>
        <v>0</v>
      </c>
      <c r="BD36" s="3123">
        <f t="shared" si="19"/>
        <v>0</v>
      </c>
      <c r="BE36" s="3123">
        <f t="shared" si="20"/>
        <v>0</v>
      </c>
      <c r="BF36" s="3123">
        <f t="shared" si="21"/>
        <v>0</v>
      </c>
      <c r="BG36" s="3123">
        <f t="shared" si="22"/>
        <v>0</v>
      </c>
      <c r="BH36" s="3123">
        <f t="shared" si="23"/>
        <v>0</v>
      </c>
      <c r="BI36" s="3123">
        <f t="shared" si="24"/>
        <v>0</v>
      </c>
      <c r="BJ36" s="3123">
        <f t="shared" si="25"/>
        <v>0</v>
      </c>
      <c r="BK36" s="3123">
        <f t="shared" si="26"/>
        <v>0</v>
      </c>
      <c r="BL36" s="3123">
        <f t="shared" si="27"/>
        <v>0</v>
      </c>
      <c r="BM36" s="3123">
        <f t="shared" si="28"/>
        <v>0</v>
      </c>
      <c r="BN36" s="3123">
        <f t="shared" si="29"/>
        <v>0</v>
      </c>
      <c r="BO36" s="3123">
        <f t="shared" si="30"/>
        <v>0</v>
      </c>
      <c r="BP36" s="3123">
        <f t="shared" si="31"/>
        <v>0</v>
      </c>
      <c r="BQ36" s="3123">
        <f t="shared" si="32"/>
        <v>0</v>
      </c>
      <c r="BR36" s="3123">
        <f t="shared" si="33"/>
        <v>0</v>
      </c>
      <c r="BS36" s="3123">
        <f t="shared" si="34"/>
        <v>0</v>
      </c>
      <c r="BT36" s="3175">
        <f t="shared" si="35"/>
        <v>0</v>
      </c>
    </row>
    <row r="37" spans="1:72">
      <c r="A37" s="3120"/>
      <c r="B37" s="3121"/>
      <c r="C37" s="3121"/>
      <c r="D37" s="3122"/>
      <c r="E37" s="3123">
        <f t="shared" si="7"/>
        <v>0</v>
      </c>
      <c r="F37" s="3124"/>
      <c r="G37" s="3125">
        <f t="shared" si="8"/>
        <v>0</v>
      </c>
      <c r="H37" s="3126">
        <f t="shared" si="9"/>
        <v>0</v>
      </c>
      <c r="I37" s="3133"/>
      <c r="J37" s="3133"/>
      <c r="K37" s="3133"/>
      <c r="L37" s="3133"/>
      <c r="M37" s="3133"/>
      <c r="N37" s="3133"/>
      <c r="O37" s="3133"/>
      <c r="P37" s="3133"/>
      <c r="Q37" s="3133"/>
      <c r="R37" s="3133"/>
      <c r="S37" s="3133"/>
      <c r="T37" s="3133"/>
      <c r="U37" s="3133"/>
      <c r="V37" s="3133"/>
      <c r="W37" s="3133"/>
      <c r="X37" s="3133"/>
      <c r="Y37" s="3133"/>
      <c r="Z37" s="3133"/>
      <c r="AA37" s="3133"/>
      <c r="AB37" s="3133"/>
      <c r="AC37" s="3123">
        <f t="shared" si="10"/>
        <v>0</v>
      </c>
      <c r="AD37" s="3143"/>
      <c r="AE37" s="3143"/>
      <c r="AF37" s="3143"/>
      <c r="AG37" s="3143"/>
      <c r="AH37" s="3143"/>
      <c r="AI37" s="3143"/>
      <c r="AJ37" s="3143"/>
      <c r="AK37" s="3143"/>
      <c r="AL37" s="3143"/>
      <c r="AM37" s="3143"/>
      <c r="AN37" s="3143"/>
      <c r="AO37" s="3143"/>
      <c r="AP37" s="3143"/>
      <c r="AQ37" s="3143"/>
      <c r="AR37" s="3143"/>
      <c r="AS37" s="3143"/>
      <c r="AT37" s="3153"/>
      <c r="AU37" s="3154"/>
      <c r="AV37" s="270">
        <f t="shared" si="11"/>
        <v>0</v>
      </c>
      <c r="AW37" s="270">
        <f t="shared" si="12"/>
        <v>0</v>
      </c>
      <c r="AX37" s="270">
        <f t="shared" si="13"/>
        <v>0</v>
      </c>
      <c r="AY37" s="3168">
        <f t="shared" si="14"/>
        <v>0</v>
      </c>
      <c r="AZ37" s="3123">
        <f t="shared" si="15"/>
        <v>0</v>
      </c>
      <c r="BA37" s="3123">
        <f t="shared" si="16"/>
        <v>0</v>
      </c>
      <c r="BB37" s="3123">
        <f t="shared" si="17"/>
        <v>0</v>
      </c>
      <c r="BC37" s="3123">
        <f t="shared" si="18"/>
        <v>0</v>
      </c>
      <c r="BD37" s="3123">
        <f t="shared" si="19"/>
        <v>0</v>
      </c>
      <c r="BE37" s="3123">
        <f t="shared" si="20"/>
        <v>0</v>
      </c>
      <c r="BF37" s="3123">
        <f t="shared" si="21"/>
        <v>0</v>
      </c>
      <c r="BG37" s="3123">
        <f t="shared" si="22"/>
        <v>0</v>
      </c>
      <c r="BH37" s="3123">
        <f t="shared" si="23"/>
        <v>0</v>
      </c>
      <c r="BI37" s="3123">
        <f t="shared" si="24"/>
        <v>0</v>
      </c>
      <c r="BJ37" s="3123">
        <f t="shared" si="25"/>
        <v>0</v>
      </c>
      <c r="BK37" s="3123">
        <f t="shared" si="26"/>
        <v>0</v>
      </c>
      <c r="BL37" s="3123">
        <f t="shared" si="27"/>
        <v>0</v>
      </c>
      <c r="BM37" s="3123">
        <f t="shared" si="28"/>
        <v>0</v>
      </c>
      <c r="BN37" s="3123">
        <f t="shared" si="29"/>
        <v>0</v>
      </c>
      <c r="BO37" s="3123">
        <f t="shared" si="30"/>
        <v>0</v>
      </c>
      <c r="BP37" s="3123">
        <f t="shared" si="31"/>
        <v>0</v>
      </c>
      <c r="BQ37" s="3123">
        <f t="shared" si="32"/>
        <v>0</v>
      </c>
      <c r="BR37" s="3123">
        <f t="shared" si="33"/>
        <v>0</v>
      </c>
      <c r="BS37" s="3123">
        <f t="shared" si="34"/>
        <v>0</v>
      </c>
      <c r="BT37" s="3175">
        <f t="shared" si="35"/>
        <v>0</v>
      </c>
    </row>
    <row r="38" spans="1:72">
      <c r="A38" s="3120"/>
      <c r="B38" s="3121"/>
      <c r="C38" s="3121"/>
      <c r="D38" s="3122"/>
      <c r="E38" s="3123">
        <f t="shared" si="7"/>
        <v>0</v>
      </c>
      <c r="F38" s="3124"/>
      <c r="G38" s="3125">
        <f t="shared" si="8"/>
        <v>0</v>
      </c>
      <c r="H38" s="3126">
        <f t="shared" si="9"/>
        <v>0</v>
      </c>
      <c r="I38" s="3133"/>
      <c r="J38" s="3133"/>
      <c r="K38" s="3133"/>
      <c r="L38" s="3133"/>
      <c r="M38" s="3133"/>
      <c r="N38" s="3133"/>
      <c r="O38" s="3133"/>
      <c r="P38" s="3133"/>
      <c r="Q38" s="3133"/>
      <c r="R38" s="3133"/>
      <c r="S38" s="3133"/>
      <c r="T38" s="3133"/>
      <c r="U38" s="3133"/>
      <c r="V38" s="3133"/>
      <c r="W38" s="3133"/>
      <c r="X38" s="3133"/>
      <c r="Y38" s="3133"/>
      <c r="Z38" s="3133"/>
      <c r="AA38" s="3133"/>
      <c r="AB38" s="3133"/>
      <c r="AC38" s="3123">
        <f t="shared" si="10"/>
        <v>0</v>
      </c>
      <c r="AD38" s="3143"/>
      <c r="AE38" s="3143"/>
      <c r="AF38" s="3143"/>
      <c r="AG38" s="3143"/>
      <c r="AH38" s="3143"/>
      <c r="AI38" s="3143"/>
      <c r="AJ38" s="3143"/>
      <c r="AK38" s="3143"/>
      <c r="AL38" s="3143"/>
      <c r="AM38" s="3143"/>
      <c r="AN38" s="3143"/>
      <c r="AO38" s="3143"/>
      <c r="AP38" s="3143"/>
      <c r="AQ38" s="3143"/>
      <c r="AR38" s="3143"/>
      <c r="AS38" s="3143"/>
      <c r="AT38" s="3153"/>
      <c r="AU38" s="3154"/>
      <c r="AV38" s="270">
        <f t="shared" si="11"/>
        <v>0</v>
      </c>
      <c r="AW38" s="270">
        <f t="shared" si="12"/>
        <v>0</v>
      </c>
      <c r="AX38" s="270">
        <f t="shared" si="13"/>
        <v>0</v>
      </c>
      <c r="AY38" s="3168">
        <f t="shared" si="14"/>
        <v>0</v>
      </c>
      <c r="AZ38" s="3123">
        <f t="shared" si="15"/>
        <v>0</v>
      </c>
      <c r="BA38" s="3123">
        <f t="shared" si="16"/>
        <v>0</v>
      </c>
      <c r="BB38" s="3123">
        <f t="shared" si="17"/>
        <v>0</v>
      </c>
      <c r="BC38" s="3123">
        <f t="shared" si="18"/>
        <v>0</v>
      </c>
      <c r="BD38" s="3123">
        <f t="shared" si="19"/>
        <v>0</v>
      </c>
      <c r="BE38" s="3123">
        <f t="shared" si="20"/>
        <v>0</v>
      </c>
      <c r="BF38" s="3123">
        <f t="shared" si="21"/>
        <v>0</v>
      </c>
      <c r="BG38" s="3123">
        <f t="shared" si="22"/>
        <v>0</v>
      </c>
      <c r="BH38" s="3123">
        <f t="shared" si="23"/>
        <v>0</v>
      </c>
      <c r="BI38" s="3123">
        <f t="shared" si="24"/>
        <v>0</v>
      </c>
      <c r="BJ38" s="3123">
        <f t="shared" si="25"/>
        <v>0</v>
      </c>
      <c r="BK38" s="3123">
        <f t="shared" si="26"/>
        <v>0</v>
      </c>
      <c r="BL38" s="3123">
        <f t="shared" si="27"/>
        <v>0</v>
      </c>
      <c r="BM38" s="3123">
        <f t="shared" si="28"/>
        <v>0</v>
      </c>
      <c r="BN38" s="3123">
        <f t="shared" si="29"/>
        <v>0</v>
      </c>
      <c r="BO38" s="3123">
        <f t="shared" si="30"/>
        <v>0</v>
      </c>
      <c r="BP38" s="3123">
        <f t="shared" si="31"/>
        <v>0</v>
      </c>
      <c r="BQ38" s="3123">
        <f t="shared" si="32"/>
        <v>0</v>
      </c>
      <c r="BR38" s="3123">
        <f t="shared" si="33"/>
        <v>0</v>
      </c>
      <c r="BS38" s="3123">
        <f t="shared" si="34"/>
        <v>0</v>
      </c>
      <c r="BT38" s="3175">
        <f t="shared" si="35"/>
        <v>0</v>
      </c>
    </row>
    <row r="39" spans="1:72">
      <c r="A39" s="3120"/>
      <c r="B39" s="3121"/>
      <c r="C39" s="3121"/>
      <c r="D39" s="3122"/>
      <c r="E39" s="3123">
        <f t="shared" si="7"/>
        <v>0</v>
      </c>
      <c r="F39" s="3124"/>
      <c r="G39" s="3125">
        <f t="shared" si="8"/>
        <v>0</v>
      </c>
      <c r="H39" s="3126">
        <f t="shared" si="9"/>
        <v>0</v>
      </c>
      <c r="I39" s="3133"/>
      <c r="J39" s="3133"/>
      <c r="K39" s="3133"/>
      <c r="L39" s="3133"/>
      <c r="M39" s="3133"/>
      <c r="N39" s="3133"/>
      <c r="O39" s="3133"/>
      <c r="P39" s="3133"/>
      <c r="Q39" s="3133"/>
      <c r="R39" s="3133"/>
      <c r="S39" s="3133"/>
      <c r="T39" s="3133"/>
      <c r="U39" s="3133"/>
      <c r="V39" s="3133"/>
      <c r="W39" s="3133"/>
      <c r="X39" s="3133"/>
      <c r="Y39" s="3133"/>
      <c r="Z39" s="3133"/>
      <c r="AA39" s="3133"/>
      <c r="AB39" s="3133"/>
      <c r="AC39" s="3123">
        <f t="shared" si="10"/>
        <v>0</v>
      </c>
      <c r="AD39" s="3143"/>
      <c r="AE39" s="3143"/>
      <c r="AF39" s="3143"/>
      <c r="AG39" s="3143"/>
      <c r="AH39" s="3143"/>
      <c r="AI39" s="3143"/>
      <c r="AJ39" s="3143"/>
      <c r="AK39" s="3143"/>
      <c r="AL39" s="3143"/>
      <c r="AM39" s="3143"/>
      <c r="AN39" s="3143"/>
      <c r="AO39" s="3143"/>
      <c r="AP39" s="3143"/>
      <c r="AQ39" s="3143"/>
      <c r="AR39" s="3143"/>
      <c r="AS39" s="3143"/>
      <c r="AT39" s="3153"/>
      <c r="AU39" s="3154"/>
      <c r="AV39" s="270">
        <f t="shared" si="11"/>
        <v>0</v>
      </c>
      <c r="AW39" s="270">
        <f t="shared" si="12"/>
        <v>0</v>
      </c>
      <c r="AX39" s="270">
        <f t="shared" si="13"/>
        <v>0</v>
      </c>
      <c r="AY39" s="3168">
        <f t="shared" si="14"/>
        <v>0</v>
      </c>
      <c r="AZ39" s="3123">
        <f t="shared" si="15"/>
        <v>0</v>
      </c>
      <c r="BA39" s="3123">
        <f t="shared" si="16"/>
        <v>0</v>
      </c>
      <c r="BB39" s="3123">
        <f t="shared" si="17"/>
        <v>0</v>
      </c>
      <c r="BC39" s="3123">
        <f t="shared" si="18"/>
        <v>0</v>
      </c>
      <c r="BD39" s="3123">
        <f t="shared" si="19"/>
        <v>0</v>
      </c>
      <c r="BE39" s="3123">
        <f t="shared" si="20"/>
        <v>0</v>
      </c>
      <c r="BF39" s="3123">
        <f t="shared" si="21"/>
        <v>0</v>
      </c>
      <c r="BG39" s="3123">
        <f t="shared" si="22"/>
        <v>0</v>
      </c>
      <c r="BH39" s="3123">
        <f t="shared" si="23"/>
        <v>0</v>
      </c>
      <c r="BI39" s="3123">
        <f t="shared" si="24"/>
        <v>0</v>
      </c>
      <c r="BJ39" s="3123">
        <f t="shared" si="25"/>
        <v>0</v>
      </c>
      <c r="BK39" s="3123">
        <f t="shared" si="26"/>
        <v>0</v>
      </c>
      <c r="BL39" s="3123">
        <f t="shared" si="27"/>
        <v>0</v>
      </c>
      <c r="BM39" s="3123">
        <f t="shared" si="28"/>
        <v>0</v>
      </c>
      <c r="BN39" s="3123">
        <f t="shared" si="29"/>
        <v>0</v>
      </c>
      <c r="BO39" s="3123">
        <f t="shared" si="30"/>
        <v>0</v>
      </c>
      <c r="BP39" s="3123">
        <f t="shared" si="31"/>
        <v>0</v>
      </c>
      <c r="BQ39" s="3123">
        <f t="shared" si="32"/>
        <v>0</v>
      </c>
      <c r="BR39" s="3123">
        <f t="shared" si="33"/>
        <v>0</v>
      </c>
      <c r="BS39" s="3123">
        <f t="shared" si="34"/>
        <v>0</v>
      </c>
      <c r="BT39" s="3175">
        <f t="shared" si="35"/>
        <v>0</v>
      </c>
    </row>
    <row r="40" spans="1:72">
      <c r="A40" s="3120"/>
      <c r="B40" s="3121"/>
      <c r="C40" s="3121"/>
      <c r="D40" s="3122"/>
      <c r="E40" s="3123">
        <f t="shared" si="7"/>
        <v>0</v>
      </c>
      <c r="F40" s="3124"/>
      <c r="G40" s="3125">
        <f t="shared" si="8"/>
        <v>0</v>
      </c>
      <c r="H40" s="3126">
        <f t="shared" si="9"/>
        <v>0</v>
      </c>
      <c r="I40" s="3133"/>
      <c r="J40" s="3133"/>
      <c r="K40" s="3133"/>
      <c r="L40" s="3133"/>
      <c r="M40" s="3133"/>
      <c r="N40" s="3133"/>
      <c r="O40" s="3133"/>
      <c r="P40" s="3133"/>
      <c r="Q40" s="3133"/>
      <c r="R40" s="3133"/>
      <c r="S40" s="3133"/>
      <c r="T40" s="3133"/>
      <c r="U40" s="3133"/>
      <c r="V40" s="3133"/>
      <c r="W40" s="3133"/>
      <c r="X40" s="3133"/>
      <c r="Y40" s="3133"/>
      <c r="Z40" s="3133"/>
      <c r="AA40" s="3133"/>
      <c r="AB40" s="3133"/>
      <c r="AC40" s="3123">
        <f t="shared" si="10"/>
        <v>0</v>
      </c>
      <c r="AD40" s="3143"/>
      <c r="AE40" s="3143"/>
      <c r="AF40" s="3143"/>
      <c r="AG40" s="3143"/>
      <c r="AH40" s="3143"/>
      <c r="AI40" s="3143"/>
      <c r="AJ40" s="3143"/>
      <c r="AK40" s="3143"/>
      <c r="AL40" s="3143"/>
      <c r="AM40" s="3143"/>
      <c r="AN40" s="3143"/>
      <c r="AO40" s="3143"/>
      <c r="AP40" s="3143"/>
      <c r="AQ40" s="3143"/>
      <c r="AR40" s="3143"/>
      <c r="AS40" s="3143"/>
      <c r="AT40" s="3153"/>
      <c r="AU40" s="3154"/>
      <c r="AV40" s="270">
        <f t="shared" si="11"/>
        <v>0</v>
      </c>
      <c r="AW40" s="270">
        <f t="shared" si="12"/>
        <v>0</v>
      </c>
      <c r="AX40" s="270">
        <f t="shared" si="13"/>
        <v>0</v>
      </c>
      <c r="AY40" s="3168">
        <f t="shared" si="14"/>
        <v>0</v>
      </c>
      <c r="AZ40" s="3123">
        <f t="shared" si="15"/>
        <v>0</v>
      </c>
      <c r="BA40" s="3123">
        <f t="shared" si="16"/>
        <v>0</v>
      </c>
      <c r="BB40" s="3123">
        <f t="shared" si="17"/>
        <v>0</v>
      </c>
      <c r="BC40" s="3123">
        <f t="shared" si="18"/>
        <v>0</v>
      </c>
      <c r="BD40" s="3123">
        <f t="shared" si="19"/>
        <v>0</v>
      </c>
      <c r="BE40" s="3123">
        <f t="shared" si="20"/>
        <v>0</v>
      </c>
      <c r="BF40" s="3123">
        <f t="shared" si="21"/>
        <v>0</v>
      </c>
      <c r="BG40" s="3123">
        <f t="shared" si="22"/>
        <v>0</v>
      </c>
      <c r="BH40" s="3123">
        <f t="shared" si="23"/>
        <v>0</v>
      </c>
      <c r="BI40" s="3123">
        <f t="shared" si="24"/>
        <v>0</v>
      </c>
      <c r="BJ40" s="3123">
        <f t="shared" si="25"/>
        <v>0</v>
      </c>
      <c r="BK40" s="3123">
        <f t="shared" si="26"/>
        <v>0</v>
      </c>
      <c r="BL40" s="3123">
        <f t="shared" si="27"/>
        <v>0</v>
      </c>
      <c r="BM40" s="3123">
        <f t="shared" si="28"/>
        <v>0</v>
      </c>
      <c r="BN40" s="3123">
        <f t="shared" si="29"/>
        <v>0</v>
      </c>
      <c r="BO40" s="3123">
        <f t="shared" si="30"/>
        <v>0</v>
      </c>
      <c r="BP40" s="3123">
        <f t="shared" si="31"/>
        <v>0</v>
      </c>
      <c r="BQ40" s="3123">
        <f t="shared" si="32"/>
        <v>0</v>
      </c>
      <c r="BR40" s="3123">
        <f t="shared" si="33"/>
        <v>0</v>
      </c>
      <c r="BS40" s="3123">
        <f t="shared" si="34"/>
        <v>0</v>
      </c>
      <c r="BT40" s="3175">
        <f t="shared" si="35"/>
        <v>0</v>
      </c>
    </row>
    <row r="41" spans="1:72">
      <c r="A41" s="3120"/>
      <c r="B41" s="3121"/>
      <c r="C41" s="3121"/>
      <c r="D41" s="3122"/>
      <c r="E41" s="3123">
        <f t="shared" si="7"/>
        <v>0</v>
      </c>
      <c r="F41" s="3124"/>
      <c r="G41" s="3125">
        <f t="shared" si="8"/>
        <v>0</v>
      </c>
      <c r="H41" s="3126">
        <f t="shared" si="9"/>
        <v>0</v>
      </c>
      <c r="I41" s="3133"/>
      <c r="J41" s="3133"/>
      <c r="K41" s="3133"/>
      <c r="L41" s="3133"/>
      <c r="M41" s="3133"/>
      <c r="N41" s="3133"/>
      <c r="O41" s="3133"/>
      <c r="P41" s="3133"/>
      <c r="Q41" s="3133"/>
      <c r="R41" s="3133"/>
      <c r="S41" s="3133"/>
      <c r="T41" s="3133"/>
      <c r="U41" s="3133"/>
      <c r="V41" s="3133"/>
      <c r="W41" s="3133"/>
      <c r="X41" s="3133"/>
      <c r="Y41" s="3133"/>
      <c r="Z41" s="3133"/>
      <c r="AA41" s="3133"/>
      <c r="AB41" s="3133"/>
      <c r="AC41" s="3123">
        <f t="shared" si="10"/>
        <v>0</v>
      </c>
      <c r="AD41" s="3143"/>
      <c r="AE41" s="3143"/>
      <c r="AF41" s="3143"/>
      <c r="AG41" s="3143"/>
      <c r="AH41" s="3143"/>
      <c r="AI41" s="3143"/>
      <c r="AJ41" s="3143"/>
      <c r="AK41" s="3143"/>
      <c r="AL41" s="3143"/>
      <c r="AM41" s="3143"/>
      <c r="AN41" s="3143"/>
      <c r="AO41" s="3143"/>
      <c r="AP41" s="3143"/>
      <c r="AQ41" s="3143"/>
      <c r="AR41" s="3143"/>
      <c r="AS41" s="3143"/>
      <c r="AT41" s="3153"/>
      <c r="AU41" s="3154"/>
      <c r="AV41" s="270">
        <f t="shared" si="11"/>
        <v>0</v>
      </c>
      <c r="AW41" s="270">
        <f t="shared" si="12"/>
        <v>0</v>
      </c>
      <c r="AX41" s="270">
        <f t="shared" si="13"/>
        <v>0</v>
      </c>
      <c r="AY41" s="3168">
        <f t="shared" si="14"/>
        <v>0</v>
      </c>
      <c r="AZ41" s="3123">
        <f t="shared" si="15"/>
        <v>0</v>
      </c>
      <c r="BA41" s="3123">
        <f t="shared" si="16"/>
        <v>0</v>
      </c>
      <c r="BB41" s="3123">
        <f t="shared" si="17"/>
        <v>0</v>
      </c>
      <c r="BC41" s="3123">
        <f t="shared" si="18"/>
        <v>0</v>
      </c>
      <c r="BD41" s="3123">
        <f t="shared" si="19"/>
        <v>0</v>
      </c>
      <c r="BE41" s="3123">
        <f t="shared" si="20"/>
        <v>0</v>
      </c>
      <c r="BF41" s="3123">
        <f t="shared" si="21"/>
        <v>0</v>
      </c>
      <c r="BG41" s="3123">
        <f t="shared" si="22"/>
        <v>0</v>
      </c>
      <c r="BH41" s="3123">
        <f t="shared" si="23"/>
        <v>0</v>
      </c>
      <c r="BI41" s="3123">
        <f t="shared" si="24"/>
        <v>0</v>
      </c>
      <c r="BJ41" s="3123">
        <f t="shared" si="25"/>
        <v>0</v>
      </c>
      <c r="BK41" s="3123">
        <f t="shared" si="26"/>
        <v>0</v>
      </c>
      <c r="BL41" s="3123">
        <f t="shared" si="27"/>
        <v>0</v>
      </c>
      <c r="BM41" s="3123">
        <f t="shared" si="28"/>
        <v>0</v>
      </c>
      <c r="BN41" s="3123">
        <f t="shared" si="29"/>
        <v>0</v>
      </c>
      <c r="BO41" s="3123">
        <f t="shared" si="30"/>
        <v>0</v>
      </c>
      <c r="BP41" s="3123">
        <f t="shared" si="31"/>
        <v>0</v>
      </c>
      <c r="BQ41" s="3123">
        <f t="shared" si="32"/>
        <v>0</v>
      </c>
      <c r="BR41" s="3123">
        <f t="shared" si="33"/>
        <v>0</v>
      </c>
      <c r="BS41" s="3123">
        <f t="shared" si="34"/>
        <v>0</v>
      </c>
      <c r="BT41" s="3175">
        <f t="shared" si="35"/>
        <v>0</v>
      </c>
    </row>
    <row r="42" spans="1:72">
      <c r="A42" s="3120"/>
      <c r="B42" s="3121"/>
      <c r="C42" s="3121"/>
      <c r="D42" s="3122"/>
      <c r="E42" s="3123">
        <f t="shared" si="7"/>
        <v>0</v>
      </c>
      <c r="F42" s="3124"/>
      <c r="G42" s="3125">
        <f t="shared" si="8"/>
        <v>0</v>
      </c>
      <c r="H42" s="3126">
        <f t="shared" si="9"/>
        <v>0</v>
      </c>
      <c r="I42" s="3133"/>
      <c r="J42" s="3133"/>
      <c r="K42" s="3133"/>
      <c r="L42" s="3133"/>
      <c r="M42" s="3133"/>
      <c r="N42" s="3133"/>
      <c r="O42" s="3133"/>
      <c r="P42" s="3133"/>
      <c r="Q42" s="3133"/>
      <c r="R42" s="3133"/>
      <c r="S42" s="3133"/>
      <c r="T42" s="3133"/>
      <c r="U42" s="3133"/>
      <c r="V42" s="3133"/>
      <c r="W42" s="3133"/>
      <c r="X42" s="3133"/>
      <c r="Y42" s="3133"/>
      <c r="Z42" s="3133"/>
      <c r="AA42" s="3133"/>
      <c r="AB42" s="3133"/>
      <c r="AC42" s="3123">
        <f t="shared" si="10"/>
        <v>0</v>
      </c>
      <c r="AD42" s="3143"/>
      <c r="AE42" s="3143"/>
      <c r="AF42" s="3143"/>
      <c r="AG42" s="3143"/>
      <c r="AH42" s="3143"/>
      <c r="AI42" s="3143"/>
      <c r="AJ42" s="3143"/>
      <c r="AK42" s="3143"/>
      <c r="AL42" s="3143"/>
      <c r="AM42" s="3143"/>
      <c r="AN42" s="3143"/>
      <c r="AO42" s="3143"/>
      <c r="AP42" s="3143"/>
      <c r="AQ42" s="3143"/>
      <c r="AR42" s="3143"/>
      <c r="AS42" s="3143"/>
      <c r="AT42" s="3153"/>
      <c r="AU42" s="3154"/>
      <c r="AV42" s="270">
        <f t="shared" si="11"/>
        <v>0</v>
      </c>
      <c r="AW42" s="270">
        <f t="shared" si="12"/>
        <v>0</v>
      </c>
      <c r="AX42" s="270">
        <f t="shared" si="13"/>
        <v>0</v>
      </c>
      <c r="AY42" s="3168">
        <f t="shared" si="14"/>
        <v>0</v>
      </c>
      <c r="AZ42" s="3123">
        <f t="shared" si="15"/>
        <v>0</v>
      </c>
      <c r="BA42" s="3123">
        <f t="shared" si="16"/>
        <v>0</v>
      </c>
      <c r="BB42" s="3123">
        <f t="shared" si="17"/>
        <v>0</v>
      </c>
      <c r="BC42" s="3123">
        <f t="shared" si="18"/>
        <v>0</v>
      </c>
      <c r="BD42" s="3123">
        <f t="shared" si="19"/>
        <v>0</v>
      </c>
      <c r="BE42" s="3123">
        <f t="shared" si="20"/>
        <v>0</v>
      </c>
      <c r="BF42" s="3123">
        <f t="shared" si="21"/>
        <v>0</v>
      </c>
      <c r="BG42" s="3123">
        <f t="shared" si="22"/>
        <v>0</v>
      </c>
      <c r="BH42" s="3123">
        <f t="shared" si="23"/>
        <v>0</v>
      </c>
      <c r="BI42" s="3123">
        <f t="shared" si="24"/>
        <v>0</v>
      </c>
      <c r="BJ42" s="3123">
        <f t="shared" si="25"/>
        <v>0</v>
      </c>
      <c r="BK42" s="3123">
        <f t="shared" si="26"/>
        <v>0</v>
      </c>
      <c r="BL42" s="3123">
        <f t="shared" si="27"/>
        <v>0</v>
      </c>
      <c r="BM42" s="3123">
        <f t="shared" si="28"/>
        <v>0</v>
      </c>
      <c r="BN42" s="3123">
        <f t="shared" si="29"/>
        <v>0</v>
      </c>
      <c r="BO42" s="3123">
        <f t="shared" si="30"/>
        <v>0</v>
      </c>
      <c r="BP42" s="3123">
        <f t="shared" si="31"/>
        <v>0</v>
      </c>
      <c r="BQ42" s="3123">
        <f t="shared" si="32"/>
        <v>0</v>
      </c>
      <c r="BR42" s="3123">
        <f t="shared" si="33"/>
        <v>0</v>
      </c>
      <c r="BS42" s="3123">
        <f t="shared" si="34"/>
        <v>0</v>
      </c>
      <c r="BT42" s="3175">
        <f t="shared" si="35"/>
        <v>0</v>
      </c>
    </row>
    <row r="43" spans="1:72">
      <c r="A43" s="3120"/>
      <c r="B43" s="3121"/>
      <c r="C43" s="3121"/>
      <c r="D43" s="3122"/>
      <c r="E43" s="3123">
        <f t="shared" si="7"/>
        <v>0</v>
      </c>
      <c r="F43" s="3124"/>
      <c r="G43" s="3125">
        <f t="shared" si="8"/>
        <v>0</v>
      </c>
      <c r="H43" s="3126">
        <f t="shared" si="9"/>
        <v>0</v>
      </c>
      <c r="I43" s="3133"/>
      <c r="J43" s="3133"/>
      <c r="K43" s="3133"/>
      <c r="L43" s="3133"/>
      <c r="M43" s="3133"/>
      <c r="N43" s="3133"/>
      <c r="O43" s="3133"/>
      <c r="P43" s="3133"/>
      <c r="Q43" s="3133"/>
      <c r="R43" s="3133"/>
      <c r="S43" s="3133"/>
      <c r="T43" s="3133"/>
      <c r="U43" s="3133"/>
      <c r="V43" s="3133"/>
      <c r="W43" s="3133"/>
      <c r="X43" s="3133"/>
      <c r="Y43" s="3133"/>
      <c r="Z43" s="3133"/>
      <c r="AA43" s="3133"/>
      <c r="AB43" s="3133"/>
      <c r="AC43" s="3123">
        <f t="shared" si="10"/>
        <v>0</v>
      </c>
      <c r="AD43" s="3143"/>
      <c r="AE43" s="3143"/>
      <c r="AF43" s="3143"/>
      <c r="AG43" s="3143"/>
      <c r="AH43" s="3143"/>
      <c r="AI43" s="3143"/>
      <c r="AJ43" s="3143"/>
      <c r="AK43" s="3143"/>
      <c r="AL43" s="3143"/>
      <c r="AM43" s="3143"/>
      <c r="AN43" s="3143"/>
      <c r="AO43" s="3143"/>
      <c r="AP43" s="3143"/>
      <c r="AQ43" s="3143"/>
      <c r="AR43" s="3143"/>
      <c r="AS43" s="3143"/>
      <c r="AT43" s="3153"/>
      <c r="AU43" s="3154"/>
      <c r="AV43" s="270">
        <f t="shared" si="11"/>
        <v>0</v>
      </c>
      <c r="AW43" s="270">
        <f t="shared" si="12"/>
        <v>0</v>
      </c>
      <c r="AX43" s="270">
        <f t="shared" si="13"/>
        <v>0</v>
      </c>
      <c r="AY43" s="3168">
        <f t="shared" si="14"/>
        <v>0</v>
      </c>
      <c r="AZ43" s="3123">
        <f t="shared" si="15"/>
        <v>0</v>
      </c>
      <c r="BA43" s="3123">
        <f t="shared" si="16"/>
        <v>0</v>
      </c>
      <c r="BB43" s="3123">
        <f t="shared" si="17"/>
        <v>0</v>
      </c>
      <c r="BC43" s="3123">
        <f t="shared" si="18"/>
        <v>0</v>
      </c>
      <c r="BD43" s="3123">
        <f t="shared" si="19"/>
        <v>0</v>
      </c>
      <c r="BE43" s="3123">
        <f t="shared" si="20"/>
        <v>0</v>
      </c>
      <c r="BF43" s="3123">
        <f t="shared" si="21"/>
        <v>0</v>
      </c>
      <c r="BG43" s="3123">
        <f t="shared" si="22"/>
        <v>0</v>
      </c>
      <c r="BH43" s="3123">
        <f t="shared" si="23"/>
        <v>0</v>
      </c>
      <c r="BI43" s="3123">
        <f t="shared" si="24"/>
        <v>0</v>
      </c>
      <c r="BJ43" s="3123">
        <f t="shared" si="25"/>
        <v>0</v>
      </c>
      <c r="BK43" s="3123">
        <f t="shared" si="26"/>
        <v>0</v>
      </c>
      <c r="BL43" s="3123">
        <f t="shared" si="27"/>
        <v>0</v>
      </c>
      <c r="BM43" s="3123">
        <f t="shared" si="28"/>
        <v>0</v>
      </c>
      <c r="BN43" s="3123">
        <f t="shared" si="29"/>
        <v>0</v>
      </c>
      <c r="BO43" s="3123">
        <f t="shared" si="30"/>
        <v>0</v>
      </c>
      <c r="BP43" s="3123">
        <f t="shared" si="31"/>
        <v>0</v>
      </c>
      <c r="BQ43" s="3123">
        <f t="shared" si="32"/>
        <v>0</v>
      </c>
      <c r="BR43" s="3123">
        <f t="shared" si="33"/>
        <v>0</v>
      </c>
      <c r="BS43" s="3123">
        <f t="shared" si="34"/>
        <v>0</v>
      </c>
      <c r="BT43" s="3175">
        <f t="shared" si="35"/>
        <v>0</v>
      </c>
    </row>
    <row r="44" spans="1:72">
      <c r="A44" s="3120"/>
      <c r="B44" s="3121"/>
      <c r="C44" s="3121"/>
      <c r="D44" s="3122"/>
      <c r="E44" s="3123">
        <f t="shared" si="7"/>
        <v>0</v>
      </c>
      <c r="F44" s="3124"/>
      <c r="G44" s="3125">
        <f t="shared" si="8"/>
        <v>0</v>
      </c>
      <c r="H44" s="3126">
        <f t="shared" si="9"/>
        <v>0</v>
      </c>
      <c r="I44" s="3133"/>
      <c r="J44" s="3133"/>
      <c r="K44" s="3133"/>
      <c r="L44" s="3133"/>
      <c r="M44" s="3133"/>
      <c r="N44" s="3133"/>
      <c r="O44" s="3133"/>
      <c r="P44" s="3133"/>
      <c r="Q44" s="3133"/>
      <c r="R44" s="3133"/>
      <c r="S44" s="3133"/>
      <c r="T44" s="3133"/>
      <c r="U44" s="3133"/>
      <c r="V44" s="3133"/>
      <c r="W44" s="3133"/>
      <c r="X44" s="3133"/>
      <c r="Y44" s="3133"/>
      <c r="Z44" s="3133"/>
      <c r="AA44" s="3133"/>
      <c r="AB44" s="3133"/>
      <c r="AC44" s="3123">
        <f t="shared" si="10"/>
        <v>0</v>
      </c>
      <c r="AD44" s="3143"/>
      <c r="AE44" s="3143"/>
      <c r="AF44" s="3143"/>
      <c r="AG44" s="3143"/>
      <c r="AH44" s="3143"/>
      <c r="AI44" s="3143"/>
      <c r="AJ44" s="3143"/>
      <c r="AK44" s="3143"/>
      <c r="AL44" s="3143"/>
      <c r="AM44" s="3143"/>
      <c r="AN44" s="3143"/>
      <c r="AO44" s="3143"/>
      <c r="AP44" s="3143"/>
      <c r="AQ44" s="3143"/>
      <c r="AR44" s="3143"/>
      <c r="AS44" s="3143"/>
      <c r="AT44" s="3153"/>
      <c r="AU44" s="3154"/>
      <c r="AV44" s="270">
        <f t="shared" si="11"/>
        <v>0</v>
      </c>
      <c r="AW44" s="270">
        <f t="shared" si="12"/>
        <v>0</v>
      </c>
      <c r="AX44" s="270">
        <f t="shared" si="13"/>
        <v>0</v>
      </c>
      <c r="AY44" s="3168">
        <f t="shared" si="14"/>
        <v>0</v>
      </c>
      <c r="AZ44" s="3123">
        <f t="shared" si="15"/>
        <v>0</v>
      </c>
      <c r="BA44" s="3123">
        <f t="shared" si="16"/>
        <v>0</v>
      </c>
      <c r="BB44" s="3123">
        <f t="shared" si="17"/>
        <v>0</v>
      </c>
      <c r="BC44" s="3123">
        <f t="shared" si="18"/>
        <v>0</v>
      </c>
      <c r="BD44" s="3123">
        <f t="shared" si="19"/>
        <v>0</v>
      </c>
      <c r="BE44" s="3123">
        <f t="shared" si="20"/>
        <v>0</v>
      </c>
      <c r="BF44" s="3123">
        <f t="shared" si="21"/>
        <v>0</v>
      </c>
      <c r="BG44" s="3123">
        <f t="shared" si="22"/>
        <v>0</v>
      </c>
      <c r="BH44" s="3123">
        <f t="shared" si="23"/>
        <v>0</v>
      </c>
      <c r="BI44" s="3123">
        <f t="shared" si="24"/>
        <v>0</v>
      </c>
      <c r="BJ44" s="3123">
        <f t="shared" si="25"/>
        <v>0</v>
      </c>
      <c r="BK44" s="3123">
        <f t="shared" si="26"/>
        <v>0</v>
      </c>
      <c r="BL44" s="3123">
        <f t="shared" si="27"/>
        <v>0</v>
      </c>
      <c r="BM44" s="3123">
        <f t="shared" si="28"/>
        <v>0</v>
      </c>
      <c r="BN44" s="3123">
        <f t="shared" si="29"/>
        <v>0</v>
      </c>
      <c r="BO44" s="3123">
        <f t="shared" si="30"/>
        <v>0</v>
      </c>
      <c r="BP44" s="3123">
        <f t="shared" si="31"/>
        <v>0</v>
      </c>
      <c r="BQ44" s="3123">
        <f t="shared" si="32"/>
        <v>0</v>
      </c>
      <c r="BR44" s="3123">
        <f t="shared" si="33"/>
        <v>0</v>
      </c>
      <c r="BS44" s="3123">
        <f t="shared" si="34"/>
        <v>0</v>
      </c>
      <c r="BT44" s="3175">
        <f t="shared" si="35"/>
        <v>0</v>
      </c>
    </row>
    <row r="45" spans="1:72">
      <c r="A45" s="3120"/>
      <c r="B45" s="3121"/>
      <c r="C45" s="3121"/>
      <c r="D45" s="3122"/>
      <c r="E45" s="3123">
        <f t="shared" si="7"/>
        <v>0</v>
      </c>
      <c r="F45" s="3124"/>
      <c r="G45" s="3125">
        <f t="shared" si="8"/>
        <v>0</v>
      </c>
      <c r="H45" s="3126">
        <f t="shared" si="9"/>
        <v>0</v>
      </c>
      <c r="I45" s="3133"/>
      <c r="J45" s="3133"/>
      <c r="K45" s="3133"/>
      <c r="L45" s="3133"/>
      <c r="M45" s="3133"/>
      <c r="N45" s="3133"/>
      <c r="O45" s="3133"/>
      <c r="P45" s="3133"/>
      <c r="Q45" s="3133"/>
      <c r="R45" s="3133"/>
      <c r="S45" s="3133"/>
      <c r="T45" s="3133"/>
      <c r="U45" s="3133"/>
      <c r="V45" s="3133"/>
      <c r="W45" s="3133"/>
      <c r="X45" s="3133"/>
      <c r="Y45" s="3133"/>
      <c r="Z45" s="3133"/>
      <c r="AA45" s="3133"/>
      <c r="AB45" s="3133"/>
      <c r="AC45" s="3123">
        <f t="shared" si="10"/>
        <v>0</v>
      </c>
      <c r="AD45" s="3143"/>
      <c r="AE45" s="3143"/>
      <c r="AF45" s="3143"/>
      <c r="AG45" s="3143"/>
      <c r="AH45" s="3143"/>
      <c r="AI45" s="3143"/>
      <c r="AJ45" s="3143"/>
      <c r="AK45" s="3143"/>
      <c r="AL45" s="3143"/>
      <c r="AM45" s="3143"/>
      <c r="AN45" s="3143"/>
      <c r="AO45" s="3143"/>
      <c r="AP45" s="3143"/>
      <c r="AQ45" s="3143"/>
      <c r="AR45" s="3143"/>
      <c r="AS45" s="3143"/>
      <c r="AT45" s="3153"/>
      <c r="AU45" s="3154"/>
      <c r="AV45" s="270">
        <f t="shared" si="11"/>
        <v>0</v>
      </c>
      <c r="AW45" s="270">
        <f t="shared" si="12"/>
        <v>0</v>
      </c>
      <c r="AX45" s="270">
        <f t="shared" si="13"/>
        <v>0</v>
      </c>
      <c r="AY45" s="3168">
        <f t="shared" si="14"/>
        <v>0</v>
      </c>
      <c r="AZ45" s="3123">
        <f t="shared" si="15"/>
        <v>0</v>
      </c>
      <c r="BA45" s="3123">
        <f t="shared" si="16"/>
        <v>0</v>
      </c>
      <c r="BB45" s="3123">
        <f t="shared" si="17"/>
        <v>0</v>
      </c>
      <c r="BC45" s="3123">
        <f t="shared" si="18"/>
        <v>0</v>
      </c>
      <c r="BD45" s="3123">
        <f t="shared" si="19"/>
        <v>0</v>
      </c>
      <c r="BE45" s="3123">
        <f t="shared" si="20"/>
        <v>0</v>
      </c>
      <c r="BF45" s="3123">
        <f t="shared" si="21"/>
        <v>0</v>
      </c>
      <c r="BG45" s="3123">
        <f t="shared" si="22"/>
        <v>0</v>
      </c>
      <c r="BH45" s="3123">
        <f t="shared" si="23"/>
        <v>0</v>
      </c>
      <c r="BI45" s="3123">
        <f t="shared" si="24"/>
        <v>0</v>
      </c>
      <c r="BJ45" s="3123">
        <f t="shared" si="25"/>
        <v>0</v>
      </c>
      <c r="BK45" s="3123">
        <f t="shared" si="26"/>
        <v>0</v>
      </c>
      <c r="BL45" s="3123">
        <f t="shared" si="27"/>
        <v>0</v>
      </c>
      <c r="BM45" s="3123">
        <f t="shared" si="28"/>
        <v>0</v>
      </c>
      <c r="BN45" s="3123">
        <f t="shared" si="29"/>
        <v>0</v>
      </c>
      <c r="BO45" s="3123">
        <f t="shared" si="30"/>
        <v>0</v>
      </c>
      <c r="BP45" s="3123">
        <f t="shared" si="31"/>
        <v>0</v>
      </c>
      <c r="BQ45" s="3123">
        <f t="shared" si="32"/>
        <v>0</v>
      </c>
      <c r="BR45" s="3123">
        <f t="shared" si="33"/>
        <v>0</v>
      </c>
      <c r="BS45" s="3123">
        <f t="shared" si="34"/>
        <v>0</v>
      </c>
      <c r="BT45" s="3175">
        <f t="shared" si="35"/>
        <v>0</v>
      </c>
    </row>
    <row r="46" spans="1:72">
      <c r="A46" s="3120"/>
      <c r="B46" s="3121"/>
      <c r="C46" s="3121"/>
      <c r="D46" s="3122"/>
      <c r="E46" s="3123">
        <f t="shared" si="7"/>
        <v>0</v>
      </c>
      <c r="F46" s="3124"/>
      <c r="G46" s="3125">
        <f t="shared" si="8"/>
        <v>0</v>
      </c>
      <c r="H46" s="3126">
        <f t="shared" si="9"/>
        <v>0</v>
      </c>
      <c r="I46" s="3133"/>
      <c r="J46" s="3133"/>
      <c r="K46" s="3133"/>
      <c r="L46" s="3133"/>
      <c r="M46" s="3133"/>
      <c r="N46" s="3133"/>
      <c r="O46" s="3133"/>
      <c r="P46" s="3133"/>
      <c r="Q46" s="3133"/>
      <c r="R46" s="3133"/>
      <c r="S46" s="3133"/>
      <c r="T46" s="3133"/>
      <c r="U46" s="3133"/>
      <c r="V46" s="3133"/>
      <c r="W46" s="3133"/>
      <c r="X46" s="3133"/>
      <c r="Y46" s="3133"/>
      <c r="Z46" s="3133"/>
      <c r="AA46" s="3133"/>
      <c r="AB46" s="3133"/>
      <c r="AC46" s="3123">
        <f t="shared" si="10"/>
        <v>0</v>
      </c>
      <c r="AD46" s="3143"/>
      <c r="AE46" s="3143"/>
      <c r="AF46" s="3143"/>
      <c r="AG46" s="3143"/>
      <c r="AH46" s="3143"/>
      <c r="AI46" s="3143"/>
      <c r="AJ46" s="3143"/>
      <c r="AK46" s="3143"/>
      <c r="AL46" s="3143"/>
      <c r="AM46" s="3143"/>
      <c r="AN46" s="3143"/>
      <c r="AO46" s="3143"/>
      <c r="AP46" s="3143"/>
      <c r="AQ46" s="3143"/>
      <c r="AR46" s="3143"/>
      <c r="AS46" s="3143"/>
      <c r="AT46" s="3153"/>
      <c r="AU46" s="3154"/>
      <c r="AV46" s="270">
        <f t="shared" si="11"/>
        <v>0</v>
      </c>
      <c r="AW46" s="270">
        <f t="shared" si="12"/>
        <v>0</v>
      </c>
      <c r="AX46" s="270">
        <f t="shared" si="13"/>
        <v>0</v>
      </c>
      <c r="AY46" s="3168">
        <f t="shared" si="14"/>
        <v>0</v>
      </c>
      <c r="AZ46" s="3123">
        <f t="shared" si="15"/>
        <v>0</v>
      </c>
      <c r="BA46" s="3123">
        <f t="shared" si="16"/>
        <v>0</v>
      </c>
      <c r="BB46" s="3123">
        <f t="shared" si="17"/>
        <v>0</v>
      </c>
      <c r="BC46" s="3123">
        <f t="shared" si="18"/>
        <v>0</v>
      </c>
      <c r="BD46" s="3123">
        <f t="shared" si="19"/>
        <v>0</v>
      </c>
      <c r="BE46" s="3123">
        <f t="shared" si="20"/>
        <v>0</v>
      </c>
      <c r="BF46" s="3123">
        <f t="shared" si="21"/>
        <v>0</v>
      </c>
      <c r="BG46" s="3123">
        <f t="shared" si="22"/>
        <v>0</v>
      </c>
      <c r="BH46" s="3123">
        <f t="shared" si="23"/>
        <v>0</v>
      </c>
      <c r="BI46" s="3123">
        <f t="shared" si="24"/>
        <v>0</v>
      </c>
      <c r="BJ46" s="3123">
        <f t="shared" si="25"/>
        <v>0</v>
      </c>
      <c r="BK46" s="3123">
        <f t="shared" si="26"/>
        <v>0</v>
      </c>
      <c r="BL46" s="3123">
        <f t="shared" si="27"/>
        <v>0</v>
      </c>
      <c r="BM46" s="3123">
        <f t="shared" si="28"/>
        <v>0</v>
      </c>
      <c r="BN46" s="3123">
        <f t="shared" si="29"/>
        <v>0</v>
      </c>
      <c r="BO46" s="3123">
        <f t="shared" si="30"/>
        <v>0</v>
      </c>
      <c r="BP46" s="3123">
        <f t="shared" si="31"/>
        <v>0</v>
      </c>
      <c r="BQ46" s="3123">
        <f t="shared" si="32"/>
        <v>0</v>
      </c>
      <c r="BR46" s="3123">
        <f t="shared" si="33"/>
        <v>0</v>
      </c>
      <c r="BS46" s="3123">
        <f t="shared" si="34"/>
        <v>0</v>
      </c>
      <c r="BT46" s="3175">
        <f t="shared" si="35"/>
        <v>0</v>
      </c>
    </row>
    <row r="47" spans="1:72">
      <c r="A47" s="3120"/>
      <c r="B47" s="3121"/>
      <c r="C47" s="3121"/>
      <c r="D47" s="3122"/>
      <c r="E47" s="3123">
        <f t="shared" si="7"/>
        <v>0</v>
      </c>
      <c r="F47" s="3124"/>
      <c r="G47" s="3125">
        <f t="shared" si="8"/>
        <v>0</v>
      </c>
      <c r="H47" s="3126">
        <f t="shared" si="9"/>
        <v>0</v>
      </c>
      <c r="I47" s="3133"/>
      <c r="J47" s="3133"/>
      <c r="K47" s="3133"/>
      <c r="L47" s="3133"/>
      <c r="M47" s="3133"/>
      <c r="N47" s="3133"/>
      <c r="O47" s="3133"/>
      <c r="P47" s="3133"/>
      <c r="Q47" s="3133"/>
      <c r="R47" s="3133"/>
      <c r="S47" s="3133"/>
      <c r="T47" s="3133"/>
      <c r="U47" s="3133"/>
      <c r="V47" s="3133"/>
      <c r="W47" s="3133"/>
      <c r="X47" s="3133"/>
      <c r="Y47" s="3133"/>
      <c r="Z47" s="3133"/>
      <c r="AA47" s="3133"/>
      <c r="AB47" s="3133"/>
      <c r="AC47" s="3123">
        <f t="shared" si="10"/>
        <v>0</v>
      </c>
      <c r="AD47" s="3143"/>
      <c r="AE47" s="3143"/>
      <c r="AF47" s="3143"/>
      <c r="AG47" s="3143"/>
      <c r="AH47" s="3143"/>
      <c r="AI47" s="3143"/>
      <c r="AJ47" s="3143"/>
      <c r="AK47" s="3143"/>
      <c r="AL47" s="3143"/>
      <c r="AM47" s="3143"/>
      <c r="AN47" s="3143"/>
      <c r="AO47" s="3143"/>
      <c r="AP47" s="3143"/>
      <c r="AQ47" s="3143"/>
      <c r="AR47" s="3143"/>
      <c r="AS47" s="3143"/>
      <c r="AT47" s="3153"/>
      <c r="AU47" s="3154"/>
      <c r="AV47" s="270">
        <f t="shared" si="11"/>
        <v>0</v>
      </c>
      <c r="AW47" s="270">
        <f t="shared" si="12"/>
        <v>0</v>
      </c>
      <c r="AX47" s="270">
        <f t="shared" si="13"/>
        <v>0</v>
      </c>
      <c r="AY47" s="3168">
        <f t="shared" si="14"/>
        <v>0</v>
      </c>
      <c r="AZ47" s="3123">
        <f t="shared" si="15"/>
        <v>0</v>
      </c>
      <c r="BA47" s="3123">
        <f t="shared" si="16"/>
        <v>0</v>
      </c>
      <c r="BB47" s="3123">
        <f t="shared" si="17"/>
        <v>0</v>
      </c>
      <c r="BC47" s="3123">
        <f t="shared" si="18"/>
        <v>0</v>
      </c>
      <c r="BD47" s="3123">
        <f t="shared" si="19"/>
        <v>0</v>
      </c>
      <c r="BE47" s="3123">
        <f t="shared" si="20"/>
        <v>0</v>
      </c>
      <c r="BF47" s="3123">
        <f t="shared" si="21"/>
        <v>0</v>
      </c>
      <c r="BG47" s="3123">
        <f t="shared" si="22"/>
        <v>0</v>
      </c>
      <c r="BH47" s="3123">
        <f t="shared" si="23"/>
        <v>0</v>
      </c>
      <c r="BI47" s="3123">
        <f t="shared" si="24"/>
        <v>0</v>
      </c>
      <c r="BJ47" s="3123">
        <f t="shared" si="25"/>
        <v>0</v>
      </c>
      <c r="BK47" s="3123">
        <f t="shared" si="26"/>
        <v>0</v>
      </c>
      <c r="BL47" s="3123">
        <f t="shared" si="27"/>
        <v>0</v>
      </c>
      <c r="BM47" s="3123">
        <f t="shared" si="28"/>
        <v>0</v>
      </c>
      <c r="BN47" s="3123">
        <f t="shared" si="29"/>
        <v>0</v>
      </c>
      <c r="BO47" s="3123">
        <f t="shared" si="30"/>
        <v>0</v>
      </c>
      <c r="BP47" s="3123">
        <f t="shared" si="31"/>
        <v>0</v>
      </c>
      <c r="BQ47" s="3123">
        <f t="shared" si="32"/>
        <v>0</v>
      </c>
      <c r="BR47" s="3123">
        <f t="shared" si="33"/>
        <v>0</v>
      </c>
      <c r="BS47" s="3123">
        <f t="shared" si="34"/>
        <v>0</v>
      </c>
      <c r="BT47" s="3175">
        <f t="shared" si="35"/>
        <v>0</v>
      </c>
    </row>
    <row r="48" spans="1:72">
      <c r="A48" s="3120"/>
      <c r="B48" s="3121"/>
      <c r="C48" s="3121"/>
      <c r="D48" s="3122"/>
      <c r="E48" s="3123">
        <f t="shared" si="7"/>
        <v>0</v>
      </c>
      <c r="F48" s="3124"/>
      <c r="G48" s="3125">
        <f t="shared" si="8"/>
        <v>0</v>
      </c>
      <c r="H48" s="3126">
        <f t="shared" si="9"/>
        <v>0</v>
      </c>
      <c r="I48" s="3133"/>
      <c r="J48" s="3133"/>
      <c r="K48" s="3133"/>
      <c r="L48" s="3133"/>
      <c r="M48" s="3133"/>
      <c r="N48" s="3133"/>
      <c r="O48" s="3133"/>
      <c r="P48" s="3133"/>
      <c r="Q48" s="3133"/>
      <c r="R48" s="3133"/>
      <c r="S48" s="3133"/>
      <c r="T48" s="3133"/>
      <c r="U48" s="3133"/>
      <c r="V48" s="3133"/>
      <c r="W48" s="3133"/>
      <c r="X48" s="3133"/>
      <c r="Y48" s="3133"/>
      <c r="Z48" s="3133"/>
      <c r="AA48" s="3133"/>
      <c r="AB48" s="3133"/>
      <c r="AC48" s="3123">
        <f t="shared" si="10"/>
        <v>0</v>
      </c>
      <c r="AD48" s="3143"/>
      <c r="AE48" s="3143"/>
      <c r="AF48" s="3143"/>
      <c r="AG48" s="3143"/>
      <c r="AH48" s="3143"/>
      <c r="AI48" s="3143"/>
      <c r="AJ48" s="3143"/>
      <c r="AK48" s="3143"/>
      <c r="AL48" s="3143"/>
      <c r="AM48" s="3143"/>
      <c r="AN48" s="3143"/>
      <c r="AO48" s="3143"/>
      <c r="AP48" s="3143"/>
      <c r="AQ48" s="3143"/>
      <c r="AR48" s="3143"/>
      <c r="AS48" s="3143"/>
      <c r="AT48" s="3153"/>
      <c r="AU48" s="3154"/>
      <c r="AV48" s="270">
        <f t="shared" si="11"/>
        <v>0</v>
      </c>
      <c r="AW48" s="270">
        <f t="shared" si="12"/>
        <v>0</v>
      </c>
      <c r="AX48" s="270">
        <f t="shared" si="13"/>
        <v>0</v>
      </c>
      <c r="AY48" s="3168">
        <f t="shared" si="14"/>
        <v>0</v>
      </c>
      <c r="AZ48" s="3123">
        <f t="shared" si="15"/>
        <v>0</v>
      </c>
      <c r="BA48" s="3123">
        <f t="shared" si="16"/>
        <v>0</v>
      </c>
      <c r="BB48" s="3123">
        <f t="shared" si="17"/>
        <v>0</v>
      </c>
      <c r="BC48" s="3123">
        <f t="shared" si="18"/>
        <v>0</v>
      </c>
      <c r="BD48" s="3123">
        <f t="shared" si="19"/>
        <v>0</v>
      </c>
      <c r="BE48" s="3123">
        <f t="shared" si="20"/>
        <v>0</v>
      </c>
      <c r="BF48" s="3123">
        <f t="shared" si="21"/>
        <v>0</v>
      </c>
      <c r="BG48" s="3123">
        <f t="shared" si="22"/>
        <v>0</v>
      </c>
      <c r="BH48" s="3123">
        <f t="shared" si="23"/>
        <v>0</v>
      </c>
      <c r="BI48" s="3123">
        <f t="shared" si="24"/>
        <v>0</v>
      </c>
      <c r="BJ48" s="3123">
        <f t="shared" si="25"/>
        <v>0</v>
      </c>
      <c r="BK48" s="3123">
        <f t="shared" si="26"/>
        <v>0</v>
      </c>
      <c r="BL48" s="3123">
        <f t="shared" si="27"/>
        <v>0</v>
      </c>
      <c r="BM48" s="3123">
        <f t="shared" si="28"/>
        <v>0</v>
      </c>
      <c r="BN48" s="3123">
        <f t="shared" si="29"/>
        <v>0</v>
      </c>
      <c r="BO48" s="3123">
        <f t="shared" si="30"/>
        <v>0</v>
      </c>
      <c r="BP48" s="3123">
        <f t="shared" si="31"/>
        <v>0</v>
      </c>
      <c r="BQ48" s="3123">
        <f t="shared" si="32"/>
        <v>0</v>
      </c>
      <c r="BR48" s="3123">
        <f t="shared" si="33"/>
        <v>0</v>
      </c>
      <c r="BS48" s="3123">
        <f t="shared" si="34"/>
        <v>0</v>
      </c>
      <c r="BT48" s="3175">
        <f t="shared" si="35"/>
        <v>0</v>
      </c>
    </row>
    <row r="49" spans="1:72">
      <c r="A49" s="3120"/>
      <c r="B49" s="3121"/>
      <c r="C49" s="3121"/>
      <c r="D49" s="3122"/>
      <c r="E49" s="3123">
        <f t="shared" si="7"/>
        <v>0</v>
      </c>
      <c r="F49" s="3124"/>
      <c r="G49" s="3125">
        <f t="shared" si="8"/>
        <v>0</v>
      </c>
      <c r="H49" s="3126">
        <f t="shared" si="9"/>
        <v>0</v>
      </c>
      <c r="I49" s="3133"/>
      <c r="J49" s="3133"/>
      <c r="K49" s="3133"/>
      <c r="L49" s="3133"/>
      <c r="M49" s="3133"/>
      <c r="N49" s="3133"/>
      <c r="O49" s="3133"/>
      <c r="P49" s="3133"/>
      <c r="Q49" s="3133"/>
      <c r="R49" s="3133"/>
      <c r="S49" s="3133"/>
      <c r="T49" s="3133"/>
      <c r="U49" s="3133"/>
      <c r="V49" s="3133"/>
      <c r="W49" s="3133"/>
      <c r="X49" s="3133"/>
      <c r="Y49" s="3133"/>
      <c r="Z49" s="3133"/>
      <c r="AA49" s="3133"/>
      <c r="AB49" s="3133"/>
      <c r="AC49" s="3123">
        <f t="shared" si="10"/>
        <v>0</v>
      </c>
      <c r="AD49" s="3143"/>
      <c r="AE49" s="3143"/>
      <c r="AF49" s="3143"/>
      <c r="AG49" s="3143"/>
      <c r="AH49" s="3143"/>
      <c r="AI49" s="3143"/>
      <c r="AJ49" s="3143"/>
      <c r="AK49" s="3143"/>
      <c r="AL49" s="3143"/>
      <c r="AM49" s="3143"/>
      <c r="AN49" s="3143"/>
      <c r="AO49" s="3143"/>
      <c r="AP49" s="3143"/>
      <c r="AQ49" s="3143"/>
      <c r="AR49" s="3143"/>
      <c r="AS49" s="3143"/>
      <c r="AT49" s="3153"/>
      <c r="AU49" s="3154"/>
      <c r="AV49" s="270">
        <f t="shared" si="11"/>
        <v>0</v>
      </c>
      <c r="AW49" s="270">
        <f t="shared" si="12"/>
        <v>0</v>
      </c>
      <c r="AX49" s="270">
        <f t="shared" si="13"/>
        <v>0</v>
      </c>
      <c r="AY49" s="3168">
        <f t="shared" si="14"/>
        <v>0</v>
      </c>
      <c r="AZ49" s="3123">
        <f t="shared" si="15"/>
        <v>0</v>
      </c>
      <c r="BA49" s="3123">
        <f t="shared" si="16"/>
        <v>0</v>
      </c>
      <c r="BB49" s="3123">
        <f t="shared" si="17"/>
        <v>0</v>
      </c>
      <c r="BC49" s="3123">
        <f t="shared" si="18"/>
        <v>0</v>
      </c>
      <c r="BD49" s="3123">
        <f t="shared" si="19"/>
        <v>0</v>
      </c>
      <c r="BE49" s="3123">
        <f t="shared" si="20"/>
        <v>0</v>
      </c>
      <c r="BF49" s="3123">
        <f t="shared" si="21"/>
        <v>0</v>
      </c>
      <c r="BG49" s="3123">
        <f t="shared" si="22"/>
        <v>0</v>
      </c>
      <c r="BH49" s="3123">
        <f t="shared" si="23"/>
        <v>0</v>
      </c>
      <c r="BI49" s="3123">
        <f t="shared" si="24"/>
        <v>0</v>
      </c>
      <c r="BJ49" s="3123">
        <f t="shared" si="25"/>
        <v>0</v>
      </c>
      <c r="BK49" s="3123">
        <f t="shared" si="26"/>
        <v>0</v>
      </c>
      <c r="BL49" s="3123">
        <f t="shared" si="27"/>
        <v>0</v>
      </c>
      <c r="BM49" s="3123">
        <f t="shared" si="28"/>
        <v>0</v>
      </c>
      <c r="BN49" s="3123">
        <f t="shared" si="29"/>
        <v>0</v>
      </c>
      <c r="BO49" s="3123">
        <f t="shared" si="30"/>
        <v>0</v>
      </c>
      <c r="BP49" s="3123">
        <f t="shared" si="31"/>
        <v>0</v>
      </c>
      <c r="BQ49" s="3123">
        <f t="shared" si="32"/>
        <v>0</v>
      </c>
      <c r="BR49" s="3123">
        <f t="shared" si="33"/>
        <v>0</v>
      </c>
      <c r="BS49" s="3123">
        <f t="shared" si="34"/>
        <v>0</v>
      </c>
      <c r="BT49" s="3175">
        <f t="shared" si="35"/>
        <v>0</v>
      </c>
    </row>
    <row r="50" spans="1:72">
      <c r="A50" s="3120"/>
      <c r="B50" s="3121"/>
      <c r="C50" s="3121"/>
      <c r="D50" s="3122"/>
      <c r="E50" s="3123">
        <f t="shared" si="7"/>
        <v>0</v>
      </c>
      <c r="F50" s="3124"/>
      <c r="G50" s="3125">
        <f t="shared" si="8"/>
        <v>0</v>
      </c>
      <c r="H50" s="3126">
        <f t="shared" si="9"/>
        <v>0</v>
      </c>
      <c r="I50" s="3133"/>
      <c r="J50" s="3133"/>
      <c r="K50" s="3133"/>
      <c r="L50" s="3133"/>
      <c r="M50" s="3133"/>
      <c r="N50" s="3133"/>
      <c r="O50" s="3133"/>
      <c r="P50" s="3133"/>
      <c r="Q50" s="3133"/>
      <c r="R50" s="3133"/>
      <c r="S50" s="3133"/>
      <c r="T50" s="3133"/>
      <c r="U50" s="3133"/>
      <c r="V50" s="3133"/>
      <c r="W50" s="3133"/>
      <c r="X50" s="3133"/>
      <c r="Y50" s="3133"/>
      <c r="Z50" s="3133"/>
      <c r="AA50" s="3133"/>
      <c r="AB50" s="3133"/>
      <c r="AC50" s="3123">
        <f t="shared" si="10"/>
        <v>0</v>
      </c>
      <c r="AD50" s="3143"/>
      <c r="AE50" s="3143"/>
      <c r="AF50" s="3143"/>
      <c r="AG50" s="3143"/>
      <c r="AH50" s="3143"/>
      <c r="AI50" s="3143"/>
      <c r="AJ50" s="3143"/>
      <c r="AK50" s="3143"/>
      <c r="AL50" s="3143"/>
      <c r="AM50" s="3143"/>
      <c r="AN50" s="3143"/>
      <c r="AO50" s="3143"/>
      <c r="AP50" s="3143"/>
      <c r="AQ50" s="3143"/>
      <c r="AR50" s="3143"/>
      <c r="AS50" s="3143"/>
      <c r="AT50" s="3153"/>
      <c r="AU50" s="3154"/>
      <c r="AV50" s="270">
        <f t="shared" si="11"/>
        <v>0</v>
      </c>
      <c r="AW50" s="270">
        <f t="shared" si="12"/>
        <v>0</v>
      </c>
      <c r="AX50" s="270">
        <f t="shared" si="13"/>
        <v>0</v>
      </c>
      <c r="AY50" s="3168">
        <f t="shared" si="14"/>
        <v>0</v>
      </c>
      <c r="AZ50" s="3123">
        <f t="shared" si="15"/>
        <v>0</v>
      </c>
      <c r="BA50" s="3123">
        <f t="shared" si="16"/>
        <v>0</v>
      </c>
      <c r="BB50" s="3123">
        <f t="shared" si="17"/>
        <v>0</v>
      </c>
      <c r="BC50" s="3123">
        <f t="shared" si="18"/>
        <v>0</v>
      </c>
      <c r="BD50" s="3123">
        <f t="shared" si="19"/>
        <v>0</v>
      </c>
      <c r="BE50" s="3123">
        <f t="shared" si="20"/>
        <v>0</v>
      </c>
      <c r="BF50" s="3123">
        <f t="shared" si="21"/>
        <v>0</v>
      </c>
      <c r="BG50" s="3123">
        <f t="shared" si="22"/>
        <v>0</v>
      </c>
      <c r="BH50" s="3123">
        <f t="shared" si="23"/>
        <v>0</v>
      </c>
      <c r="BI50" s="3123">
        <f t="shared" si="24"/>
        <v>0</v>
      </c>
      <c r="BJ50" s="3123">
        <f t="shared" si="25"/>
        <v>0</v>
      </c>
      <c r="BK50" s="3123">
        <f t="shared" si="26"/>
        <v>0</v>
      </c>
      <c r="BL50" s="3123">
        <f t="shared" si="27"/>
        <v>0</v>
      </c>
      <c r="BM50" s="3123">
        <f t="shared" si="28"/>
        <v>0</v>
      </c>
      <c r="BN50" s="3123">
        <f t="shared" si="29"/>
        <v>0</v>
      </c>
      <c r="BO50" s="3123">
        <f t="shared" si="30"/>
        <v>0</v>
      </c>
      <c r="BP50" s="3123">
        <f t="shared" si="31"/>
        <v>0</v>
      </c>
      <c r="BQ50" s="3123">
        <f t="shared" si="32"/>
        <v>0</v>
      </c>
      <c r="BR50" s="3123">
        <f t="shared" si="33"/>
        <v>0</v>
      </c>
      <c r="BS50" s="3123">
        <f t="shared" si="34"/>
        <v>0</v>
      </c>
      <c r="BT50" s="3175">
        <f t="shared" si="35"/>
        <v>0</v>
      </c>
    </row>
    <row r="51" spans="1:72">
      <c r="A51" s="3120"/>
      <c r="B51" s="3121"/>
      <c r="C51" s="3121"/>
      <c r="D51" s="3122"/>
      <c r="E51" s="3123">
        <f t="shared" si="7"/>
        <v>0</v>
      </c>
      <c r="F51" s="3124"/>
      <c r="G51" s="3125">
        <f t="shared" si="8"/>
        <v>0</v>
      </c>
      <c r="H51" s="3126">
        <f t="shared" si="9"/>
        <v>0</v>
      </c>
      <c r="I51" s="3133"/>
      <c r="J51" s="3133"/>
      <c r="K51" s="3133"/>
      <c r="L51" s="3133"/>
      <c r="M51" s="3133"/>
      <c r="N51" s="3133"/>
      <c r="O51" s="3133"/>
      <c r="P51" s="3133"/>
      <c r="Q51" s="3133"/>
      <c r="R51" s="3133"/>
      <c r="S51" s="3133"/>
      <c r="T51" s="3133"/>
      <c r="U51" s="3133"/>
      <c r="V51" s="3133"/>
      <c r="W51" s="3133"/>
      <c r="X51" s="3133"/>
      <c r="Y51" s="3133"/>
      <c r="Z51" s="3133"/>
      <c r="AA51" s="3133"/>
      <c r="AB51" s="3133"/>
      <c r="AC51" s="3123">
        <f t="shared" si="10"/>
        <v>0</v>
      </c>
      <c r="AD51" s="3143"/>
      <c r="AE51" s="3143"/>
      <c r="AF51" s="3143"/>
      <c r="AG51" s="3143"/>
      <c r="AH51" s="3143"/>
      <c r="AI51" s="3143"/>
      <c r="AJ51" s="3143"/>
      <c r="AK51" s="3143"/>
      <c r="AL51" s="3143"/>
      <c r="AM51" s="3143"/>
      <c r="AN51" s="3143"/>
      <c r="AO51" s="3143"/>
      <c r="AP51" s="3143"/>
      <c r="AQ51" s="3143"/>
      <c r="AR51" s="3143"/>
      <c r="AS51" s="3143"/>
      <c r="AT51" s="3153"/>
      <c r="AU51" s="3154"/>
      <c r="AV51" s="270">
        <f t="shared" si="11"/>
        <v>0</v>
      </c>
      <c r="AW51" s="270">
        <f t="shared" si="12"/>
        <v>0</v>
      </c>
      <c r="AX51" s="270">
        <f t="shared" si="13"/>
        <v>0</v>
      </c>
      <c r="AY51" s="3168">
        <f t="shared" si="14"/>
        <v>0</v>
      </c>
      <c r="AZ51" s="3123">
        <f t="shared" si="15"/>
        <v>0</v>
      </c>
      <c r="BA51" s="3123">
        <f t="shared" si="16"/>
        <v>0</v>
      </c>
      <c r="BB51" s="3123">
        <f t="shared" si="17"/>
        <v>0</v>
      </c>
      <c r="BC51" s="3123">
        <f t="shared" si="18"/>
        <v>0</v>
      </c>
      <c r="BD51" s="3123">
        <f t="shared" si="19"/>
        <v>0</v>
      </c>
      <c r="BE51" s="3123">
        <f t="shared" si="20"/>
        <v>0</v>
      </c>
      <c r="BF51" s="3123">
        <f t="shared" si="21"/>
        <v>0</v>
      </c>
      <c r="BG51" s="3123">
        <f t="shared" si="22"/>
        <v>0</v>
      </c>
      <c r="BH51" s="3123">
        <f t="shared" si="23"/>
        <v>0</v>
      </c>
      <c r="BI51" s="3123">
        <f t="shared" si="24"/>
        <v>0</v>
      </c>
      <c r="BJ51" s="3123">
        <f t="shared" si="25"/>
        <v>0</v>
      </c>
      <c r="BK51" s="3123">
        <f t="shared" si="26"/>
        <v>0</v>
      </c>
      <c r="BL51" s="3123">
        <f t="shared" si="27"/>
        <v>0</v>
      </c>
      <c r="BM51" s="3123">
        <f t="shared" si="28"/>
        <v>0</v>
      </c>
      <c r="BN51" s="3123">
        <f t="shared" si="29"/>
        <v>0</v>
      </c>
      <c r="BO51" s="3123">
        <f t="shared" si="30"/>
        <v>0</v>
      </c>
      <c r="BP51" s="3123">
        <f t="shared" si="31"/>
        <v>0</v>
      </c>
      <c r="BQ51" s="3123">
        <f t="shared" si="32"/>
        <v>0</v>
      </c>
      <c r="BR51" s="3123">
        <f t="shared" si="33"/>
        <v>0</v>
      </c>
      <c r="BS51" s="3123">
        <f t="shared" si="34"/>
        <v>0</v>
      </c>
      <c r="BT51" s="3175">
        <f t="shared" si="35"/>
        <v>0</v>
      </c>
    </row>
    <row r="52" spans="1:72">
      <c r="A52" s="3120"/>
      <c r="B52" s="3121"/>
      <c r="C52" s="3121"/>
      <c r="D52" s="3122"/>
      <c r="E52" s="3123">
        <f t="shared" si="7"/>
        <v>0</v>
      </c>
      <c r="F52" s="3124"/>
      <c r="G52" s="3125">
        <f t="shared" si="8"/>
        <v>0</v>
      </c>
      <c r="H52" s="3126">
        <f t="shared" si="9"/>
        <v>0</v>
      </c>
      <c r="I52" s="3133"/>
      <c r="J52" s="3133"/>
      <c r="K52" s="3133"/>
      <c r="L52" s="3133"/>
      <c r="M52" s="3133"/>
      <c r="N52" s="3133"/>
      <c r="O52" s="3133"/>
      <c r="P52" s="3133"/>
      <c r="Q52" s="3133"/>
      <c r="R52" s="3133"/>
      <c r="S52" s="3133"/>
      <c r="T52" s="3133"/>
      <c r="U52" s="3133"/>
      <c r="V52" s="3133"/>
      <c r="W52" s="3133"/>
      <c r="X52" s="3133"/>
      <c r="Y52" s="3133"/>
      <c r="Z52" s="3133"/>
      <c r="AA52" s="3133"/>
      <c r="AB52" s="3133"/>
      <c r="AC52" s="3123">
        <f t="shared" si="10"/>
        <v>0</v>
      </c>
      <c r="AD52" s="3143"/>
      <c r="AE52" s="3143"/>
      <c r="AF52" s="3143"/>
      <c r="AG52" s="3143"/>
      <c r="AH52" s="3143"/>
      <c r="AI52" s="3143"/>
      <c r="AJ52" s="3143"/>
      <c r="AK52" s="3143"/>
      <c r="AL52" s="3143"/>
      <c r="AM52" s="3143"/>
      <c r="AN52" s="3143"/>
      <c r="AO52" s="3143"/>
      <c r="AP52" s="3143"/>
      <c r="AQ52" s="3143"/>
      <c r="AR52" s="3143"/>
      <c r="AS52" s="3143"/>
      <c r="AT52" s="3153"/>
      <c r="AU52" s="3154"/>
      <c r="AV52" s="270">
        <f t="shared" si="11"/>
        <v>0</v>
      </c>
      <c r="AW52" s="270">
        <f t="shared" si="12"/>
        <v>0</v>
      </c>
      <c r="AX52" s="270">
        <f t="shared" si="13"/>
        <v>0</v>
      </c>
      <c r="AY52" s="3168">
        <f t="shared" si="14"/>
        <v>0</v>
      </c>
      <c r="AZ52" s="3123">
        <f t="shared" si="15"/>
        <v>0</v>
      </c>
      <c r="BA52" s="3123">
        <f t="shared" si="16"/>
        <v>0</v>
      </c>
      <c r="BB52" s="3123">
        <f t="shared" si="17"/>
        <v>0</v>
      </c>
      <c r="BC52" s="3123">
        <f t="shared" si="18"/>
        <v>0</v>
      </c>
      <c r="BD52" s="3123">
        <f t="shared" si="19"/>
        <v>0</v>
      </c>
      <c r="BE52" s="3123">
        <f t="shared" si="20"/>
        <v>0</v>
      </c>
      <c r="BF52" s="3123">
        <f t="shared" si="21"/>
        <v>0</v>
      </c>
      <c r="BG52" s="3123">
        <f t="shared" si="22"/>
        <v>0</v>
      </c>
      <c r="BH52" s="3123">
        <f t="shared" si="23"/>
        <v>0</v>
      </c>
      <c r="BI52" s="3123">
        <f t="shared" si="24"/>
        <v>0</v>
      </c>
      <c r="BJ52" s="3123">
        <f t="shared" si="25"/>
        <v>0</v>
      </c>
      <c r="BK52" s="3123">
        <f t="shared" si="26"/>
        <v>0</v>
      </c>
      <c r="BL52" s="3123">
        <f t="shared" si="27"/>
        <v>0</v>
      </c>
      <c r="BM52" s="3123">
        <f t="shared" si="28"/>
        <v>0</v>
      </c>
      <c r="BN52" s="3123">
        <f t="shared" si="29"/>
        <v>0</v>
      </c>
      <c r="BO52" s="3123">
        <f t="shared" si="30"/>
        <v>0</v>
      </c>
      <c r="BP52" s="3123">
        <f t="shared" si="31"/>
        <v>0</v>
      </c>
      <c r="BQ52" s="3123">
        <f t="shared" si="32"/>
        <v>0</v>
      </c>
      <c r="BR52" s="3123">
        <f t="shared" si="33"/>
        <v>0</v>
      </c>
      <c r="BS52" s="3123">
        <f t="shared" si="34"/>
        <v>0</v>
      </c>
      <c r="BT52" s="3175">
        <f t="shared" si="35"/>
        <v>0</v>
      </c>
    </row>
    <row r="53" spans="1:72">
      <c r="A53" s="3120"/>
      <c r="B53" s="3121"/>
      <c r="C53" s="3121"/>
      <c r="D53" s="3122"/>
      <c r="E53" s="3123">
        <f t="shared" si="7"/>
        <v>0</v>
      </c>
      <c r="F53" s="3124"/>
      <c r="G53" s="3125">
        <f t="shared" si="8"/>
        <v>0</v>
      </c>
      <c r="H53" s="3126">
        <f t="shared" si="9"/>
        <v>0</v>
      </c>
      <c r="I53" s="3133"/>
      <c r="J53" s="3133"/>
      <c r="K53" s="3133"/>
      <c r="L53" s="3133"/>
      <c r="M53" s="3133"/>
      <c r="N53" s="3133"/>
      <c r="O53" s="3133"/>
      <c r="P53" s="3133"/>
      <c r="Q53" s="3133"/>
      <c r="R53" s="3133"/>
      <c r="S53" s="3133"/>
      <c r="T53" s="3133"/>
      <c r="U53" s="3133"/>
      <c r="V53" s="3133"/>
      <c r="W53" s="3133"/>
      <c r="X53" s="3133"/>
      <c r="Y53" s="3133"/>
      <c r="Z53" s="3133"/>
      <c r="AA53" s="3133"/>
      <c r="AB53" s="3133"/>
      <c r="AC53" s="3123">
        <f t="shared" si="10"/>
        <v>0</v>
      </c>
      <c r="AD53" s="3143"/>
      <c r="AE53" s="3143"/>
      <c r="AF53" s="3143"/>
      <c r="AG53" s="3143"/>
      <c r="AH53" s="3143"/>
      <c r="AI53" s="3143"/>
      <c r="AJ53" s="3143"/>
      <c r="AK53" s="3143"/>
      <c r="AL53" s="3143"/>
      <c r="AM53" s="3143"/>
      <c r="AN53" s="3143"/>
      <c r="AO53" s="3143"/>
      <c r="AP53" s="3143"/>
      <c r="AQ53" s="3143"/>
      <c r="AR53" s="3143"/>
      <c r="AS53" s="3143"/>
      <c r="AT53" s="3153"/>
      <c r="AU53" s="3154"/>
      <c r="AV53" s="270">
        <f t="shared" si="11"/>
        <v>0</v>
      </c>
      <c r="AW53" s="270">
        <f t="shared" si="12"/>
        <v>0</v>
      </c>
      <c r="AX53" s="270">
        <f t="shared" si="13"/>
        <v>0</v>
      </c>
      <c r="AY53" s="3168">
        <f t="shared" si="14"/>
        <v>0</v>
      </c>
      <c r="AZ53" s="3123">
        <f t="shared" si="15"/>
        <v>0</v>
      </c>
      <c r="BA53" s="3123">
        <f t="shared" si="16"/>
        <v>0</v>
      </c>
      <c r="BB53" s="3123">
        <f t="shared" si="17"/>
        <v>0</v>
      </c>
      <c r="BC53" s="3123">
        <f t="shared" si="18"/>
        <v>0</v>
      </c>
      <c r="BD53" s="3123">
        <f t="shared" si="19"/>
        <v>0</v>
      </c>
      <c r="BE53" s="3123">
        <f t="shared" si="20"/>
        <v>0</v>
      </c>
      <c r="BF53" s="3123">
        <f t="shared" si="21"/>
        <v>0</v>
      </c>
      <c r="BG53" s="3123">
        <f t="shared" si="22"/>
        <v>0</v>
      </c>
      <c r="BH53" s="3123">
        <f t="shared" si="23"/>
        <v>0</v>
      </c>
      <c r="BI53" s="3123">
        <f t="shared" si="24"/>
        <v>0</v>
      </c>
      <c r="BJ53" s="3123">
        <f t="shared" si="25"/>
        <v>0</v>
      </c>
      <c r="BK53" s="3123">
        <f t="shared" si="26"/>
        <v>0</v>
      </c>
      <c r="BL53" s="3123">
        <f t="shared" si="27"/>
        <v>0</v>
      </c>
      <c r="BM53" s="3123">
        <f t="shared" si="28"/>
        <v>0</v>
      </c>
      <c r="BN53" s="3123">
        <f t="shared" si="29"/>
        <v>0</v>
      </c>
      <c r="BO53" s="3123">
        <f t="shared" si="30"/>
        <v>0</v>
      </c>
      <c r="BP53" s="3123">
        <f t="shared" si="31"/>
        <v>0</v>
      </c>
      <c r="BQ53" s="3123">
        <f t="shared" si="32"/>
        <v>0</v>
      </c>
      <c r="BR53" s="3123">
        <f t="shared" si="33"/>
        <v>0</v>
      </c>
      <c r="BS53" s="3123">
        <f t="shared" si="34"/>
        <v>0</v>
      </c>
      <c r="BT53" s="3175">
        <f t="shared" si="35"/>
        <v>0</v>
      </c>
    </row>
    <row r="54" spans="1:72">
      <c r="A54" s="3120"/>
      <c r="B54" s="3121"/>
      <c r="C54" s="3121"/>
      <c r="D54" s="3122"/>
      <c r="E54" s="3123">
        <f t="shared" si="7"/>
        <v>0</v>
      </c>
      <c r="F54" s="3124"/>
      <c r="G54" s="3125">
        <f t="shared" si="8"/>
        <v>0</v>
      </c>
      <c r="H54" s="3126">
        <f t="shared" si="9"/>
        <v>0</v>
      </c>
      <c r="I54" s="3133"/>
      <c r="J54" s="3133"/>
      <c r="K54" s="3133"/>
      <c r="L54" s="3133"/>
      <c r="M54" s="3133"/>
      <c r="N54" s="3133"/>
      <c r="O54" s="3133"/>
      <c r="P54" s="3133"/>
      <c r="Q54" s="3133"/>
      <c r="R54" s="3133"/>
      <c r="S54" s="3133"/>
      <c r="T54" s="3133"/>
      <c r="U54" s="3133"/>
      <c r="V54" s="3133"/>
      <c r="W54" s="3133"/>
      <c r="X54" s="3133"/>
      <c r="Y54" s="3133"/>
      <c r="Z54" s="3133"/>
      <c r="AA54" s="3133"/>
      <c r="AB54" s="3133"/>
      <c r="AC54" s="3123">
        <f t="shared" si="10"/>
        <v>0</v>
      </c>
      <c r="AD54" s="3143"/>
      <c r="AE54" s="3143"/>
      <c r="AF54" s="3143"/>
      <c r="AG54" s="3143"/>
      <c r="AH54" s="3143"/>
      <c r="AI54" s="3143"/>
      <c r="AJ54" s="3143"/>
      <c r="AK54" s="3143"/>
      <c r="AL54" s="3143"/>
      <c r="AM54" s="3143"/>
      <c r="AN54" s="3143"/>
      <c r="AO54" s="3143"/>
      <c r="AP54" s="3143"/>
      <c r="AQ54" s="3143"/>
      <c r="AR54" s="3143"/>
      <c r="AS54" s="3143"/>
      <c r="AT54" s="3153"/>
      <c r="AU54" s="3154"/>
      <c r="AV54" s="270">
        <f t="shared" si="11"/>
        <v>0</v>
      </c>
      <c r="AW54" s="270">
        <f t="shared" si="12"/>
        <v>0</v>
      </c>
      <c r="AX54" s="270">
        <f t="shared" si="13"/>
        <v>0</v>
      </c>
      <c r="AY54" s="3168">
        <f t="shared" si="14"/>
        <v>0</v>
      </c>
      <c r="AZ54" s="3123">
        <f t="shared" si="15"/>
        <v>0</v>
      </c>
      <c r="BA54" s="3123">
        <f t="shared" si="16"/>
        <v>0</v>
      </c>
      <c r="BB54" s="3123">
        <f t="shared" si="17"/>
        <v>0</v>
      </c>
      <c r="BC54" s="3123">
        <f t="shared" si="18"/>
        <v>0</v>
      </c>
      <c r="BD54" s="3123">
        <f t="shared" si="19"/>
        <v>0</v>
      </c>
      <c r="BE54" s="3123">
        <f t="shared" si="20"/>
        <v>0</v>
      </c>
      <c r="BF54" s="3123">
        <f t="shared" si="21"/>
        <v>0</v>
      </c>
      <c r="BG54" s="3123">
        <f t="shared" si="22"/>
        <v>0</v>
      </c>
      <c r="BH54" s="3123">
        <f t="shared" si="23"/>
        <v>0</v>
      </c>
      <c r="BI54" s="3123">
        <f t="shared" si="24"/>
        <v>0</v>
      </c>
      <c r="BJ54" s="3123">
        <f t="shared" si="25"/>
        <v>0</v>
      </c>
      <c r="BK54" s="3123">
        <f t="shared" si="26"/>
        <v>0</v>
      </c>
      <c r="BL54" s="3123">
        <f t="shared" si="27"/>
        <v>0</v>
      </c>
      <c r="BM54" s="3123">
        <f t="shared" si="28"/>
        <v>0</v>
      </c>
      <c r="BN54" s="3123">
        <f t="shared" si="29"/>
        <v>0</v>
      </c>
      <c r="BO54" s="3123">
        <f t="shared" si="30"/>
        <v>0</v>
      </c>
      <c r="BP54" s="3123">
        <f t="shared" si="31"/>
        <v>0</v>
      </c>
      <c r="BQ54" s="3123">
        <f t="shared" si="32"/>
        <v>0</v>
      </c>
      <c r="BR54" s="3123">
        <f t="shared" si="33"/>
        <v>0</v>
      </c>
      <c r="BS54" s="3123">
        <f t="shared" si="34"/>
        <v>0</v>
      </c>
      <c r="BT54" s="3175">
        <f t="shared" si="35"/>
        <v>0</v>
      </c>
    </row>
    <row r="55" spans="1:72">
      <c r="A55" s="3120"/>
      <c r="B55" s="3121"/>
      <c r="C55" s="3121"/>
      <c r="D55" s="3122"/>
      <c r="E55" s="3123">
        <f t="shared" si="7"/>
        <v>0</v>
      </c>
      <c r="F55" s="3124"/>
      <c r="G55" s="3125">
        <f t="shared" si="8"/>
        <v>0</v>
      </c>
      <c r="H55" s="3126">
        <f t="shared" si="9"/>
        <v>0</v>
      </c>
      <c r="I55" s="3133"/>
      <c r="J55" s="3133"/>
      <c r="K55" s="3133"/>
      <c r="L55" s="3133"/>
      <c r="M55" s="3133"/>
      <c r="N55" s="3133"/>
      <c r="O55" s="3133"/>
      <c r="P55" s="3133"/>
      <c r="Q55" s="3133"/>
      <c r="R55" s="3133"/>
      <c r="S55" s="3133"/>
      <c r="T55" s="3133"/>
      <c r="U55" s="3133"/>
      <c r="V55" s="3133"/>
      <c r="W55" s="3133"/>
      <c r="X55" s="3133"/>
      <c r="Y55" s="3133"/>
      <c r="Z55" s="3133"/>
      <c r="AA55" s="3133"/>
      <c r="AB55" s="3133"/>
      <c r="AC55" s="3123">
        <f t="shared" si="10"/>
        <v>0</v>
      </c>
      <c r="AD55" s="3143"/>
      <c r="AE55" s="3143"/>
      <c r="AF55" s="3143"/>
      <c r="AG55" s="3143"/>
      <c r="AH55" s="3143"/>
      <c r="AI55" s="3143"/>
      <c r="AJ55" s="3143"/>
      <c r="AK55" s="3143"/>
      <c r="AL55" s="3143"/>
      <c r="AM55" s="3143"/>
      <c r="AN55" s="3143"/>
      <c r="AO55" s="3143"/>
      <c r="AP55" s="3143"/>
      <c r="AQ55" s="3143"/>
      <c r="AR55" s="3143"/>
      <c r="AS55" s="3143"/>
      <c r="AT55" s="3153"/>
      <c r="AU55" s="3154"/>
      <c r="AV55" s="270">
        <f t="shared" si="11"/>
        <v>0</v>
      </c>
      <c r="AW55" s="270">
        <f t="shared" si="12"/>
        <v>0</v>
      </c>
      <c r="AX55" s="270">
        <f t="shared" si="13"/>
        <v>0</v>
      </c>
      <c r="AY55" s="3168">
        <f t="shared" si="14"/>
        <v>0</v>
      </c>
      <c r="AZ55" s="3123">
        <f t="shared" si="15"/>
        <v>0</v>
      </c>
      <c r="BA55" s="3123">
        <f t="shared" si="16"/>
        <v>0</v>
      </c>
      <c r="BB55" s="3123">
        <f t="shared" si="17"/>
        <v>0</v>
      </c>
      <c r="BC55" s="3123">
        <f t="shared" si="18"/>
        <v>0</v>
      </c>
      <c r="BD55" s="3123">
        <f t="shared" si="19"/>
        <v>0</v>
      </c>
      <c r="BE55" s="3123">
        <f t="shared" si="20"/>
        <v>0</v>
      </c>
      <c r="BF55" s="3123">
        <f t="shared" si="21"/>
        <v>0</v>
      </c>
      <c r="BG55" s="3123">
        <f t="shared" si="22"/>
        <v>0</v>
      </c>
      <c r="BH55" s="3123">
        <f t="shared" si="23"/>
        <v>0</v>
      </c>
      <c r="BI55" s="3123">
        <f t="shared" si="24"/>
        <v>0</v>
      </c>
      <c r="BJ55" s="3123">
        <f t="shared" si="25"/>
        <v>0</v>
      </c>
      <c r="BK55" s="3123">
        <f t="shared" si="26"/>
        <v>0</v>
      </c>
      <c r="BL55" s="3123">
        <f t="shared" si="27"/>
        <v>0</v>
      </c>
      <c r="BM55" s="3123">
        <f t="shared" si="28"/>
        <v>0</v>
      </c>
      <c r="BN55" s="3123">
        <f t="shared" si="29"/>
        <v>0</v>
      </c>
      <c r="BO55" s="3123">
        <f t="shared" si="30"/>
        <v>0</v>
      </c>
      <c r="BP55" s="3123">
        <f t="shared" si="31"/>
        <v>0</v>
      </c>
      <c r="BQ55" s="3123">
        <f t="shared" si="32"/>
        <v>0</v>
      </c>
      <c r="BR55" s="3123">
        <f t="shared" si="33"/>
        <v>0</v>
      </c>
      <c r="BS55" s="3123">
        <f t="shared" si="34"/>
        <v>0</v>
      </c>
      <c r="BT55" s="3175">
        <f t="shared" si="35"/>
        <v>0</v>
      </c>
    </row>
    <row r="56" spans="1:72">
      <c r="A56" s="3120"/>
      <c r="B56" s="3121"/>
      <c r="C56" s="3121"/>
      <c r="D56" s="3122"/>
      <c r="E56" s="3123">
        <f t="shared" si="7"/>
        <v>0</v>
      </c>
      <c r="F56" s="3124"/>
      <c r="G56" s="3125">
        <f t="shared" si="8"/>
        <v>0</v>
      </c>
      <c r="H56" s="3126">
        <f t="shared" si="9"/>
        <v>0</v>
      </c>
      <c r="I56" s="3133"/>
      <c r="J56" s="3133"/>
      <c r="K56" s="3133"/>
      <c r="L56" s="3133"/>
      <c r="M56" s="3133"/>
      <c r="N56" s="3133"/>
      <c r="O56" s="3133"/>
      <c r="P56" s="3133"/>
      <c r="Q56" s="3133"/>
      <c r="R56" s="3133"/>
      <c r="S56" s="3133"/>
      <c r="T56" s="3133"/>
      <c r="U56" s="3133"/>
      <c r="V56" s="3133"/>
      <c r="W56" s="3133"/>
      <c r="X56" s="3133"/>
      <c r="Y56" s="3133"/>
      <c r="Z56" s="3133"/>
      <c r="AA56" s="3133"/>
      <c r="AB56" s="3133"/>
      <c r="AC56" s="3123">
        <f t="shared" si="10"/>
        <v>0</v>
      </c>
      <c r="AD56" s="3143"/>
      <c r="AE56" s="3143"/>
      <c r="AF56" s="3143"/>
      <c r="AG56" s="3143"/>
      <c r="AH56" s="3143"/>
      <c r="AI56" s="3143"/>
      <c r="AJ56" s="3143"/>
      <c r="AK56" s="3143"/>
      <c r="AL56" s="3143"/>
      <c r="AM56" s="3143"/>
      <c r="AN56" s="3143"/>
      <c r="AO56" s="3143"/>
      <c r="AP56" s="3143"/>
      <c r="AQ56" s="3143"/>
      <c r="AR56" s="3143"/>
      <c r="AS56" s="3143"/>
      <c r="AT56" s="3153"/>
      <c r="AU56" s="3154"/>
      <c r="AV56" s="270">
        <f t="shared" si="11"/>
        <v>0</v>
      </c>
      <c r="AW56" s="270">
        <f t="shared" si="12"/>
        <v>0</v>
      </c>
      <c r="AX56" s="270">
        <f t="shared" si="13"/>
        <v>0</v>
      </c>
      <c r="AY56" s="3168">
        <f t="shared" si="14"/>
        <v>0</v>
      </c>
      <c r="AZ56" s="3123">
        <f t="shared" si="15"/>
        <v>0</v>
      </c>
      <c r="BA56" s="3123">
        <f t="shared" si="16"/>
        <v>0</v>
      </c>
      <c r="BB56" s="3123">
        <f t="shared" si="17"/>
        <v>0</v>
      </c>
      <c r="BC56" s="3123">
        <f t="shared" si="18"/>
        <v>0</v>
      </c>
      <c r="BD56" s="3123">
        <f t="shared" si="19"/>
        <v>0</v>
      </c>
      <c r="BE56" s="3123">
        <f t="shared" si="20"/>
        <v>0</v>
      </c>
      <c r="BF56" s="3123">
        <f t="shared" si="21"/>
        <v>0</v>
      </c>
      <c r="BG56" s="3123">
        <f t="shared" si="22"/>
        <v>0</v>
      </c>
      <c r="BH56" s="3123">
        <f t="shared" si="23"/>
        <v>0</v>
      </c>
      <c r="BI56" s="3123">
        <f t="shared" si="24"/>
        <v>0</v>
      </c>
      <c r="BJ56" s="3123">
        <f t="shared" si="25"/>
        <v>0</v>
      </c>
      <c r="BK56" s="3123">
        <f t="shared" si="26"/>
        <v>0</v>
      </c>
      <c r="BL56" s="3123">
        <f t="shared" si="27"/>
        <v>0</v>
      </c>
      <c r="BM56" s="3123">
        <f t="shared" si="28"/>
        <v>0</v>
      </c>
      <c r="BN56" s="3123">
        <f t="shared" si="29"/>
        <v>0</v>
      </c>
      <c r="BO56" s="3123">
        <f t="shared" si="30"/>
        <v>0</v>
      </c>
      <c r="BP56" s="3123">
        <f t="shared" si="31"/>
        <v>0</v>
      </c>
      <c r="BQ56" s="3123">
        <f t="shared" si="32"/>
        <v>0</v>
      </c>
      <c r="BR56" s="3123">
        <f t="shared" si="33"/>
        <v>0</v>
      </c>
      <c r="BS56" s="3123">
        <f t="shared" si="34"/>
        <v>0</v>
      </c>
      <c r="BT56" s="3175">
        <f t="shared" si="35"/>
        <v>0</v>
      </c>
    </row>
    <row r="57" spans="1:72">
      <c r="A57" s="3120"/>
      <c r="B57" s="3121"/>
      <c r="C57" s="3121"/>
      <c r="D57" s="3122"/>
      <c r="E57" s="3123">
        <f t="shared" si="7"/>
        <v>0</v>
      </c>
      <c r="F57" s="3124"/>
      <c r="G57" s="3125">
        <f t="shared" si="8"/>
        <v>0</v>
      </c>
      <c r="H57" s="3126">
        <f t="shared" si="9"/>
        <v>0</v>
      </c>
      <c r="I57" s="3133"/>
      <c r="J57" s="3133"/>
      <c r="K57" s="3133"/>
      <c r="L57" s="3133"/>
      <c r="M57" s="3133"/>
      <c r="N57" s="3133"/>
      <c r="O57" s="3133"/>
      <c r="P57" s="3133"/>
      <c r="Q57" s="3133"/>
      <c r="R57" s="3133"/>
      <c r="S57" s="3133"/>
      <c r="T57" s="3133"/>
      <c r="U57" s="3133"/>
      <c r="V57" s="3133"/>
      <c r="W57" s="3133"/>
      <c r="X57" s="3133"/>
      <c r="Y57" s="3133"/>
      <c r="Z57" s="3133"/>
      <c r="AA57" s="3133"/>
      <c r="AB57" s="3133"/>
      <c r="AC57" s="3123">
        <f t="shared" si="10"/>
        <v>0</v>
      </c>
      <c r="AD57" s="3143"/>
      <c r="AE57" s="3143"/>
      <c r="AF57" s="3143"/>
      <c r="AG57" s="3143"/>
      <c r="AH57" s="3143"/>
      <c r="AI57" s="3143"/>
      <c r="AJ57" s="3143"/>
      <c r="AK57" s="3143"/>
      <c r="AL57" s="3143"/>
      <c r="AM57" s="3143"/>
      <c r="AN57" s="3143"/>
      <c r="AO57" s="3143"/>
      <c r="AP57" s="3143"/>
      <c r="AQ57" s="3143"/>
      <c r="AR57" s="3143"/>
      <c r="AS57" s="3143"/>
      <c r="AT57" s="3153"/>
      <c r="AU57" s="3154"/>
      <c r="AV57" s="270">
        <f t="shared" si="11"/>
        <v>0</v>
      </c>
      <c r="AW57" s="270">
        <f t="shared" si="12"/>
        <v>0</v>
      </c>
      <c r="AX57" s="270">
        <f t="shared" si="13"/>
        <v>0</v>
      </c>
      <c r="AY57" s="3168">
        <f t="shared" si="14"/>
        <v>0</v>
      </c>
      <c r="AZ57" s="3123">
        <f t="shared" si="15"/>
        <v>0</v>
      </c>
      <c r="BA57" s="3123">
        <f t="shared" si="16"/>
        <v>0</v>
      </c>
      <c r="BB57" s="3123">
        <f t="shared" si="17"/>
        <v>0</v>
      </c>
      <c r="BC57" s="3123">
        <f t="shared" si="18"/>
        <v>0</v>
      </c>
      <c r="BD57" s="3123">
        <f t="shared" si="19"/>
        <v>0</v>
      </c>
      <c r="BE57" s="3123">
        <f t="shared" si="20"/>
        <v>0</v>
      </c>
      <c r="BF57" s="3123">
        <f t="shared" si="21"/>
        <v>0</v>
      </c>
      <c r="BG57" s="3123">
        <f t="shared" si="22"/>
        <v>0</v>
      </c>
      <c r="BH57" s="3123">
        <f t="shared" si="23"/>
        <v>0</v>
      </c>
      <c r="BI57" s="3123">
        <f t="shared" si="24"/>
        <v>0</v>
      </c>
      <c r="BJ57" s="3123">
        <f t="shared" si="25"/>
        <v>0</v>
      </c>
      <c r="BK57" s="3123">
        <f t="shared" si="26"/>
        <v>0</v>
      </c>
      <c r="BL57" s="3123">
        <f t="shared" si="27"/>
        <v>0</v>
      </c>
      <c r="BM57" s="3123">
        <f t="shared" si="28"/>
        <v>0</v>
      </c>
      <c r="BN57" s="3123">
        <f t="shared" si="29"/>
        <v>0</v>
      </c>
      <c r="BO57" s="3123">
        <f t="shared" si="30"/>
        <v>0</v>
      </c>
      <c r="BP57" s="3123">
        <f t="shared" si="31"/>
        <v>0</v>
      </c>
      <c r="BQ57" s="3123">
        <f t="shared" si="32"/>
        <v>0</v>
      </c>
      <c r="BR57" s="3123">
        <f t="shared" si="33"/>
        <v>0</v>
      </c>
      <c r="BS57" s="3123">
        <f t="shared" si="34"/>
        <v>0</v>
      </c>
      <c r="BT57" s="3175">
        <f t="shared" si="35"/>
        <v>0</v>
      </c>
    </row>
    <row r="58" spans="1:72">
      <c r="A58" s="3120"/>
      <c r="B58" s="3121"/>
      <c r="C58" s="3121"/>
      <c r="D58" s="3122"/>
      <c r="E58" s="3123">
        <f t="shared" si="7"/>
        <v>0</v>
      </c>
      <c r="F58" s="3124"/>
      <c r="G58" s="3125">
        <f t="shared" si="8"/>
        <v>0</v>
      </c>
      <c r="H58" s="3126">
        <f t="shared" si="9"/>
        <v>0</v>
      </c>
      <c r="I58" s="3133"/>
      <c r="J58" s="3133"/>
      <c r="K58" s="3133"/>
      <c r="L58" s="3133"/>
      <c r="M58" s="3133"/>
      <c r="N58" s="3133"/>
      <c r="O58" s="3133"/>
      <c r="P58" s="3133"/>
      <c r="Q58" s="3133"/>
      <c r="R58" s="3133"/>
      <c r="S58" s="3133"/>
      <c r="T58" s="3133"/>
      <c r="U58" s="3133"/>
      <c r="V58" s="3133"/>
      <c r="W58" s="3133"/>
      <c r="X58" s="3133"/>
      <c r="Y58" s="3133"/>
      <c r="Z58" s="3133"/>
      <c r="AA58" s="3133"/>
      <c r="AB58" s="3133"/>
      <c r="AC58" s="3123">
        <f t="shared" si="10"/>
        <v>0</v>
      </c>
      <c r="AD58" s="3143"/>
      <c r="AE58" s="3143"/>
      <c r="AF58" s="3143"/>
      <c r="AG58" s="3143"/>
      <c r="AH58" s="3143"/>
      <c r="AI58" s="3143"/>
      <c r="AJ58" s="3143"/>
      <c r="AK58" s="3143"/>
      <c r="AL58" s="3143"/>
      <c r="AM58" s="3143"/>
      <c r="AN58" s="3143"/>
      <c r="AO58" s="3143"/>
      <c r="AP58" s="3143"/>
      <c r="AQ58" s="3143"/>
      <c r="AR58" s="3143"/>
      <c r="AS58" s="3143"/>
      <c r="AT58" s="3153"/>
      <c r="AU58" s="3154"/>
      <c r="AV58" s="270">
        <f t="shared" si="11"/>
        <v>0</v>
      </c>
      <c r="AW58" s="270">
        <f t="shared" si="12"/>
        <v>0</v>
      </c>
      <c r="AX58" s="270">
        <f t="shared" si="13"/>
        <v>0</v>
      </c>
      <c r="AY58" s="3168">
        <f t="shared" si="14"/>
        <v>0</v>
      </c>
      <c r="AZ58" s="3123">
        <f t="shared" si="15"/>
        <v>0</v>
      </c>
      <c r="BA58" s="3123">
        <f t="shared" si="16"/>
        <v>0</v>
      </c>
      <c r="BB58" s="3123">
        <f t="shared" si="17"/>
        <v>0</v>
      </c>
      <c r="BC58" s="3123">
        <f t="shared" si="18"/>
        <v>0</v>
      </c>
      <c r="BD58" s="3123">
        <f t="shared" si="19"/>
        <v>0</v>
      </c>
      <c r="BE58" s="3123">
        <f t="shared" si="20"/>
        <v>0</v>
      </c>
      <c r="BF58" s="3123">
        <f t="shared" si="21"/>
        <v>0</v>
      </c>
      <c r="BG58" s="3123">
        <f t="shared" si="22"/>
        <v>0</v>
      </c>
      <c r="BH58" s="3123">
        <f t="shared" si="23"/>
        <v>0</v>
      </c>
      <c r="BI58" s="3123">
        <f t="shared" si="24"/>
        <v>0</v>
      </c>
      <c r="BJ58" s="3123">
        <f t="shared" si="25"/>
        <v>0</v>
      </c>
      <c r="BK58" s="3123">
        <f t="shared" si="26"/>
        <v>0</v>
      </c>
      <c r="BL58" s="3123">
        <f t="shared" si="27"/>
        <v>0</v>
      </c>
      <c r="BM58" s="3123">
        <f t="shared" si="28"/>
        <v>0</v>
      </c>
      <c r="BN58" s="3123">
        <f t="shared" si="29"/>
        <v>0</v>
      </c>
      <c r="BO58" s="3123">
        <f t="shared" si="30"/>
        <v>0</v>
      </c>
      <c r="BP58" s="3123">
        <f t="shared" si="31"/>
        <v>0</v>
      </c>
      <c r="BQ58" s="3123">
        <f t="shared" si="32"/>
        <v>0</v>
      </c>
      <c r="BR58" s="3123">
        <f t="shared" si="33"/>
        <v>0</v>
      </c>
      <c r="BS58" s="3123">
        <f t="shared" si="34"/>
        <v>0</v>
      </c>
      <c r="BT58" s="3175">
        <f t="shared" si="35"/>
        <v>0</v>
      </c>
    </row>
    <row r="59" spans="1:72">
      <c r="A59" s="3120"/>
      <c r="B59" s="3121"/>
      <c r="C59" s="3121"/>
      <c r="D59" s="3122"/>
      <c r="E59" s="3123">
        <f t="shared" si="7"/>
        <v>0</v>
      </c>
      <c r="F59" s="3124"/>
      <c r="G59" s="3125">
        <f t="shared" si="8"/>
        <v>0</v>
      </c>
      <c r="H59" s="3126">
        <f t="shared" si="9"/>
        <v>0</v>
      </c>
      <c r="I59" s="3133"/>
      <c r="J59" s="3133"/>
      <c r="K59" s="3133"/>
      <c r="L59" s="3133"/>
      <c r="M59" s="3133"/>
      <c r="N59" s="3133"/>
      <c r="O59" s="3133"/>
      <c r="P59" s="3133"/>
      <c r="Q59" s="3133"/>
      <c r="R59" s="3133"/>
      <c r="S59" s="3133"/>
      <c r="T59" s="3133"/>
      <c r="U59" s="3133"/>
      <c r="V59" s="3133"/>
      <c r="W59" s="3133"/>
      <c r="X59" s="3133"/>
      <c r="Y59" s="3133"/>
      <c r="Z59" s="3133"/>
      <c r="AA59" s="3133"/>
      <c r="AB59" s="3133"/>
      <c r="AC59" s="3123">
        <f t="shared" si="10"/>
        <v>0</v>
      </c>
      <c r="AD59" s="3143"/>
      <c r="AE59" s="3143"/>
      <c r="AF59" s="3143"/>
      <c r="AG59" s="3143"/>
      <c r="AH59" s="3143"/>
      <c r="AI59" s="3143"/>
      <c r="AJ59" s="3143"/>
      <c r="AK59" s="3143"/>
      <c r="AL59" s="3143"/>
      <c r="AM59" s="3143"/>
      <c r="AN59" s="3143"/>
      <c r="AO59" s="3143"/>
      <c r="AP59" s="3143"/>
      <c r="AQ59" s="3143"/>
      <c r="AR59" s="3143"/>
      <c r="AS59" s="3143"/>
      <c r="AT59" s="3153"/>
      <c r="AU59" s="3154"/>
      <c r="AV59" s="270">
        <f t="shared" si="11"/>
        <v>0</v>
      </c>
      <c r="AW59" s="270">
        <f t="shared" si="12"/>
        <v>0</v>
      </c>
      <c r="AX59" s="270">
        <f t="shared" si="13"/>
        <v>0</v>
      </c>
      <c r="AY59" s="3168">
        <f t="shared" si="14"/>
        <v>0</v>
      </c>
      <c r="AZ59" s="3123">
        <f t="shared" si="15"/>
        <v>0</v>
      </c>
      <c r="BA59" s="3123">
        <f t="shared" si="16"/>
        <v>0</v>
      </c>
      <c r="BB59" s="3123">
        <f t="shared" si="17"/>
        <v>0</v>
      </c>
      <c r="BC59" s="3123">
        <f t="shared" si="18"/>
        <v>0</v>
      </c>
      <c r="BD59" s="3123">
        <f t="shared" si="19"/>
        <v>0</v>
      </c>
      <c r="BE59" s="3123">
        <f t="shared" si="20"/>
        <v>0</v>
      </c>
      <c r="BF59" s="3123">
        <f t="shared" si="21"/>
        <v>0</v>
      </c>
      <c r="BG59" s="3123">
        <f t="shared" si="22"/>
        <v>0</v>
      </c>
      <c r="BH59" s="3123">
        <f t="shared" si="23"/>
        <v>0</v>
      </c>
      <c r="BI59" s="3123">
        <f t="shared" si="24"/>
        <v>0</v>
      </c>
      <c r="BJ59" s="3123">
        <f t="shared" si="25"/>
        <v>0</v>
      </c>
      <c r="BK59" s="3123">
        <f t="shared" si="26"/>
        <v>0</v>
      </c>
      <c r="BL59" s="3123">
        <f t="shared" si="27"/>
        <v>0</v>
      </c>
      <c r="BM59" s="3123">
        <f t="shared" si="28"/>
        <v>0</v>
      </c>
      <c r="BN59" s="3123">
        <f t="shared" si="29"/>
        <v>0</v>
      </c>
      <c r="BO59" s="3123">
        <f t="shared" si="30"/>
        <v>0</v>
      </c>
      <c r="BP59" s="3123">
        <f t="shared" si="31"/>
        <v>0</v>
      </c>
      <c r="BQ59" s="3123">
        <f t="shared" si="32"/>
        <v>0</v>
      </c>
      <c r="BR59" s="3123">
        <f t="shared" si="33"/>
        <v>0</v>
      </c>
      <c r="BS59" s="3123">
        <f t="shared" si="34"/>
        <v>0</v>
      </c>
      <c r="BT59" s="3175">
        <f t="shared" si="35"/>
        <v>0</v>
      </c>
    </row>
    <row r="60" spans="1:72">
      <c r="A60" s="3120"/>
      <c r="B60" s="3121"/>
      <c r="C60" s="3121"/>
      <c r="D60" s="3122"/>
      <c r="E60" s="3123">
        <f t="shared" si="7"/>
        <v>0</v>
      </c>
      <c r="F60" s="3124"/>
      <c r="G60" s="3125">
        <f t="shared" si="8"/>
        <v>0</v>
      </c>
      <c r="H60" s="3126">
        <f t="shared" si="9"/>
        <v>0</v>
      </c>
      <c r="I60" s="3133"/>
      <c r="J60" s="3133"/>
      <c r="K60" s="3133"/>
      <c r="L60" s="3133"/>
      <c r="M60" s="3133"/>
      <c r="N60" s="3133"/>
      <c r="O60" s="3133"/>
      <c r="P60" s="3133"/>
      <c r="Q60" s="3133"/>
      <c r="R60" s="3133"/>
      <c r="S60" s="3133"/>
      <c r="T60" s="3133"/>
      <c r="U60" s="3133"/>
      <c r="V60" s="3133"/>
      <c r="W60" s="3133"/>
      <c r="X60" s="3133"/>
      <c r="Y60" s="3133"/>
      <c r="Z60" s="3133"/>
      <c r="AA60" s="3133"/>
      <c r="AB60" s="3133"/>
      <c r="AC60" s="3123">
        <f t="shared" si="10"/>
        <v>0</v>
      </c>
      <c r="AD60" s="3143"/>
      <c r="AE60" s="3143"/>
      <c r="AF60" s="3143"/>
      <c r="AG60" s="3143"/>
      <c r="AH60" s="3143"/>
      <c r="AI60" s="3143"/>
      <c r="AJ60" s="3143"/>
      <c r="AK60" s="3143"/>
      <c r="AL60" s="3143"/>
      <c r="AM60" s="3143"/>
      <c r="AN60" s="3143"/>
      <c r="AO60" s="3143"/>
      <c r="AP60" s="3143"/>
      <c r="AQ60" s="3143"/>
      <c r="AR60" s="3143"/>
      <c r="AS60" s="3143"/>
      <c r="AT60" s="3153"/>
      <c r="AU60" s="3154"/>
      <c r="AV60" s="270">
        <f t="shared" si="11"/>
        <v>0</v>
      </c>
      <c r="AW60" s="270">
        <f t="shared" si="12"/>
        <v>0</v>
      </c>
      <c r="AX60" s="270">
        <f t="shared" si="13"/>
        <v>0</v>
      </c>
      <c r="AY60" s="3168">
        <f t="shared" si="14"/>
        <v>0</v>
      </c>
      <c r="AZ60" s="3123">
        <f t="shared" si="15"/>
        <v>0</v>
      </c>
      <c r="BA60" s="3123">
        <f t="shared" si="16"/>
        <v>0</v>
      </c>
      <c r="BB60" s="3123">
        <f t="shared" si="17"/>
        <v>0</v>
      </c>
      <c r="BC60" s="3123">
        <f t="shared" si="18"/>
        <v>0</v>
      </c>
      <c r="BD60" s="3123">
        <f t="shared" si="19"/>
        <v>0</v>
      </c>
      <c r="BE60" s="3123">
        <f t="shared" si="20"/>
        <v>0</v>
      </c>
      <c r="BF60" s="3123">
        <f t="shared" si="21"/>
        <v>0</v>
      </c>
      <c r="BG60" s="3123">
        <f t="shared" si="22"/>
        <v>0</v>
      </c>
      <c r="BH60" s="3123">
        <f t="shared" si="23"/>
        <v>0</v>
      </c>
      <c r="BI60" s="3123">
        <f t="shared" si="24"/>
        <v>0</v>
      </c>
      <c r="BJ60" s="3123">
        <f t="shared" si="25"/>
        <v>0</v>
      </c>
      <c r="BK60" s="3123">
        <f t="shared" si="26"/>
        <v>0</v>
      </c>
      <c r="BL60" s="3123">
        <f t="shared" si="27"/>
        <v>0</v>
      </c>
      <c r="BM60" s="3123">
        <f t="shared" si="28"/>
        <v>0</v>
      </c>
      <c r="BN60" s="3123">
        <f t="shared" si="29"/>
        <v>0</v>
      </c>
      <c r="BO60" s="3123">
        <f t="shared" si="30"/>
        <v>0</v>
      </c>
      <c r="BP60" s="3123">
        <f t="shared" si="31"/>
        <v>0</v>
      </c>
      <c r="BQ60" s="3123">
        <f t="shared" si="32"/>
        <v>0</v>
      </c>
      <c r="BR60" s="3123">
        <f t="shared" si="33"/>
        <v>0</v>
      </c>
      <c r="BS60" s="3123">
        <f t="shared" si="34"/>
        <v>0</v>
      </c>
      <c r="BT60" s="3175">
        <f t="shared" si="35"/>
        <v>0</v>
      </c>
    </row>
    <row r="61" spans="1:72">
      <c r="A61" s="3120"/>
      <c r="B61" s="3121"/>
      <c r="C61" s="3121"/>
      <c r="D61" s="3122"/>
      <c r="E61" s="3123">
        <f t="shared" si="7"/>
        <v>0</v>
      </c>
      <c r="F61" s="3124"/>
      <c r="G61" s="3125">
        <f t="shared" si="8"/>
        <v>0</v>
      </c>
      <c r="H61" s="3126">
        <f t="shared" si="9"/>
        <v>0</v>
      </c>
      <c r="I61" s="3133"/>
      <c r="J61" s="3133"/>
      <c r="K61" s="3133"/>
      <c r="L61" s="3133"/>
      <c r="M61" s="3133"/>
      <c r="N61" s="3133"/>
      <c r="O61" s="3133"/>
      <c r="P61" s="3133"/>
      <c r="Q61" s="3133"/>
      <c r="R61" s="3133"/>
      <c r="S61" s="3133"/>
      <c r="T61" s="3133"/>
      <c r="U61" s="3133"/>
      <c r="V61" s="3133"/>
      <c r="W61" s="3133"/>
      <c r="X61" s="3133"/>
      <c r="Y61" s="3133"/>
      <c r="Z61" s="3133"/>
      <c r="AA61" s="3133"/>
      <c r="AB61" s="3133"/>
      <c r="AC61" s="3123">
        <f t="shared" si="10"/>
        <v>0</v>
      </c>
      <c r="AD61" s="3143"/>
      <c r="AE61" s="3143"/>
      <c r="AF61" s="3143"/>
      <c r="AG61" s="3143"/>
      <c r="AH61" s="3143"/>
      <c r="AI61" s="3143"/>
      <c r="AJ61" s="3143"/>
      <c r="AK61" s="3143"/>
      <c r="AL61" s="3143"/>
      <c r="AM61" s="3143"/>
      <c r="AN61" s="3143"/>
      <c r="AO61" s="3143"/>
      <c r="AP61" s="3143"/>
      <c r="AQ61" s="3143"/>
      <c r="AR61" s="3143"/>
      <c r="AS61" s="3143"/>
      <c r="AT61" s="3153"/>
      <c r="AU61" s="3154"/>
      <c r="AV61" s="270">
        <f t="shared" si="11"/>
        <v>0</v>
      </c>
      <c r="AW61" s="270">
        <f t="shared" si="12"/>
        <v>0</v>
      </c>
      <c r="AX61" s="270">
        <f t="shared" si="13"/>
        <v>0</v>
      </c>
      <c r="AY61" s="3168">
        <f t="shared" si="14"/>
        <v>0</v>
      </c>
      <c r="AZ61" s="3123">
        <f t="shared" si="15"/>
        <v>0</v>
      </c>
      <c r="BA61" s="3123">
        <f t="shared" si="16"/>
        <v>0</v>
      </c>
      <c r="BB61" s="3123">
        <f t="shared" si="17"/>
        <v>0</v>
      </c>
      <c r="BC61" s="3123">
        <f t="shared" si="18"/>
        <v>0</v>
      </c>
      <c r="BD61" s="3123">
        <f t="shared" si="19"/>
        <v>0</v>
      </c>
      <c r="BE61" s="3123">
        <f t="shared" si="20"/>
        <v>0</v>
      </c>
      <c r="BF61" s="3123">
        <f t="shared" si="21"/>
        <v>0</v>
      </c>
      <c r="BG61" s="3123">
        <f t="shared" si="22"/>
        <v>0</v>
      </c>
      <c r="BH61" s="3123">
        <f t="shared" si="23"/>
        <v>0</v>
      </c>
      <c r="BI61" s="3123">
        <f t="shared" si="24"/>
        <v>0</v>
      </c>
      <c r="BJ61" s="3123">
        <f t="shared" si="25"/>
        <v>0</v>
      </c>
      <c r="BK61" s="3123">
        <f t="shared" si="26"/>
        <v>0</v>
      </c>
      <c r="BL61" s="3123">
        <f t="shared" si="27"/>
        <v>0</v>
      </c>
      <c r="BM61" s="3123">
        <f t="shared" si="28"/>
        <v>0</v>
      </c>
      <c r="BN61" s="3123">
        <f t="shared" si="29"/>
        <v>0</v>
      </c>
      <c r="BO61" s="3123">
        <f t="shared" si="30"/>
        <v>0</v>
      </c>
      <c r="BP61" s="3123">
        <f t="shared" si="31"/>
        <v>0</v>
      </c>
      <c r="BQ61" s="3123">
        <f t="shared" si="32"/>
        <v>0</v>
      </c>
      <c r="BR61" s="3123">
        <f t="shared" si="33"/>
        <v>0</v>
      </c>
      <c r="BS61" s="3123">
        <f t="shared" si="34"/>
        <v>0</v>
      </c>
      <c r="BT61" s="3175">
        <f t="shared" si="35"/>
        <v>0</v>
      </c>
    </row>
    <row r="62" spans="1:72">
      <c r="A62" s="3120"/>
      <c r="B62" s="3121"/>
      <c r="C62" s="3121"/>
      <c r="D62" s="3122"/>
      <c r="E62" s="3123">
        <f t="shared" si="7"/>
        <v>0</v>
      </c>
      <c r="F62" s="3124"/>
      <c r="G62" s="3125">
        <f t="shared" si="8"/>
        <v>0</v>
      </c>
      <c r="H62" s="3126">
        <f t="shared" si="9"/>
        <v>0</v>
      </c>
      <c r="I62" s="3133"/>
      <c r="J62" s="3133"/>
      <c r="K62" s="3133"/>
      <c r="L62" s="3133"/>
      <c r="M62" s="3133"/>
      <c r="N62" s="3133"/>
      <c r="O62" s="3133"/>
      <c r="P62" s="3133"/>
      <c r="Q62" s="3133"/>
      <c r="R62" s="3133"/>
      <c r="S62" s="3133"/>
      <c r="T62" s="3133"/>
      <c r="U62" s="3133"/>
      <c r="V62" s="3133"/>
      <c r="W62" s="3133"/>
      <c r="X62" s="3133"/>
      <c r="Y62" s="3133"/>
      <c r="Z62" s="3133"/>
      <c r="AA62" s="3133"/>
      <c r="AB62" s="3133"/>
      <c r="AC62" s="3123">
        <f t="shared" si="10"/>
        <v>0</v>
      </c>
      <c r="AD62" s="3143"/>
      <c r="AE62" s="3143"/>
      <c r="AF62" s="3143"/>
      <c r="AG62" s="3143"/>
      <c r="AH62" s="3143"/>
      <c r="AI62" s="3143"/>
      <c r="AJ62" s="3143"/>
      <c r="AK62" s="3143"/>
      <c r="AL62" s="3143"/>
      <c r="AM62" s="3143"/>
      <c r="AN62" s="3143"/>
      <c r="AO62" s="3143"/>
      <c r="AP62" s="3143"/>
      <c r="AQ62" s="3143"/>
      <c r="AR62" s="3143"/>
      <c r="AS62" s="3143"/>
      <c r="AT62" s="3153"/>
      <c r="AU62" s="3154"/>
      <c r="AV62" s="270">
        <f t="shared" si="11"/>
        <v>0</v>
      </c>
      <c r="AW62" s="270">
        <f t="shared" si="12"/>
        <v>0</v>
      </c>
      <c r="AX62" s="270">
        <f t="shared" si="13"/>
        <v>0</v>
      </c>
      <c r="AY62" s="3168">
        <f t="shared" si="14"/>
        <v>0</v>
      </c>
      <c r="AZ62" s="3123">
        <f t="shared" si="15"/>
        <v>0</v>
      </c>
      <c r="BA62" s="3123">
        <f t="shared" si="16"/>
        <v>0</v>
      </c>
      <c r="BB62" s="3123">
        <f t="shared" si="17"/>
        <v>0</v>
      </c>
      <c r="BC62" s="3123">
        <f t="shared" si="18"/>
        <v>0</v>
      </c>
      <c r="BD62" s="3123">
        <f t="shared" si="19"/>
        <v>0</v>
      </c>
      <c r="BE62" s="3123">
        <f t="shared" si="20"/>
        <v>0</v>
      </c>
      <c r="BF62" s="3123">
        <f t="shared" si="21"/>
        <v>0</v>
      </c>
      <c r="BG62" s="3123">
        <f t="shared" si="22"/>
        <v>0</v>
      </c>
      <c r="BH62" s="3123">
        <f t="shared" si="23"/>
        <v>0</v>
      </c>
      <c r="BI62" s="3123">
        <f t="shared" si="24"/>
        <v>0</v>
      </c>
      <c r="BJ62" s="3123">
        <f t="shared" si="25"/>
        <v>0</v>
      </c>
      <c r="BK62" s="3123">
        <f t="shared" si="26"/>
        <v>0</v>
      </c>
      <c r="BL62" s="3123">
        <f t="shared" si="27"/>
        <v>0</v>
      </c>
      <c r="BM62" s="3123">
        <f t="shared" si="28"/>
        <v>0</v>
      </c>
      <c r="BN62" s="3123">
        <f t="shared" si="29"/>
        <v>0</v>
      </c>
      <c r="BO62" s="3123">
        <f t="shared" si="30"/>
        <v>0</v>
      </c>
      <c r="BP62" s="3123">
        <f t="shared" si="31"/>
        <v>0</v>
      </c>
      <c r="BQ62" s="3123">
        <f t="shared" si="32"/>
        <v>0</v>
      </c>
      <c r="BR62" s="3123">
        <f t="shared" si="33"/>
        <v>0</v>
      </c>
      <c r="BS62" s="3123">
        <f t="shared" si="34"/>
        <v>0</v>
      </c>
      <c r="BT62" s="3175">
        <f t="shared" si="35"/>
        <v>0</v>
      </c>
    </row>
    <row r="63" spans="1:72">
      <c r="A63" s="3120"/>
      <c r="B63" s="3121"/>
      <c r="C63" s="3121"/>
      <c r="D63" s="3122"/>
      <c r="E63" s="3123">
        <f t="shared" si="7"/>
        <v>0</v>
      </c>
      <c r="F63" s="3124"/>
      <c r="G63" s="3125">
        <f t="shared" si="8"/>
        <v>0</v>
      </c>
      <c r="H63" s="3126">
        <f t="shared" si="9"/>
        <v>0</v>
      </c>
      <c r="I63" s="3133"/>
      <c r="J63" s="3133"/>
      <c r="K63" s="3133"/>
      <c r="L63" s="3133"/>
      <c r="M63" s="3133"/>
      <c r="N63" s="3133"/>
      <c r="O63" s="3133"/>
      <c r="P63" s="3133"/>
      <c r="Q63" s="3133"/>
      <c r="R63" s="3133"/>
      <c r="S63" s="3133"/>
      <c r="T63" s="3133"/>
      <c r="U63" s="3133"/>
      <c r="V63" s="3133"/>
      <c r="W63" s="3133"/>
      <c r="X63" s="3133"/>
      <c r="Y63" s="3133"/>
      <c r="Z63" s="3133"/>
      <c r="AA63" s="3133"/>
      <c r="AB63" s="3133"/>
      <c r="AC63" s="3123">
        <f t="shared" si="10"/>
        <v>0</v>
      </c>
      <c r="AD63" s="3143"/>
      <c r="AE63" s="3143"/>
      <c r="AF63" s="3143"/>
      <c r="AG63" s="3143"/>
      <c r="AH63" s="3143"/>
      <c r="AI63" s="3143"/>
      <c r="AJ63" s="3143"/>
      <c r="AK63" s="3143"/>
      <c r="AL63" s="3143"/>
      <c r="AM63" s="3143"/>
      <c r="AN63" s="3143"/>
      <c r="AO63" s="3143"/>
      <c r="AP63" s="3143"/>
      <c r="AQ63" s="3143"/>
      <c r="AR63" s="3143"/>
      <c r="AS63" s="3143"/>
      <c r="AT63" s="3153"/>
      <c r="AU63" s="3154"/>
      <c r="AV63" s="270">
        <f t="shared" si="11"/>
        <v>0</v>
      </c>
      <c r="AW63" s="270">
        <f t="shared" si="12"/>
        <v>0</v>
      </c>
      <c r="AX63" s="270">
        <f t="shared" si="13"/>
        <v>0</v>
      </c>
      <c r="AY63" s="3168">
        <f t="shared" si="14"/>
        <v>0</v>
      </c>
      <c r="AZ63" s="3123">
        <f t="shared" si="15"/>
        <v>0</v>
      </c>
      <c r="BA63" s="3123">
        <f t="shared" si="16"/>
        <v>0</v>
      </c>
      <c r="BB63" s="3123">
        <f t="shared" si="17"/>
        <v>0</v>
      </c>
      <c r="BC63" s="3123">
        <f t="shared" si="18"/>
        <v>0</v>
      </c>
      <c r="BD63" s="3123">
        <f t="shared" si="19"/>
        <v>0</v>
      </c>
      <c r="BE63" s="3123">
        <f t="shared" si="20"/>
        <v>0</v>
      </c>
      <c r="BF63" s="3123">
        <f t="shared" si="21"/>
        <v>0</v>
      </c>
      <c r="BG63" s="3123">
        <f t="shared" si="22"/>
        <v>0</v>
      </c>
      <c r="BH63" s="3123">
        <f t="shared" si="23"/>
        <v>0</v>
      </c>
      <c r="BI63" s="3123">
        <f t="shared" si="24"/>
        <v>0</v>
      </c>
      <c r="BJ63" s="3123">
        <f t="shared" si="25"/>
        <v>0</v>
      </c>
      <c r="BK63" s="3123">
        <f t="shared" si="26"/>
        <v>0</v>
      </c>
      <c r="BL63" s="3123">
        <f t="shared" si="27"/>
        <v>0</v>
      </c>
      <c r="BM63" s="3123">
        <f t="shared" si="28"/>
        <v>0</v>
      </c>
      <c r="BN63" s="3123">
        <f t="shared" si="29"/>
        <v>0</v>
      </c>
      <c r="BO63" s="3123">
        <f t="shared" si="30"/>
        <v>0</v>
      </c>
      <c r="BP63" s="3123">
        <f t="shared" si="31"/>
        <v>0</v>
      </c>
      <c r="BQ63" s="3123">
        <f t="shared" si="32"/>
        <v>0</v>
      </c>
      <c r="BR63" s="3123">
        <f t="shared" si="33"/>
        <v>0</v>
      </c>
      <c r="BS63" s="3123">
        <f t="shared" si="34"/>
        <v>0</v>
      </c>
      <c r="BT63" s="3175">
        <f t="shared" si="35"/>
        <v>0</v>
      </c>
    </row>
    <row r="64" spans="1:72">
      <c r="A64" s="3120"/>
      <c r="B64" s="3121"/>
      <c r="C64" s="3121"/>
      <c r="D64" s="3122"/>
      <c r="E64" s="3123">
        <f t="shared" si="7"/>
        <v>0</v>
      </c>
      <c r="F64" s="3124"/>
      <c r="G64" s="3125">
        <f t="shared" si="8"/>
        <v>0</v>
      </c>
      <c r="H64" s="3126">
        <f t="shared" si="9"/>
        <v>0</v>
      </c>
      <c r="I64" s="3133"/>
      <c r="J64" s="3133"/>
      <c r="K64" s="3133"/>
      <c r="L64" s="3133"/>
      <c r="M64" s="3133"/>
      <c r="N64" s="3133"/>
      <c r="O64" s="3133"/>
      <c r="P64" s="3133"/>
      <c r="Q64" s="3133"/>
      <c r="R64" s="3133"/>
      <c r="S64" s="3133"/>
      <c r="T64" s="3133"/>
      <c r="U64" s="3133"/>
      <c r="V64" s="3133"/>
      <c r="W64" s="3133"/>
      <c r="X64" s="3133"/>
      <c r="Y64" s="3133"/>
      <c r="Z64" s="3133"/>
      <c r="AA64" s="3133"/>
      <c r="AB64" s="3133"/>
      <c r="AC64" s="3123">
        <f t="shared" si="10"/>
        <v>0</v>
      </c>
      <c r="AD64" s="3143"/>
      <c r="AE64" s="3143"/>
      <c r="AF64" s="3143"/>
      <c r="AG64" s="3143"/>
      <c r="AH64" s="3143"/>
      <c r="AI64" s="3143"/>
      <c r="AJ64" s="3143"/>
      <c r="AK64" s="3143"/>
      <c r="AL64" s="3143"/>
      <c r="AM64" s="3143"/>
      <c r="AN64" s="3143"/>
      <c r="AO64" s="3143"/>
      <c r="AP64" s="3143"/>
      <c r="AQ64" s="3143"/>
      <c r="AR64" s="3143"/>
      <c r="AS64" s="3143"/>
      <c r="AT64" s="3153"/>
      <c r="AU64" s="3154"/>
      <c r="AV64" s="270">
        <f t="shared" si="11"/>
        <v>0</v>
      </c>
      <c r="AW64" s="270">
        <f t="shared" si="12"/>
        <v>0</v>
      </c>
      <c r="AX64" s="270">
        <f t="shared" si="13"/>
        <v>0</v>
      </c>
      <c r="AY64" s="3168">
        <f t="shared" si="14"/>
        <v>0</v>
      </c>
      <c r="AZ64" s="3123">
        <f t="shared" si="15"/>
        <v>0</v>
      </c>
      <c r="BA64" s="3123">
        <f t="shared" si="16"/>
        <v>0</v>
      </c>
      <c r="BB64" s="3123">
        <f t="shared" si="17"/>
        <v>0</v>
      </c>
      <c r="BC64" s="3123">
        <f t="shared" si="18"/>
        <v>0</v>
      </c>
      <c r="BD64" s="3123">
        <f t="shared" si="19"/>
        <v>0</v>
      </c>
      <c r="BE64" s="3123">
        <f t="shared" si="20"/>
        <v>0</v>
      </c>
      <c r="BF64" s="3123">
        <f t="shared" si="21"/>
        <v>0</v>
      </c>
      <c r="BG64" s="3123">
        <f t="shared" si="22"/>
        <v>0</v>
      </c>
      <c r="BH64" s="3123">
        <f t="shared" si="23"/>
        <v>0</v>
      </c>
      <c r="BI64" s="3123">
        <f t="shared" si="24"/>
        <v>0</v>
      </c>
      <c r="BJ64" s="3123">
        <f t="shared" si="25"/>
        <v>0</v>
      </c>
      <c r="BK64" s="3123">
        <f t="shared" si="26"/>
        <v>0</v>
      </c>
      <c r="BL64" s="3123">
        <f t="shared" si="27"/>
        <v>0</v>
      </c>
      <c r="BM64" s="3123">
        <f t="shared" si="28"/>
        <v>0</v>
      </c>
      <c r="BN64" s="3123">
        <f t="shared" si="29"/>
        <v>0</v>
      </c>
      <c r="BO64" s="3123">
        <f t="shared" si="30"/>
        <v>0</v>
      </c>
      <c r="BP64" s="3123">
        <f t="shared" si="31"/>
        <v>0</v>
      </c>
      <c r="BQ64" s="3123">
        <f t="shared" si="32"/>
        <v>0</v>
      </c>
      <c r="BR64" s="3123">
        <f t="shared" si="33"/>
        <v>0</v>
      </c>
      <c r="BS64" s="3123">
        <f t="shared" si="34"/>
        <v>0</v>
      </c>
      <c r="BT64" s="3175">
        <f t="shared" si="35"/>
        <v>0</v>
      </c>
    </row>
    <row r="65" spans="1:72">
      <c r="A65" s="3120"/>
      <c r="B65" s="3121"/>
      <c r="C65" s="3121"/>
      <c r="D65" s="3122"/>
      <c r="E65" s="3123">
        <f t="shared" si="7"/>
        <v>0</v>
      </c>
      <c r="F65" s="3124"/>
      <c r="G65" s="3125">
        <f t="shared" si="8"/>
        <v>0</v>
      </c>
      <c r="H65" s="3126">
        <f t="shared" si="9"/>
        <v>0</v>
      </c>
      <c r="I65" s="3133"/>
      <c r="J65" s="3133"/>
      <c r="K65" s="3133"/>
      <c r="L65" s="3133"/>
      <c r="M65" s="3133"/>
      <c r="N65" s="3133"/>
      <c r="O65" s="3133"/>
      <c r="P65" s="3133"/>
      <c r="Q65" s="3133"/>
      <c r="R65" s="3133"/>
      <c r="S65" s="3133"/>
      <c r="T65" s="3133"/>
      <c r="U65" s="3133"/>
      <c r="V65" s="3133"/>
      <c r="W65" s="3133"/>
      <c r="X65" s="3133"/>
      <c r="Y65" s="3133"/>
      <c r="Z65" s="3133"/>
      <c r="AA65" s="3133"/>
      <c r="AB65" s="3133"/>
      <c r="AC65" s="3123">
        <f t="shared" si="10"/>
        <v>0</v>
      </c>
      <c r="AD65" s="3143"/>
      <c r="AE65" s="3143"/>
      <c r="AF65" s="3143"/>
      <c r="AG65" s="3143"/>
      <c r="AH65" s="3143"/>
      <c r="AI65" s="3143"/>
      <c r="AJ65" s="3143"/>
      <c r="AK65" s="3143"/>
      <c r="AL65" s="3143"/>
      <c r="AM65" s="3143"/>
      <c r="AN65" s="3143"/>
      <c r="AO65" s="3143"/>
      <c r="AP65" s="3143"/>
      <c r="AQ65" s="3143"/>
      <c r="AR65" s="3143"/>
      <c r="AS65" s="3143"/>
      <c r="AT65" s="3153"/>
      <c r="AU65" s="3154"/>
      <c r="AV65" s="270">
        <f t="shared" si="11"/>
        <v>0</v>
      </c>
      <c r="AW65" s="270">
        <f t="shared" si="12"/>
        <v>0</v>
      </c>
      <c r="AX65" s="270">
        <f t="shared" si="13"/>
        <v>0</v>
      </c>
      <c r="AY65" s="3168">
        <f t="shared" si="14"/>
        <v>0</v>
      </c>
      <c r="AZ65" s="3123">
        <f t="shared" si="15"/>
        <v>0</v>
      </c>
      <c r="BA65" s="3123">
        <f t="shared" si="16"/>
        <v>0</v>
      </c>
      <c r="BB65" s="3123">
        <f t="shared" si="17"/>
        <v>0</v>
      </c>
      <c r="BC65" s="3123">
        <f t="shared" si="18"/>
        <v>0</v>
      </c>
      <c r="BD65" s="3123">
        <f t="shared" si="19"/>
        <v>0</v>
      </c>
      <c r="BE65" s="3123">
        <f t="shared" si="20"/>
        <v>0</v>
      </c>
      <c r="BF65" s="3123">
        <f t="shared" si="21"/>
        <v>0</v>
      </c>
      <c r="BG65" s="3123">
        <f t="shared" si="22"/>
        <v>0</v>
      </c>
      <c r="BH65" s="3123">
        <f t="shared" si="23"/>
        <v>0</v>
      </c>
      <c r="BI65" s="3123">
        <f t="shared" si="24"/>
        <v>0</v>
      </c>
      <c r="BJ65" s="3123">
        <f t="shared" si="25"/>
        <v>0</v>
      </c>
      <c r="BK65" s="3123">
        <f t="shared" si="26"/>
        <v>0</v>
      </c>
      <c r="BL65" s="3123">
        <f t="shared" si="27"/>
        <v>0</v>
      </c>
      <c r="BM65" s="3123">
        <f t="shared" si="28"/>
        <v>0</v>
      </c>
      <c r="BN65" s="3123">
        <f t="shared" si="29"/>
        <v>0</v>
      </c>
      <c r="BO65" s="3123">
        <f t="shared" si="30"/>
        <v>0</v>
      </c>
      <c r="BP65" s="3123">
        <f t="shared" si="31"/>
        <v>0</v>
      </c>
      <c r="BQ65" s="3123">
        <f t="shared" si="32"/>
        <v>0</v>
      </c>
      <c r="BR65" s="3123">
        <f t="shared" si="33"/>
        <v>0</v>
      </c>
      <c r="BS65" s="3123">
        <f t="shared" si="34"/>
        <v>0</v>
      </c>
      <c r="BT65" s="3175">
        <f t="shared" si="35"/>
        <v>0</v>
      </c>
    </row>
    <row r="66" spans="1:72">
      <c r="A66" s="3120"/>
      <c r="B66" s="3121"/>
      <c r="C66" s="3121"/>
      <c r="D66" s="3122"/>
      <c r="E66" s="3123">
        <f t="shared" si="7"/>
        <v>0</v>
      </c>
      <c r="F66" s="3124"/>
      <c r="G66" s="3125">
        <f t="shared" si="8"/>
        <v>0</v>
      </c>
      <c r="H66" s="3126">
        <f t="shared" si="9"/>
        <v>0</v>
      </c>
      <c r="I66" s="3133"/>
      <c r="J66" s="3133"/>
      <c r="K66" s="3133"/>
      <c r="L66" s="3133"/>
      <c r="M66" s="3133"/>
      <c r="N66" s="3133"/>
      <c r="O66" s="3133"/>
      <c r="P66" s="3133"/>
      <c r="Q66" s="3133"/>
      <c r="R66" s="3133"/>
      <c r="S66" s="3133"/>
      <c r="T66" s="3133"/>
      <c r="U66" s="3133"/>
      <c r="V66" s="3133"/>
      <c r="W66" s="3133"/>
      <c r="X66" s="3133"/>
      <c r="Y66" s="3133"/>
      <c r="Z66" s="3133"/>
      <c r="AA66" s="3133"/>
      <c r="AB66" s="3133"/>
      <c r="AC66" s="3123">
        <f t="shared" si="10"/>
        <v>0</v>
      </c>
      <c r="AD66" s="3143"/>
      <c r="AE66" s="3143"/>
      <c r="AF66" s="3143"/>
      <c r="AG66" s="3143"/>
      <c r="AH66" s="3143"/>
      <c r="AI66" s="3143"/>
      <c r="AJ66" s="3143"/>
      <c r="AK66" s="3143"/>
      <c r="AL66" s="3143"/>
      <c r="AM66" s="3143"/>
      <c r="AN66" s="3143"/>
      <c r="AO66" s="3143"/>
      <c r="AP66" s="3143"/>
      <c r="AQ66" s="3143"/>
      <c r="AR66" s="3143"/>
      <c r="AS66" s="3143"/>
      <c r="AT66" s="3153"/>
      <c r="AU66" s="3154"/>
      <c r="AV66" s="270">
        <f t="shared" si="11"/>
        <v>0</v>
      </c>
      <c r="AW66" s="270">
        <f t="shared" si="12"/>
        <v>0</v>
      </c>
      <c r="AX66" s="270">
        <f t="shared" si="13"/>
        <v>0</v>
      </c>
      <c r="AY66" s="3168">
        <f t="shared" si="14"/>
        <v>0</v>
      </c>
      <c r="AZ66" s="3123">
        <f t="shared" si="15"/>
        <v>0</v>
      </c>
      <c r="BA66" s="3123">
        <f t="shared" si="16"/>
        <v>0</v>
      </c>
      <c r="BB66" s="3123">
        <f t="shared" si="17"/>
        <v>0</v>
      </c>
      <c r="BC66" s="3123">
        <f t="shared" si="18"/>
        <v>0</v>
      </c>
      <c r="BD66" s="3123">
        <f t="shared" si="19"/>
        <v>0</v>
      </c>
      <c r="BE66" s="3123">
        <f t="shared" si="20"/>
        <v>0</v>
      </c>
      <c r="BF66" s="3123">
        <f t="shared" si="21"/>
        <v>0</v>
      </c>
      <c r="BG66" s="3123">
        <f t="shared" si="22"/>
        <v>0</v>
      </c>
      <c r="BH66" s="3123">
        <f t="shared" si="23"/>
        <v>0</v>
      </c>
      <c r="BI66" s="3123">
        <f t="shared" si="24"/>
        <v>0</v>
      </c>
      <c r="BJ66" s="3123">
        <f t="shared" si="25"/>
        <v>0</v>
      </c>
      <c r="BK66" s="3123">
        <f t="shared" si="26"/>
        <v>0</v>
      </c>
      <c r="BL66" s="3123">
        <f t="shared" si="27"/>
        <v>0</v>
      </c>
      <c r="BM66" s="3123">
        <f t="shared" si="28"/>
        <v>0</v>
      </c>
      <c r="BN66" s="3123">
        <f t="shared" si="29"/>
        <v>0</v>
      </c>
      <c r="BO66" s="3123">
        <f t="shared" si="30"/>
        <v>0</v>
      </c>
      <c r="BP66" s="3123">
        <f t="shared" si="31"/>
        <v>0</v>
      </c>
      <c r="BQ66" s="3123">
        <f t="shared" si="32"/>
        <v>0</v>
      </c>
      <c r="BR66" s="3123">
        <f t="shared" si="33"/>
        <v>0</v>
      </c>
      <c r="BS66" s="3123">
        <f t="shared" si="34"/>
        <v>0</v>
      </c>
      <c r="BT66" s="3175">
        <f t="shared" si="35"/>
        <v>0</v>
      </c>
    </row>
    <row r="67" spans="1:72">
      <c r="A67" s="3120"/>
      <c r="B67" s="3121"/>
      <c r="C67" s="3121"/>
      <c r="D67" s="3122"/>
      <c r="E67" s="3123">
        <f t="shared" si="7"/>
        <v>0</v>
      </c>
      <c r="F67" s="3124"/>
      <c r="G67" s="3125">
        <f t="shared" si="8"/>
        <v>0</v>
      </c>
      <c r="H67" s="3126">
        <f t="shared" si="9"/>
        <v>0</v>
      </c>
      <c r="I67" s="3133"/>
      <c r="J67" s="3133"/>
      <c r="K67" s="3133"/>
      <c r="L67" s="3133"/>
      <c r="M67" s="3133"/>
      <c r="N67" s="3133"/>
      <c r="O67" s="3133"/>
      <c r="P67" s="3133"/>
      <c r="Q67" s="3133"/>
      <c r="R67" s="3133"/>
      <c r="S67" s="3133"/>
      <c r="T67" s="3133"/>
      <c r="U67" s="3133"/>
      <c r="V67" s="3133"/>
      <c r="W67" s="3133"/>
      <c r="X67" s="3133"/>
      <c r="Y67" s="3133"/>
      <c r="Z67" s="3133"/>
      <c r="AA67" s="3133"/>
      <c r="AB67" s="3133"/>
      <c r="AC67" s="3123">
        <f t="shared" si="10"/>
        <v>0</v>
      </c>
      <c r="AD67" s="3143"/>
      <c r="AE67" s="3143"/>
      <c r="AF67" s="3143"/>
      <c r="AG67" s="3143"/>
      <c r="AH67" s="3143"/>
      <c r="AI67" s="3143"/>
      <c r="AJ67" s="3143"/>
      <c r="AK67" s="3143"/>
      <c r="AL67" s="3143"/>
      <c r="AM67" s="3143"/>
      <c r="AN67" s="3143"/>
      <c r="AO67" s="3143"/>
      <c r="AP67" s="3143"/>
      <c r="AQ67" s="3143"/>
      <c r="AR67" s="3143"/>
      <c r="AS67" s="3143"/>
      <c r="AT67" s="3153"/>
      <c r="AU67" s="3154"/>
      <c r="AV67" s="270">
        <f t="shared" si="11"/>
        <v>0</v>
      </c>
      <c r="AW67" s="270">
        <f t="shared" si="12"/>
        <v>0</v>
      </c>
      <c r="AX67" s="270">
        <f t="shared" si="13"/>
        <v>0</v>
      </c>
      <c r="AY67" s="3168">
        <f t="shared" si="14"/>
        <v>0</v>
      </c>
      <c r="AZ67" s="3123">
        <f t="shared" si="15"/>
        <v>0</v>
      </c>
      <c r="BA67" s="3123">
        <f t="shared" si="16"/>
        <v>0</v>
      </c>
      <c r="BB67" s="3123">
        <f t="shared" si="17"/>
        <v>0</v>
      </c>
      <c r="BC67" s="3123">
        <f t="shared" si="18"/>
        <v>0</v>
      </c>
      <c r="BD67" s="3123">
        <f t="shared" si="19"/>
        <v>0</v>
      </c>
      <c r="BE67" s="3123">
        <f t="shared" si="20"/>
        <v>0</v>
      </c>
      <c r="BF67" s="3123">
        <f t="shared" si="21"/>
        <v>0</v>
      </c>
      <c r="BG67" s="3123">
        <f t="shared" si="22"/>
        <v>0</v>
      </c>
      <c r="BH67" s="3123">
        <f t="shared" si="23"/>
        <v>0</v>
      </c>
      <c r="BI67" s="3123">
        <f t="shared" si="24"/>
        <v>0</v>
      </c>
      <c r="BJ67" s="3123">
        <f t="shared" si="25"/>
        <v>0</v>
      </c>
      <c r="BK67" s="3123">
        <f t="shared" si="26"/>
        <v>0</v>
      </c>
      <c r="BL67" s="3123">
        <f t="shared" si="27"/>
        <v>0</v>
      </c>
      <c r="BM67" s="3123">
        <f t="shared" si="28"/>
        <v>0</v>
      </c>
      <c r="BN67" s="3123">
        <f t="shared" si="29"/>
        <v>0</v>
      </c>
      <c r="BO67" s="3123">
        <f t="shared" si="30"/>
        <v>0</v>
      </c>
      <c r="BP67" s="3123">
        <f t="shared" si="31"/>
        <v>0</v>
      </c>
      <c r="BQ67" s="3123">
        <f t="shared" si="32"/>
        <v>0</v>
      </c>
      <c r="BR67" s="3123">
        <f t="shared" si="33"/>
        <v>0</v>
      </c>
      <c r="BS67" s="3123">
        <f t="shared" si="34"/>
        <v>0</v>
      </c>
      <c r="BT67" s="3175">
        <f t="shared" si="35"/>
        <v>0</v>
      </c>
    </row>
    <row r="68" spans="1:72">
      <c r="A68" s="3120"/>
      <c r="B68" s="3121"/>
      <c r="C68" s="3121"/>
      <c r="D68" s="3122"/>
      <c r="E68" s="3123">
        <f t="shared" si="7"/>
        <v>0</v>
      </c>
      <c r="F68" s="3124"/>
      <c r="G68" s="3125">
        <f t="shared" si="8"/>
        <v>0</v>
      </c>
      <c r="H68" s="3126">
        <f t="shared" si="9"/>
        <v>0</v>
      </c>
      <c r="I68" s="3133"/>
      <c r="J68" s="3133"/>
      <c r="K68" s="3133"/>
      <c r="L68" s="3133"/>
      <c r="M68" s="3133"/>
      <c r="N68" s="3133"/>
      <c r="O68" s="3133"/>
      <c r="P68" s="3133"/>
      <c r="Q68" s="3133"/>
      <c r="R68" s="3133"/>
      <c r="S68" s="3133"/>
      <c r="T68" s="3133"/>
      <c r="U68" s="3133"/>
      <c r="V68" s="3133"/>
      <c r="W68" s="3133"/>
      <c r="X68" s="3133"/>
      <c r="Y68" s="3133"/>
      <c r="Z68" s="3133"/>
      <c r="AA68" s="3133"/>
      <c r="AB68" s="3133"/>
      <c r="AC68" s="3123">
        <f t="shared" si="10"/>
        <v>0</v>
      </c>
      <c r="AD68" s="3143"/>
      <c r="AE68" s="3143"/>
      <c r="AF68" s="3143"/>
      <c r="AG68" s="3143"/>
      <c r="AH68" s="3143"/>
      <c r="AI68" s="3143"/>
      <c r="AJ68" s="3143"/>
      <c r="AK68" s="3143"/>
      <c r="AL68" s="3143"/>
      <c r="AM68" s="3143"/>
      <c r="AN68" s="3143"/>
      <c r="AO68" s="3143"/>
      <c r="AP68" s="3143"/>
      <c r="AQ68" s="3143"/>
      <c r="AR68" s="3143"/>
      <c r="AS68" s="3143"/>
      <c r="AT68" s="3153"/>
      <c r="AU68" s="3154"/>
      <c r="AV68" s="270">
        <f t="shared" si="11"/>
        <v>0</v>
      </c>
      <c r="AW68" s="270">
        <f t="shared" si="12"/>
        <v>0</v>
      </c>
      <c r="AX68" s="270">
        <f t="shared" si="13"/>
        <v>0</v>
      </c>
      <c r="AY68" s="3168">
        <f t="shared" si="14"/>
        <v>0</v>
      </c>
      <c r="AZ68" s="3123">
        <f t="shared" si="15"/>
        <v>0</v>
      </c>
      <c r="BA68" s="3123">
        <f t="shared" si="16"/>
        <v>0</v>
      </c>
      <c r="BB68" s="3123">
        <f t="shared" si="17"/>
        <v>0</v>
      </c>
      <c r="BC68" s="3123">
        <f t="shared" si="18"/>
        <v>0</v>
      </c>
      <c r="BD68" s="3123">
        <f t="shared" si="19"/>
        <v>0</v>
      </c>
      <c r="BE68" s="3123">
        <f t="shared" si="20"/>
        <v>0</v>
      </c>
      <c r="BF68" s="3123">
        <f t="shared" si="21"/>
        <v>0</v>
      </c>
      <c r="BG68" s="3123">
        <f t="shared" si="22"/>
        <v>0</v>
      </c>
      <c r="BH68" s="3123">
        <f t="shared" si="23"/>
        <v>0</v>
      </c>
      <c r="BI68" s="3123">
        <f t="shared" si="24"/>
        <v>0</v>
      </c>
      <c r="BJ68" s="3123">
        <f t="shared" si="25"/>
        <v>0</v>
      </c>
      <c r="BK68" s="3123">
        <f t="shared" si="26"/>
        <v>0</v>
      </c>
      <c r="BL68" s="3123">
        <f t="shared" si="27"/>
        <v>0</v>
      </c>
      <c r="BM68" s="3123">
        <f t="shared" si="28"/>
        <v>0</v>
      </c>
      <c r="BN68" s="3123">
        <f t="shared" si="29"/>
        <v>0</v>
      </c>
      <c r="BO68" s="3123">
        <f t="shared" si="30"/>
        <v>0</v>
      </c>
      <c r="BP68" s="3123">
        <f t="shared" si="31"/>
        <v>0</v>
      </c>
      <c r="BQ68" s="3123">
        <f t="shared" si="32"/>
        <v>0</v>
      </c>
      <c r="BR68" s="3123">
        <f t="shared" si="33"/>
        <v>0</v>
      </c>
      <c r="BS68" s="3123">
        <f t="shared" si="34"/>
        <v>0</v>
      </c>
      <c r="BT68" s="3175">
        <f t="shared" si="35"/>
        <v>0</v>
      </c>
    </row>
    <row r="69" spans="1:72">
      <c r="A69" s="3120"/>
      <c r="B69" s="3121"/>
      <c r="C69" s="3121"/>
      <c r="D69" s="3122"/>
      <c r="E69" s="3123">
        <f t="shared" si="7"/>
        <v>0</v>
      </c>
      <c r="F69" s="3124"/>
      <c r="G69" s="3125">
        <f t="shared" si="8"/>
        <v>0</v>
      </c>
      <c r="H69" s="3126">
        <f t="shared" si="9"/>
        <v>0</v>
      </c>
      <c r="I69" s="3133"/>
      <c r="J69" s="3133"/>
      <c r="K69" s="3133"/>
      <c r="L69" s="3133"/>
      <c r="M69" s="3133"/>
      <c r="N69" s="3133"/>
      <c r="O69" s="3133"/>
      <c r="P69" s="3133"/>
      <c r="Q69" s="3133"/>
      <c r="R69" s="3133"/>
      <c r="S69" s="3133"/>
      <c r="T69" s="3133"/>
      <c r="U69" s="3133"/>
      <c r="V69" s="3133"/>
      <c r="W69" s="3133"/>
      <c r="X69" s="3133"/>
      <c r="Y69" s="3133"/>
      <c r="Z69" s="3133"/>
      <c r="AA69" s="3133"/>
      <c r="AB69" s="3133"/>
      <c r="AC69" s="3123">
        <f t="shared" si="10"/>
        <v>0</v>
      </c>
      <c r="AD69" s="3143"/>
      <c r="AE69" s="3143"/>
      <c r="AF69" s="3143"/>
      <c r="AG69" s="3143"/>
      <c r="AH69" s="3143"/>
      <c r="AI69" s="3143"/>
      <c r="AJ69" s="3143"/>
      <c r="AK69" s="3143"/>
      <c r="AL69" s="3143"/>
      <c r="AM69" s="3143"/>
      <c r="AN69" s="3143"/>
      <c r="AO69" s="3143"/>
      <c r="AP69" s="3143"/>
      <c r="AQ69" s="3143"/>
      <c r="AR69" s="3143"/>
      <c r="AS69" s="3143"/>
      <c r="AT69" s="3153"/>
      <c r="AU69" s="3154"/>
      <c r="AV69" s="270">
        <f t="shared" si="11"/>
        <v>0</v>
      </c>
      <c r="AW69" s="270">
        <f t="shared" si="12"/>
        <v>0</v>
      </c>
      <c r="AX69" s="270">
        <f t="shared" si="13"/>
        <v>0</v>
      </c>
      <c r="AY69" s="3168">
        <f t="shared" si="14"/>
        <v>0</v>
      </c>
      <c r="AZ69" s="3123">
        <f t="shared" si="15"/>
        <v>0</v>
      </c>
      <c r="BA69" s="3123">
        <f t="shared" si="16"/>
        <v>0</v>
      </c>
      <c r="BB69" s="3123">
        <f t="shared" si="17"/>
        <v>0</v>
      </c>
      <c r="BC69" s="3123">
        <f t="shared" si="18"/>
        <v>0</v>
      </c>
      <c r="BD69" s="3123">
        <f t="shared" si="19"/>
        <v>0</v>
      </c>
      <c r="BE69" s="3123">
        <f t="shared" si="20"/>
        <v>0</v>
      </c>
      <c r="BF69" s="3123">
        <f t="shared" si="21"/>
        <v>0</v>
      </c>
      <c r="BG69" s="3123">
        <f t="shared" si="22"/>
        <v>0</v>
      </c>
      <c r="BH69" s="3123">
        <f t="shared" si="23"/>
        <v>0</v>
      </c>
      <c r="BI69" s="3123">
        <f t="shared" si="24"/>
        <v>0</v>
      </c>
      <c r="BJ69" s="3123">
        <f t="shared" si="25"/>
        <v>0</v>
      </c>
      <c r="BK69" s="3123">
        <f t="shared" si="26"/>
        <v>0</v>
      </c>
      <c r="BL69" s="3123">
        <f t="shared" si="27"/>
        <v>0</v>
      </c>
      <c r="BM69" s="3123">
        <f t="shared" si="28"/>
        <v>0</v>
      </c>
      <c r="BN69" s="3123">
        <f t="shared" si="29"/>
        <v>0</v>
      </c>
      <c r="BO69" s="3123">
        <f t="shared" si="30"/>
        <v>0</v>
      </c>
      <c r="BP69" s="3123">
        <f t="shared" si="31"/>
        <v>0</v>
      </c>
      <c r="BQ69" s="3123">
        <f t="shared" si="32"/>
        <v>0</v>
      </c>
      <c r="BR69" s="3123">
        <f t="shared" si="33"/>
        <v>0</v>
      </c>
      <c r="BS69" s="3123">
        <f t="shared" si="34"/>
        <v>0</v>
      </c>
      <c r="BT69" s="3175">
        <f t="shared" si="35"/>
        <v>0</v>
      </c>
    </row>
    <row r="70" spans="1:72">
      <c r="A70" s="3120"/>
      <c r="B70" s="3121"/>
      <c r="C70" s="3121"/>
      <c r="D70" s="3122"/>
      <c r="E70" s="3123">
        <f t="shared" si="7"/>
        <v>0</v>
      </c>
      <c r="F70" s="3124"/>
      <c r="G70" s="3125">
        <f t="shared" si="8"/>
        <v>0</v>
      </c>
      <c r="H70" s="3126">
        <f t="shared" si="9"/>
        <v>0</v>
      </c>
      <c r="I70" s="3133"/>
      <c r="J70" s="3133"/>
      <c r="K70" s="3133"/>
      <c r="L70" s="3133"/>
      <c r="M70" s="3133"/>
      <c r="N70" s="3133"/>
      <c r="O70" s="3133"/>
      <c r="P70" s="3133"/>
      <c r="Q70" s="3133"/>
      <c r="R70" s="3133"/>
      <c r="S70" s="3133"/>
      <c r="T70" s="3133"/>
      <c r="U70" s="3133"/>
      <c r="V70" s="3133"/>
      <c r="W70" s="3133"/>
      <c r="X70" s="3133"/>
      <c r="Y70" s="3133"/>
      <c r="Z70" s="3133"/>
      <c r="AA70" s="3133"/>
      <c r="AB70" s="3133"/>
      <c r="AC70" s="3123">
        <f t="shared" si="10"/>
        <v>0</v>
      </c>
      <c r="AD70" s="3143"/>
      <c r="AE70" s="3143"/>
      <c r="AF70" s="3143"/>
      <c r="AG70" s="3143"/>
      <c r="AH70" s="3143"/>
      <c r="AI70" s="3143"/>
      <c r="AJ70" s="3143"/>
      <c r="AK70" s="3143"/>
      <c r="AL70" s="3143"/>
      <c r="AM70" s="3143"/>
      <c r="AN70" s="3143"/>
      <c r="AO70" s="3143"/>
      <c r="AP70" s="3143"/>
      <c r="AQ70" s="3143"/>
      <c r="AR70" s="3143"/>
      <c r="AS70" s="3143"/>
      <c r="AT70" s="3153"/>
      <c r="AU70" s="3154"/>
      <c r="AV70" s="270">
        <f t="shared" si="11"/>
        <v>0</v>
      </c>
      <c r="AW70" s="270">
        <f t="shared" si="12"/>
        <v>0</v>
      </c>
      <c r="AX70" s="270">
        <f t="shared" si="13"/>
        <v>0</v>
      </c>
      <c r="AY70" s="3168">
        <f t="shared" si="14"/>
        <v>0</v>
      </c>
      <c r="AZ70" s="3123">
        <f t="shared" si="15"/>
        <v>0</v>
      </c>
      <c r="BA70" s="3123">
        <f t="shared" si="16"/>
        <v>0</v>
      </c>
      <c r="BB70" s="3123">
        <f t="shared" si="17"/>
        <v>0</v>
      </c>
      <c r="BC70" s="3123">
        <f t="shared" si="18"/>
        <v>0</v>
      </c>
      <c r="BD70" s="3123">
        <f t="shared" si="19"/>
        <v>0</v>
      </c>
      <c r="BE70" s="3123">
        <f t="shared" si="20"/>
        <v>0</v>
      </c>
      <c r="BF70" s="3123">
        <f t="shared" si="21"/>
        <v>0</v>
      </c>
      <c r="BG70" s="3123">
        <f t="shared" si="22"/>
        <v>0</v>
      </c>
      <c r="BH70" s="3123">
        <f t="shared" si="23"/>
        <v>0</v>
      </c>
      <c r="BI70" s="3123">
        <f t="shared" si="24"/>
        <v>0</v>
      </c>
      <c r="BJ70" s="3123">
        <f t="shared" si="25"/>
        <v>0</v>
      </c>
      <c r="BK70" s="3123">
        <f t="shared" si="26"/>
        <v>0</v>
      </c>
      <c r="BL70" s="3123">
        <f t="shared" si="27"/>
        <v>0</v>
      </c>
      <c r="BM70" s="3123">
        <f t="shared" si="28"/>
        <v>0</v>
      </c>
      <c r="BN70" s="3123">
        <f t="shared" si="29"/>
        <v>0</v>
      </c>
      <c r="BO70" s="3123">
        <f t="shared" si="30"/>
        <v>0</v>
      </c>
      <c r="BP70" s="3123">
        <f t="shared" si="31"/>
        <v>0</v>
      </c>
      <c r="BQ70" s="3123">
        <f t="shared" si="32"/>
        <v>0</v>
      </c>
      <c r="BR70" s="3123">
        <f t="shared" si="33"/>
        <v>0</v>
      </c>
      <c r="BS70" s="3123">
        <f t="shared" si="34"/>
        <v>0</v>
      </c>
      <c r="BT70" s="3175">
        <f t="shared" si="35"/>
        <v>0</v>
      </c>
    </row>
    <row r="71" spans="1:72">
      <c r="A71" s="3120"/>
      <c r="B71" s="3121"/>
      <c r="C71" s="3121"/>
      <c r="D71" s="3122"/>
      <c r="E71" s="3123">
        <f t="shared" si="7"/>
        <v>0</v>
      </c>
      <c r="F71" s="3124"/>
      <c r="G71" s="3125">
        <f t="shared" si="8"/>
        <v>0</v>
      </c>
      <c r="H71" s="3126">
        <f t="shared" si="9"/>
        <v>0</v>
      </c>
      <c r="I71" s="3133"/>
      <c r="J71" s="3133"/>
      <c r="K71" s="3133"/>
      <c r="L71" s="3133"/>
      <c r="M71" s="3133"/>
      <c r="N71" s="3133"/>
      <c r="O71" s="3133"/>
      <c r="P71" s="3133"/>
      <c r="Q71" s="3133"/>
      <c r="R71" s="3133"/>
      <c r="S71" s="3133"/>
      <c r="T71" s="3133"/>
      <c r="U71" s="3133"/>
      <c r="V71" s="3133"/>
      <c r="W71" s="3133"/>
      <c r="X71" s="3133"/>
      <c r="Y71" s="3133"/>
      <c r="Z71" s="3133"/>
      <c r="AA71" s="3133"/>
      <c r="AB71" s="3133"/>
      <c r="AC71" s="3123">
        <f t="shared" si="10"/>
        <v>0</v>
      </c>
      <c r="AD71" s="3143"/>
      <c r="AE71" s="3143"/>
      <c r="AF71" s="3143"/>
      <c r="AG71" s="3143"/>
      <c r="AH71" s="3143"/>
      <c r="AI71" s="3143"/>
      <c r="AJ71" s="3143"/>
      <c r="AK71" s="3143"/>
      <c r="AL71" s="3143"/>
      <c r="AM71" s="3143"/>
      <c r="AN71" s="3143"/>
      <c r="AO71" s="3143"/>
      <c r="AP71" s="3143"/>
      <c r="AQ71" s="3143"/>
      <c r="AR71" s="3143"/>
      <c r="AS71" s="3143"/>
      <c r="AT71" s="3153"/>
      <c r="AU71" s="3154"/>
      <c r="AV71" s="270">
        <f t="shared" si="11"/>
        <v>0</v>
      </c>
      <c r="AW71" s="270">
        <f t="shared" si="12"/>
        <v>0</v>
      </c>
      <c r="AX71" s="270">
        <f t="shared" si="13"/>
        <v>0</v>
      </c>
      <c r="AY71" s="3168">
        <f t="shared" si="14"/>
        <v>0</v>
      </c>
      <c r="AZ71" s="3123">
        <f t="shared" si="15"/>
        <v>0</v>
      </c>
      <c r="BA71" s="3123">
        <f t="shared" si="16"/>
        <v>0</v>
      </c>
      <c r="BB71" s="3123">
        <f t="shared" si="17"/>
        <v>0</v>
      </c>
      <c r="BC71" s="3123">
        <f t="shared" si="18"/>
        <v>0</v>
      </c>
      <c r="BD71" s="3123">
        <f t="shared" si="19"/>
        <v>0</v>
      </c>
      <c r="BE71" s="3123">
        <f t="shared" si="20"/>
        <v>0</v>
      </c>
      <c r="BF71" s="3123">
        <f t="shared" si="21"/>
        <v>0</v>
      </c>
      <c r="BG71" s="3123">
        <f t="shared" si="22"/>
        <v>0</v>
      </c>
      <c r="BH71" s="3123">
        <f t="shared" si="23"/>
        <v>0</v>
      </c>
      <c r="BI71" s="3123">
        <f t="shared" si="24"/>
        <v>0</v>
      </c>
      <c r="BJ71" s="3123">
        <f t="shared" si="25"/>
        <v>0</v>
      </c>
      <c r="BK71" s="3123">
        <f t="shared" si="26"/>
        <v>0</v>
      </c>
      <c r="BL71" s="3123">
        <f t="shared" si="27"/>
        <v>0</v>
      </c>
      <c r="BM71" s="3123">
        <f t="shared" si="28"/>
        <v>0</v>
      </c>
      <c r="BN71" s="3123">
        <f t="shared" si="29"/>
        <v>0</v>
      </c>
      <c r="BO71" s="3123">
        <f t="shared" si="30"/>
        <v>0</v>
      </c>
      <c r="BP71" s="3123">
        <f t="shared" si="31"/>
        <v>0</v>
      </c>
      <c r="BQ71" s="3123">
        <f t="shared" si="32"/>
        <v>0</v>
      </c>
      <c r="BR71" s="3123">
        <f t="shared" si="33"/>
        <v>0</v>
      </c>
      <c r="BS71" s="3123">
        <f t="shared" si="34"/>
        <v>0</v>
      </c>
      <c r="BT71" s="3175">
        <f t="shared" si="35"/>
        <v>0</v>
      </c>
    </row>
    <row r="72" spans="1:72">
      <c r="A72" s="3120"/>
      <c r="B72" s="3121"/>
      <c r="C72" s="3121"/>
      <c r="D72" s="3122"/>
      <c r="E72" s="3123">
        <f t="shared" si="7"/>
        <v>0</v>
      </c>
      <c r="F72" s="3124"/>
      <c r="G72" s="3125">
        <f t="shared" si="8"/>
        <v>0</v>
      </c>
      <c r="H72" s="3126">
        <f t="shared" si="9"/>
        <v>0</v>
      </c>
      <c r="I72" s="3133"/>
      <c r="J72" s="3133"/>
      <c r="K72" s="3133"/>
      <c r="L72" s="3133"/>
      <c r="M72" s="3133"/>
      <c r="N72" s="3133"/>
      <c r="O72" s="3133"/>
      <c r="P72" s="3133"/>
      <c r="Q72" s="3133"/>
      <c r="R72" s="3133"/>
      <c r="S72" s="3133"/>
      <c r="T72" s="3133"/>
      <c r="U72" s="3133"/>
      <c r="V72" s="3133"/>
      <c r="W72" s="3133"/>
      <c r="X72" s="3133"/>
      <c r="Y72" s="3133"/>
      <c r="Z72" s="3133"/>
      <c r="AA72" s="3133"/>
      <c r="AB72" s="3133"/>
      <c r="AC72" s="3123">
        <f t="shared" si="10"/>
        <v>0</v>
      </c>
      <c r="AD72" s="3143"/>
      <c r="AE72" s="3143"/>
      <c r="AF72" s="3143"/>
      <c r="AG72" s="3143"/>
      <c r="AH72" s="3143"/>
      <c r="AI72" s="3143"/>
      <c r="AJ72" s="3143"/>
      <c r="AK72" s="3143"/>
      <c r="AL72" s="3143"/>
      <c r="AM72" s="3143"/>
      <c r="AN72" s="3143"/>
      <c r="AO72" s="3143"/>
      <c r="AP72" s="3143"/>
      <c r="AQ72" s="3143"/>
      <c r="AR72" s="3143"/>
      <c r="AS72" s="3143"/>
      <c r="AT72" s="3153"/>
      <c r="AU72" s="3154"/>
      <c r="AV72" s="270">
        <f t="shared" si="11"/>
        <v>0</v>
      </c>
      <c r="AW72" s="270">
        <f t="shared" si="12"/>
        <v>0</v>
      </c>
      <c r="AX72" s="270">
        <f t="shared" si="13"/>
        <v>0</v>
      </c>
      <c r="AY72" s="3168">
        <f t="shared" si="14"/>
        <v>0</v>
      </c>
      <c r="AZ72" s="3123">
        <f t="shared" si="15"/>
        <v>0</v>
      </c>
      <c r="BA72" s="3123">
        <f t="shared" si="16"/>
        <v>0</v>
      </c>
      <c r="BB72" s="3123">
        <f t="shared" si="17"/>
        <v>0</v>
      </c>
      <c r="BC72" s="3123">
        <f t="shared" si="18"/>
        <v>0</v>
      </c>
      <c r="BD72" s="3123">
        <f t="shared" si="19"/>
        <v>0</v>
      </c>
      <c r="BE72" s="3123">
        <f t="shared" si="20"/>
        <v>0</v>
      </c>
      <c r="BF72" s="3123">
        <f t="shared" si="21"/>
        <v>0</v>
      </c>
      <c r="BG72" s="3123">
        <f t="shared" si="22"/>
        <v>0</v>
      </c>
      <c r="BH72" s="3123">
        <f t="shared" si="23"/>
        <v>0</v>
      </c>
      <c r="BI72" s="3123">
        <f t="shared" si="24"/>
        <v>0</v>
      </c>
      <c r="BJ72" s="3123">
        <f t="shared" si="25"/>
        <v>0</v>
      </c>
      <c r="BK72" s="3123">
        <f t="shared" si="26"/>
        <v>0</v>
      </c>
      <c r="BL72" s="3123">
        <f t="shared" si="27"/>
        <v>0</v>
      </c>
      <c r="BM72" s="3123">
        <f t="shared" si="28"/>
        <v>0</v>
      </c>
      <c r="BN72" s="3123">
        <f t="shared" si="29"/>
        <v>0</v>
      </c>
      <c r="BO72" s="3123">
        <f t="shared" si="30"/>
        <v>0</v>
      </c>
      <c r="BP72" s="3123">
        <f t="shared" si="31"/>
        <v>0</v>
      </c>
      <c r="BQ72" s="3123">
        <f t="shared" si="32"/>
        <v>0</v>
      </c>
      <c r="BR72" s="3123">
        <f t="shared" si="33"/>
        <v>0</v>
      </c>
      <c r="BS72" s="3123">
        <f t="shared" si="34"/>
        <v>0</v>
      </c>
      <c r="BT72" s="3175">
        <f t="shared" si="35"/>
        <v>0</v>
      </c>
    </row>
    <row r="73" spans="1:72">
      <c r="A73" s="3120"/>
      <c r="B73" s="3121"/>
      <c r="C73" s="3121"/>
      <c r="D73" s="3122"/>
      <c r="E73" s="3123">
        <f t="shared" si="7"/>
        <v>0</v>
      </c>
      <c r="F73" s="3124"/>
      <c r="G73" s="3125">
        <f t="shared" si="8"/>
        <v>0</v>
      </c>
      <c r="H73" s="3126">
        <f t="shared" si="9"/>
        <v>0</v>
      </c>
      <c r="I73" s="3133"/>
      <c r="J73" s="3133"/>
      <c r="K73" s="3133"/>
      <c r="L73" s="3133"/>
      <c r="M73" s="3133"/>
      <c r="N73" s="3133"/>
      <c r="O73" s="3133"/>
      <c r="P73" s="3133"/>
      <c r="Q73" s="3133"/>
      <c r="R73" s="3133"/>
      <c r="S73" s="3133"/>
      <c r="T73" s="3133"/>
      <c r="U73" s="3133"/>
      <c r="V73" s="3133"/>
      <c r="W73" s="3133"/>
      <c r="X73" s="3133"/>
      <c r="Y73" s="3133"/>
      <c r="Z73" s="3133"/>
      <c r="AA73" s="3133"/>
      <c r="AB73" s="3133"/>
      <c r="AC73" s="3123">
        <f t="shared" si="10"/>
        <v>0</v>
      </c>
      <c r="AD73" s="3143"/>
      <c r="AE73" s="3143"/>
      <c r="AF73" s="3143"/>
      <c r="AG73" s="3143"/>
      <c r="AH73" s="3143"/>
      <c r="AI73" s="3143"/>
      <c r="AJ73" s="3143"/>
      <c r="AK73" s="3143"/>
      <c r="AL73" s="3143"/>
      <c r="AM73" s="3143"/>
      <c r="AN73" s="3143"/>
      <c r="AO73" s="3143"/>
      <c r="AP73" s="3143"/>
      <c r="AQ73" s="3143"/>
      <c r="AR73" s="3143"/>
      <c r="AS73" s="3143"/>
      <c r="AT73" s="3153"/>
      <c r="AU73" s="3154"/>
      <c r="AV73" s="270">
        <f t="shared" si="11"/>
        <v>0</v>
      </c>
      <c r="AW73" s="270">
        <f t="shared" si="12"/>
        <v>0</v>
      </c>
      <c r="AX73" s="270">
        <f t="shared" si="13"/>
        <v>0</v>
      </c>
      <c r="AY73" s="3168">
        <f t="shared" si="14"/>
        <v>0</v>
      </c>
      <c r="AZ73" s="3123">
        <f t="shared" si="15"/>
        <v>0</v>
      </c>
      <c r="BA73" s="3123">
        <f t="shared" si="16"/>
        <v>0</v>
      </c>
      <c r="BB73" s="3123">
        <f t="shared" si="17"/>
        <v>0</v>
      </c>
      <c r="BC73" s="3123">
        <f t="shared" si="18"/>
        <v>0</v>
      </c>
      <c r="BD73" s="3123">
        <f t="shared" si="19"/>
        <v>0</v>
      </c>
      <c r="BE73" s="3123">
        <f t="shared" si="20"/>
        <v>0</v>
      </c>
      <c r="BF73" s="3123">
        <f t="shared" si="21"/>
        <v>0</v>
      </c>
      <c r="BG73" s="3123">
        <f t="shared" si="22"/>
        <v>0</v>
      </c>
      <c r="BH73" s="3123">
        <f t="shared" si="23"/>
        <v>0</v>
      </c>
      <c r="BI73" s="3123">
        <f t="shared" si="24"/>
        <v>0</v>
      </c>
      <c r="BJ73" s="3123">
        <f t="shared" si="25"/>
        <v>0</v>
      </c>
      <c r="BK73" s="3123">
        <f t="shared" si="26"/>
        <v>0</v>
      </c>
      <c r="BL73" s="3123">
        <f t="shared" si="27"/>
        <v>0</v>
      </c>
      <c r="BM73" s="3123">
        <f t="shared" si="28"/>
        <v>0</v>
      </c>
      <c r="BN73" s="3123">
        <f t="shared" si="29"/>
        <v>0</v>
      </c>
      <c r="BO73" s="3123">
        <f t="shared" si="30"/>
        <v>0</v>
      </c>
      <c r="BP73" s="3123">
        <f t="shared" si="31"/>
        <v>0</v>
      </c>
      <c r="BQ73" s="3123">
        <f t="shared" si="32"/>
        <v>0</v>
      </c>
      <c r="BR73" s="3123">
        <f t="shared" si="33"/>
        <v>0</v>
      </c>
      <c r="BS73" s="3123">
        <f t="shared" si="34"/>
        <v>0</v>
      </c>
      <c r="BT73" s="3175">
        <f t="shared" si="35"/>
        <v>0</v>
      </c>
    </row>
    <row r="74" spans="1:72">
      <c r="A74" s="3120"/>
      <c r="B74" s="3121"/>
      <c r="C74" s="3121"/>
      <c r="D74" s="3122"/>
      <c r="E74" s="3123">
        <f t="shared" si="7"/>
        <v>0</v>
      </c>
      <c r="F74" s="3124"/>
      <c r="G74" s="3125">
        <f t="shared" si="8"/>
        <v>0</v>
      </c>
      <c r="H74" s="3126">
        <f t="shared" si="9"/>
        <v>0</v>
      </c>
      <c r="I74" s="3133"/>
      <c r="J74" s="3133"/>
      <c r="K74" s="3133"/>
      <c r="L74" s="3133"/>
      <c r="M74" s="3133"/>
      <c r="N74" s="3133"/>
      <c r="O74" s="3133"/>
      <c r="P74" s="3133"/>
      <c r="Q74" s="3133"/>
      <c r="R74" s="3133"/>
      <c r="S74" s="3133"/>
      <c r="T74" s="3133"/>
      <c r="U74" s="3133"/>
      <c r="V74" s="3133"/>
      <c r="W74" s="3133"/>
      <c r="X74" s="3133"/>
      <c r="Y74" s="3133"/>
      <c r="Z74" s="3133"/>
      <c r="AA74" s="3133"/>
      <c r="AB74" s="3133"/>
      <c r="AC74" s="3123">
        <f t="shared" si="10"/>
        <v>0</v>
      </c>
      <c r="AD74" s="3143"/>
      <c r="AE74" s="3143"/>
      <c r="AF74" s="3143"/>
      <c r="AG74" s="3143"/>
      <c r="AH74" s="3143"/>
      <c r="AI74" s="3143"/>
      <c r="AJ74" s="3143"/>
      <c r="AK74" s="3143"/>
      <c r="AL74" s="3143"/>
      <c r="AM74" s="3143"/>
      <c r="AN74" s="3143"/>
      <c r="AO74" s="3143"/>
      <c r="AP74" s="3143"/>
      <c r="AQ74" s="3143"/>
      <c r="AR74" s="3143"/>
      <c r="AS74" s="3143"/>
      <c r="AT74" s="3153"/>
      <c r="AU74" s="3154"/>
      <c r="AV74" s="270">
        <f t="shared" si="11"/>
        <v>0</v>
      </c>
      <c r="AW74" s="270">
        <f t="shared" si="12"/>
        <v>0</v>
      </c>
      <c r="AX74" s="270">
        <f t="shared" si="13"/>
        <v>0</v>
      </c>
      <c r="AY74" s="3168">
        <f t="shared" si="14"/>
        <v>0</v>
      </c>
      <c r="AZ74" s="3123">
        <f t="shared" si="15"/>
        <v>0</v>
      </c>
      <c r="BA74" s="3123">
        <f t="shared" si="16"/>
        <v>0</v>
      </c>
      <c r="BB74" s="3123">
        <f t="shared" si="17"/>
        <v>0</v>
      </c>
      <c r="BC74" s="3123">
        <f t="shared" si="18"/>
        <v>0</v>
      </c>
      <c r="BD74" s="3123">
        <f t="shared" si="19"/>
        <v>0</v>
      </c>
      <c r="BE74" s="3123">
        <f t="shared" si="20"/>
        <v>0</v>
      </c>
      <c r="BF74" s="3123">
        <f t="shared" si="21"/>
        <v>0</v>
      </c>
      <c r="BG74" s="3123">
        <f t="shared" si="22"/>
        <v>0</v>
      </c>
      <c r="BH74" s="3123">
        <f t="shared" si="23"/>
        <v>0</v>
      </c>
      <c r="BI74" s="3123">
        <f t="shared" si="24"/>
        <v>0</v>
      </c>
      <c r="BJ74" s="3123">
        <f t="shared" si="25"/>
        <v>0</v>
      </c>
      <c r="BK74" s="3123">
        <f t="shared" si="26"/>
        <v>0</v>
      </c>
      <c r="BL74" s="3123">
        <f t="shared" si="27"/>
        <v>0</v>
      </c>
      <c r="BM74" s="3123">
        <f t="shared" si="28"/>
        <v>0</v>
      </c>
      <c r="BN74" s="3123">
        <f t="shared" si="29"/>
        <v>0</v>
      </c>
      <c r="BO74" s="3123">
        <f t="shared" si="30"/>
        <v>0</v>
      </c>
      <c r="BP74" s="3123">
        <f t="shared" si="31"/>
        <v>0</v>
      </c>
      <c r="BQ74" s="3123">
        <f t="shared" si="32"/>
        <v>0</v>
      </c>
      <c r="BR74" s="3123">
        <f t="shared" si="33"/>
        <v>0</v>
      </c>
      <c r="BS74" s="3123">
        <f t="shared" si="34"/>
        <v>0</v>
      </c>
      <c r="BT74" s="3175">
        <f t="shared" si="35"/>
        <v>0</v>
      </c>
    </row>
    <row r="75" spans="1:72">
      <c r="A75" s="3120"/>
      <c r="B75" s="3121"/>
      <c r="C75" s="3121"/>
      <c r="D75" s="3122"/>
      <c r="E75" s="3123">
        <f t="shared" si="7"/>
        <v>0</v>
      </c>
      <c r="F75" s="3124"/>
      <c r="G75" s="3125">
        <f t="shared" si="8"/>
        <v>0</v>
      </c>
      <c r="H75" s="3126">
        <f t="shared" si="9"/>
        <v>0</v>
      </c>
      <c r="I75" s="3133"/>
      <c r="J75" s="3133"/>
      <c r="K75" s="3133"/>
      <c r="L75" s="3133"/>
      <c r="M75" s="3133"/>
      <c r="N75" s="3133"/>
      <c r="O75" s="3133"/>
      <c r="P75" s="3133"/>
      <c r="Q75" s="3133"/>
      <c r="R75" s="3133"/>
      <c r="S75" s="3133"/>
      <c r="T75" s="3133"/>
      <c r="U75" s="3133"/>
      <c r="V75" s="3133"/>
      <c r="W75" s="3133"/>
      <c r="X75" s="3133"/>
      <c r="Y75" s="3133"/>
      <c r="Z75" s="3133"/>
      <c r="AA75" s="3133"/>
      <c r="AB75" s="3133"/>
      <c r="AC75" s="3123">
        <f t="shared" si="10"/>
        <v>0</v>
      </c>
      <c r="AD75" s="3143"/>
      <c r="AE75" s="3143"/>
      <c r="AF75" s="3143"/>
      <c r="AG75" s="3143"/>
      <c r="AH75" s="3143"/>
      <c r="AI75" s="3143"/>
      <c r="AJ75" s="3143"/>
      <c r="AK75" s="3143"/>
      <c r="AL75" s="3143"/>
      <c r="AM75" s="3143"/>
      <c r="AN75" s="3143"/>
      <c r="AO75" s="3143"/>
      <c r="AP75" s="3143"/>
      <c r="AQ75" s="3143"/>
      <c r="AR75" s="3143"/>
      <c r="AS75" s="3143"/>
      <c r="AT75" s="3153"/>
      <c r="AU75" s="3154"/>
      <c r="AV75" s="270">
        <f t="shared" si="11"/>
        <v>0</v>
      </c>
      <c r="AW75" s="270">
        <f t="shared" si="12"/>
        <v>0</v>
      </c>
      <c r="AX75" s="270">
        <f t="shared" si="13"/>
        <v>0</v>
      </c>
      <c r="AY75" s="3168">
        <f t="shared" si="14"/>
        <v>0</v>
      </c>
      <c r="AZ75" s="3123">
        <f t="shared" si="15"/>
        <v>0</v>
      </c>
      <c r="BA75" s="3123">
        <f t="shared" si="16"/>
        <v>0</v>
      </c>
      <c r="BB75" s="3123">
        <f t="shared" si="17"/>
        <v>0</v>
      </c>
      <c r="BC75" s="3123">
        <f t="shared" si="18"/>
        <v>0</v>
      </c>
      <c r="BD75" s="3123">
        <f t="shared" si="19"/>
        <v>0</v>
      </c>
      <c r="BE75" s="3123">
        <f t="shared" si="20"/>
        <v>0</v>
      </c>
      <c r="BF75" s="3123">
        <f t="shared" si="21"/>
        <v>0</v>
      </c>
      <c r="BG75" s="3123">
        <f t="shared" si="22"/>
        <v>0</v>
      </c>
      <c r="BH75" s="3123">
        <f t="shared" si="23"/>
        <v>0</v>
      </c>
      <c r="BI75" s="3123">
        <f t="shared" si="24"/>
        <v>0</v>
      </c>
      <c r="BJ75" s="3123">
        <f t="shared" si="25"/>
        <v>0</v>
      </c>
      <c r="BK75" s="3123">
        <f t="shared" si="26"/>
        <v>0</v>
      </c>
      <c r="BL75" s="3123">
        <f t="shared" si="27"/>
        <v>0</v>
      </c>
      <c r="BM75" s="3123">
        <f t="shared" si="28"/>
        <v>0</v>
      </c>
      <c r="BN75" s="3123">
        <f t="shared" si="29"/>
        <v>0</v>
      </c>
      <c r="BO75" s="3123">
        <f t="shared" si="30"/>
        <v>0</v>
      </c>
      <c r="BP75" s="3123">
        <f t="shared" si="31"/>
        <v>0</v>
      </c>
      <c r="BQ75" s="3123">
        <f t="shared" si="32"/>
        <v>0</v>
      </c>
      <c r="BR75" s="3123">
        <f t="shared" si="33"/>
        <v>0</v>
      </c>
      <c r="BS75" s="3123">
        <f t="shared" si="34"/>
        <v>0</v>
      </c>
      <c r="BT75" s="3175">
        <f t="shared" si="35"/>
        <v>0</v>
      </c>
    </row>
    <row r="76" spans="1:72">
      <c r="A76" s="3120"/>
      <c r="B76" s="3121"/>
      <c r="C76" s="3121"/>
      <c r="D76" s="3122"/>
      <c r="E76" s="3123">
        <f t="shared" si="7"/>
        <v>0</v>
      </c>
      <c r="F76" s="3124"/>
      <c r="G76" s="3125">
        <f t="shared" si="8"/>
        <v>0</v>
      </c>
      <c r="H76" s="3126">
        <f t="shared" si="9"/>
        <v>0</v>
      </c>
      <c r="I76" s="3133"/>
      <c r="J76" s="3133"/>
      <c r="K76" s="3133"/>
      <c r="L76" s="3133"/>
      <c r="M76" s="3133"/>
      <c r="N76" s="3133"/>
      <c r="O76" s="3133"/>
      <c r="P76" s="3133"/>
      <c r="Q76" s="3133"/>
      <c r="R76" s="3133"/>
      <c r="S76" s="3133"/>
      <c r="T76" s="3133"/>
      <c r="U76" s="3133"/>
      <c r="V76" s="3133"/>
      <c r="W76" s="3133"/>
      <c r="X76" s="3133"/>
      <c r="Y76" s="3133"/>
      <c r="Z76" s="3133"/>
      <c r="AA76" s="3133"/>
      <c r="AB76" s="3133"/>
      <c r="AC76" s="3123">
        <f t="shared" si="10"/>
        <v>0</v>
      </c>
      <c r="AD76" s="3143"/>
      <c r="AE76" s="3143"/>
      <c r="AF76" s="3143"/>
      <c r="AG76" s="3143"/>
      <c r="AH76" s="3143"/>
      <c r="AI76" s="3143"/>
      <c r="AJ76" s="3143"/>
      <c r="AK76" s="3143"/>
      <c r="AL76" s="3143"/>
      <c r="AM76" s="3143"/>
      <c r="AN76" s="3143"/>
      <c r="AO76" s="3143"/>
      <c r="AP76" s="3143"/>
      <c r="AQ76" s="3143"/>
      <c r="AR76" s="3143"/>
      <c r="AS76" s="3143"/>
      <c r="AT76" s="3153"/>
      <c r="AU76" s="3154"/>
      <c r="AV76" s="270">
        <f t="shared" si="11"/>
        <v>0</v>
      </c>
      <c r="AW76" s="270">
        <f t="shared" si="12"/>
        <v>0</v>
      </c>
      <c r="AX76" s="270">
        <f t="shared" si="13"/>
        <v>0</v>
      </c>
      <c r="AY76" s="3168">
        <f t="shared" si="14"/>
        <v>0</v>
      </c>
      <c r="AZ76" s="3123">
        <f t="shared" si="15"/>
        <v>0</v>
      </c>
      <c r="BA76" s="3123">
        <f t="shared" si="16"/>
        <v>0</v>
      </c>
      <c r="BB76" s="3123">
        <f t="shared" si="17"/>
        <v>0</v>
      </c>
      <c r="BC76" s="3123">
        <f t="shared" si="18"/>
        <v>0</v>
      </c>
      <c r="BD76" s="3123">
        <f t="shared" si="19"/>
        <v>0</v>
      </c>
      <c r="BE76" s="3123">
        <f t="shared" si="20"/>
        <v>0</v>
      </c>
      <c r="BF76" s="3123">
        <f t="shared" si="21"/>
        <v>0</v>
      </c>
      <c r="BG76" s="3123">
        <f t="shared" si="22"/>
        <v>0</v>
      </c>
      <c r="BH76" s="3123">
        <f t="shared" si="23"/>
        <v>0</v>
      </c>
      <c r="BI76" s="3123">
        <f t="shared" si="24"/>
        <v>0</v>
      </c>
      <c r="BJ76" s="3123">
        <f t="shared" si="25"/>
        <v>0</v>
      </c>
      <c r="BK76" s="3123">
        <f t="shared" si="26"/>
        <v>0</v>
      </c>
      <c r="BL76" s="3123">
        <f t="shared" si="27"/>
        <v>0</v>
      </c>
      <c r="BM76" s="3123">
        <f t="shared" si="28"/>
        <v>0</v>
      </c>
      <c r="BN76" s="3123">
        <f t="shared" si="29"/>
        <v>0</v>
      </c>
      <c r="BO76" s="3123">
        <f t="shared" si="30"/>
        <v>0</v>
      </c>
      <c r="BP76" s="3123">
        <f t="shared" si="31"/>
        <v>0</v>
      </c>
      <c r="BQ76" s="3123">
        <f t="shared" si="32"/>
        <v>0</v>
      </c>
      <c r="BR76" s="3123">
        <f t="shared" si="33"/>
        <v>0</v>
      </c>
      <c r="BS76" s="3123">
        <f t="shared" si="34"/>
        <v>0</v>
      </c>
      <c r="BT76" s="3175">
        <f t="shared" si="35"/>
        <v>0</v>
      </c>
    </row>
    <row r="77" spans="1:72">
      <c r="A77" s="3120"/>
      <c r="B77" s="3121"/>
      <c r="C77" s="3121"/>
      <c r="D77" s="3122"/>
      <c r="E77" s="3123">
        <f t="shared" si="7"/>
        <v>0</v>
      </c>
      <c r="F77" s="3124"/>
      <c r="G77" s="3125">
        <f t="shared" si="8"/>
        <v>0</v>
      </c>
      <c r="H77" s="3126">
        <f t="shared" si="9"/>
        <v>0</v>
      </c>
      <c r="I77" s="3133"/>
      <c r="J77" s="3133"/>
      <c r="K77" s="3133"/>
      <c r="L77" s="3133"/>
      <c r="M77" s="3133"/>
      <c r="N77" s="3133"/>
      <c r="O77" s="3133"/>
      <c r="P77" s="3133"/>
      <c r="Q77" s="3133"/>
      <c r="R77" s="3133"/>
      <c r="S77" s="3133"/>
      <c r="T77" s="3133"/>
      <c r="U77" s="3133"/>
      <c r="V77" s="3133"/>
      <c r="W77" s="3133"/>
      <c r="X77" s="3133"/>
      <c r="Y77" s="3133"/>
      <c r="Z77" s="3133"/>
      <c r="AA77" s="3133"/>
      <c r="AB77" s="3133"/>
      <c r="AC77" s="3123">
        <f t="shared" si="10"/>
        <v>0</v>
      </c>
      <c r="AD77" s="3143"/>
      <c r="AE77" s="3143"/>
      <c r="AF77" s="3143"/>
      <c r="AG77" s="3143"/>
      <c r="AH77" s="3143"/>
      <c r="AI77" s="3143"/>
      <c r="AJ77" s="3143"/>
      <c r="AK77" s="3143"/>
      <c r="AL77" s="3143"/>
      <c r="AM77" s="3143"/>
      <c r="AN77" s="3143"/>
      <c r="AO77" s="3143"/>
      <c r="AP77" s="3143"/>
      <c r="AQ77" s="3143"/>
      <c r="AR77" s="3143"/>
      <c r="AS77" s="3143"/>
      <c r="AT77" s="3153"/>
      <c r="AU77" s="3154"/>
      <c r="AV77" s="270">
        <f t="shared" si="11"/>
        <v>0</v>
      </c>
      <c r="AW77" s="270">
        <f t="shared" si="12"/>
        <v>0</v>
      </c>
      <c r="AX77" s="270">
        <f t="shared" si="13"/>
        <v>0</v>
      </c>
      <c r="AY77" s="3168">
        <f t="shared" si="14"/>
        <v>0</v>
      </c>
      <c r="AZ77" s="3123">
        <f t="shared" si="15"/>
        <v>0</v>
      </c>
      <c r="BA77" s="3123">
        <f t="shared" si="16"/>
        <v>0</v>
      </c>
      <c r="BB77" s="3123">
        <f t="shared" si="17"/>
        <v>0</v>
      </c>
      <c r="BC77" s="3123">
        <f t="shared" si="18"/>
        <v>0</v>
      </c>
      <c r="BD77" s="3123">
        <f t="shared" si="19"/>
        <v>0</v>
      </c>
      <c r="BE77" s="3123">
        <f t="shared" si="20"/>
        <v>0</v>
      </c>
      <c r="BF77" s="3123">
        <f t="shared" si="21"/>
        <v>0</v>
      </c>
      <c r="BG77" s="3123">
        <f t="shared" si="22"/>
        <v>0</v>
      </c>
      <c r="BH77" s="3123">
        <f t="shared" si="23"/>
        <v>0</v>
      </c>
      <c r="BI77" s="3123">
        <f t="shared" si="24"/>
        <v>0</v>
      </c>
      <c r="BJ77" s="3123">
        <f t="shared" si="25"/>
        <v>0</v>
      </c>
      <c r="BK77" s="3123">
        <f t="shared" si="26"/>
        <v>0</v>
      </c>
      <c r="BL77" s="3123">
        <f t="shared" si="27"/>
        <v>0</v>
      </c>
      <c r="BM77" s="3123">
        <f t="shared" si="28"/>
        <v>0</v>
      </c>
      <c r="BN77" s="3123">
        <f t="shared" si="29"/>
        <v>0</v>
      </c>
      <c r="BO77" s="3123">
        <f t="shared" si="30"/>
        <v>0</v>
      </c>
      <c r="BP77" s="3123">
        <f t="shared" si="31"/>
        <v>0</v>
      </c>
      <c r="BQ77" s="3123">
        <f t="shared" si="32"/>
        <v>0</v>
      </c>
      <c r="BR77" s="3123">
        <f t="shared" si="33"/>
        <v>0</v>
      </c>
      <c r="BS77" s="3123">
        <f t="shared" si="34"/>
        <v>0</v>
      </c>
      <c r="BT77" s="3175">
        <f t="shared" si="35"/>
        <v>0</v>
      </c>
    </row>
    <row r="78" spans="1:72">
      <c r="A78" s="3120"/>
      <c r="B78" s="3121"/>
      <c r="C78" s="3121"/>
      <c r="D78" s="3122"/>
      <c r="E78" s="3123">
        <f t="shared" si="7"/>
        <v>0</v>
      </c>
      <c r="F78" s="3124"/>
      <c r="G78" s="3125">
        <f t="shared" si="8"/>
        <v>0</v>
      </c>
      <c r="H78" s="3126">
        <f t="shared" si="9"/>
        <v>0</v>
      </c>
      <c r="I78" s="3133"/>
      <c r="J78" s="3133"/>
      <c r="K78" s="3133"/>
      <c r="L78" s="3133"/>
      <c r="M78" s="3133"/>
      <c r="N78" s="3133"/>
      <c r="O78" s="3133"/>
      <c r="P78" s="3133"/>
      <c r="Q78" s="3133"/>
      <c r="R78" s="3133"/>
      <c r="S78" s="3133"/>
      <c r="T78" s="3133"/>
      <c r="U78" s="3133"/>
      <c r="V78" s="3133"/>
      <c r="W78" s="3133"/>
      <c r="X78" s="3133"/>
      <c r="Y78" s="3133"/>
      <c r="Z78" s="3133"/>
      <c r="AA78" s="3133"/>
      <c r="AB78" s="3133"/>
      <c r="AC78" s="3123">
        <f t="shared" si="10"/>
        <v>0</v>
      </c>
      <c r="AD78" s="3143"/>
      <c r="AE78" s="3143"/>
      <c r="AF78" s="3143"/>
      <c r="AG78" s="3143"/>
      <c r="AH78" s="3143"/>
      <c r="AI78" s="3143"/>
      <c r="AJ78" s="3143"/>
      <c r="AK78" s="3143"/>
      <c r="AL78" s="3143"/>
      <c r="AM78" s="3143"/>
      <c r="AN78" s="3143"/>
      <c r="AO78" s="3143"/>
      <c r="AP78" s="3143"/>
      <c r="AQ78" s="3143"/>
      <c r="AR78" s="3143"/>
      <c r="AS78" s="3143"/>
      <c r="AT78" s="3153"/>
      <c r="AU78" s="3154"/>
      <c r="AV78" s="270">
        <f t="shared" si="11"/>
        <v>0</v>
      </c>
      <c r="AW78" s="270">
        <f t="shared" si="12"/>
        <v>0</v>
      </c>
      <c r="AX78" s="270">
        <f t="shared" si="13"/>
        <v>0</v>
      </c>
      <c r="AY78" s="3168">
        <f t="shared" si="14"/>
        <v>0</v>
      </c>
      <c r="AZ78" s="3123">
        <f t="shared" si="15"/>
        <v>0</v>
      </c>
      <c r="BA78" s="3123">
        <f t="shared" si="16"/>
        <v>0</v>
      </c>
      <c r="BB78" s="3123">
        <f t="shared" si="17"/>
        <v>0</v>
      </c>
      <c r="BC78" s="3123">
        <f t="shared" si="18"/>
        <v>0</v>
      </c>
      <c r="BD78" s="3123">
        <f t="shared" si="19"/>
        <v>0</v>
      </c>
      <c r="BE78" s="3123">
        <f t="shared" si="20"/>
        <v>0</v>
      </c>
      <c r="BF78" s="3123">
        <f t="shared" si="21"/>
        <v>0</v>
      </c>
      <c r="BG78" s="3123">
        <f t="shared" si="22"/>
        <v>0</v>
      </c>
      <c r="BH78" s="3123">
        <f t="shared" si="23"/>
        <v>0</v>
      </c>
      <c r="BI78" s="3123">
        <f t="shared" si="24"/>
        <v>0</v>
      </c>
      <c r="BJ78" s="3123">
        <f t="shared" si="25"/>
        <v>0</v>
      </c>
      <c r="BK78" s="3123">
        <f t="shared" si="26"/>
        <v>0</v>
      </c>
      <c r="BL78" s="3123">
        <f t="shared" si="27"/>
        <v>0</v>
      </c>
      <c r="BM78" s="3123">
        <f t="shared" si="28"/>
        <v>0</v>
      </c>
      <c r="BN78" s="3123">
        <f t="shared" si="29"/>
        <v>0</v>
      </c>
      <c r="BO78" s="3123">
        <f t="shared" si="30"/>
        <v>0</v>
      </c>
      <c r="BP78" s="3123">
        <f t="shared" si="31"/>
        <v>0</v>
      </c>
      <c r="BQ78" s="3123">
        <f t="shared" si="32"/>
        <v>0</v>
      </c>
      <c r="BR78" s="3123">
        <f t="shared" si="33"/>
        <v>0</v>
      </c>
      <c r="BS78" s="3123">
        <f t="shared" si="34"/>
        <v>0</v>
      </c>
      <c r="BT78" s="3175">
        <f t="shared" si="35"/>
        <v>0</v>
      </c>
    </row>
    <row r="79" spans="1:72">
      <c r="A79" s="3120"/>
      <c r="B79" s="3121"/>
      <c r="C79" s="3121"/>
      <c r="D79" s="3122"/>
      <c r="E79" s="3123">
        <f t="shared" si="7"/>
        <v>0</v>
      </c>
      <c r="F79" s="3124"/>
      <c r="G79" s="3125">
        <f t="shared" si="8"/>
        <v>0</v>
      </c>
      <c r="H79" s="3126">
        <f t="shared" si="9"/>
        <v>0</v>
      </c>
      <c r="I79" s="3133"/>
      <c r="J79" s="3133"/>
      <c r="K79" s="3133"/>
      <c r="L79" s="3133"/>
      <c r="M79" s="3133"/>
      <c r="N79" s="3133"/>
      <c r="O79" s="3133"/>
      <c r="P79" s="3133"/>
      <c r="Q79" s="3133"/>
      <c r="R79" s="3133"/>
      <c r="S79" s="3133"/>
      <c r="T79" s="3133"/>
      <c r="U79" s="3133"/>
      <c r="V79" s="3133"/>
      <c r="W79" s="3133"/>
      <c r="X79" s="3133"/>
      <c r="Y79" s="3133"/>
      <c r="Z79" s="3133"/>
      <c r="AA79" s="3133"/>
      <c r="AB79" s="3133"/>
      <c r="AC79" s="3123">
        <f t="shared" si="10"/>
        <v>0</v>
      </c>
      <c r="AD79" s="3143"/>
      <c r="AE79" s="3143"/>
      <c r="AF79" s="3143"/>
      <c r="AG79" s="3143"/>
      <c r="AH79" s="3143"/>
      <c r="AI79" s="3143"/>
      <c r="AJ79" s="3143"/>
      <c r="AK79" s="3143"/>
      <c r="AL79" s="3143"/>
      <c r="AM79" s="3143"/>
      <c r="AN79" s="3143"/>
      <c r="AO79" s="3143"/>
      <c r="AP79" s="3143"/>
      <c r="AQ79" s="3143"/>
      <c r="AR79" s="3143"/>
      <c r="AS79" s="3143"/>
      <c r="AT79" s="3153"/>
      <c r="AU79" s="3154"/>
      <c r="AV79" s="270">
        <f t="shared" si="11"/>
        <v>0</v>
      </c>
      <c r="AW79" s="270">
        <f t="shared" si="12"/>
        <v>0</v>
      </c>
      <c r="AX79" s="270">
        <f t="shared" si="13"/>
        <v>0</v>
      </c>
      <c r="AY79" s="3168">
        <f t="shared" si="14"/>
        <v>0</v>
      </c>
      <c r="AZ79" s="3123">
        <f t="shared" si="15"/>
        <v>0</v>
      </c>
      <c r="BA79" s="3123">
        <f t="shared" si="16"/>
        <v>0</v>
      </c>
      <c r="BB79" s="3123">
        <f t="shared" si="17"/>
        <v>0</v>
      </c>
      <c r="BC79" s="3123">
        <f t="shared" si="18"/>
        <v>0</v>
      </c>
      <c r="BD79" s="3123">
        <f t="shared" si="19"/>
        <v>0</v>
      </c>
      <c r="BE79" s="3123">
        <f t="shared" si="20"/>
        <v>0</v>
      </c>
      <c r="BF79" s="3123">
        <f t="shared" si="21"/>
        <v>0</v>
      </c>
      <c r="BG79" s="3123">
        <f t="shared" si="22"/>
        <v>0</v>
      </c>
      <c r="BH79" s="3123">
        <f t="shared" si="23"/>
        <v>0</v>
      </c>
      <c r="BI79" s="3123">
        <f t="shared" si="24"/>
        <v>0</v>
      </c>
      <c r="BJ79" s="3123">
        <f t="shared" si="25"/>
        <v>0</v>
      </c>
      <c r="BK79" s="3123">
        <f t="shared" si="26"/>
        <v>0</v>
      </c>
      <c r="BL79" s="3123">
        <f t="shared" si="27"/>
        <v>0</v>
      </c>
      <c r="BM79" s="3123">
        <f t="shared" si="28"/>
        <v>0</v>
      </c>
      <c r="BN79" s="3123">
        <f t="shared" si="29"/>
        <v>0</v>
      </c>
      <c r="BO79" s="3123">
        <f t="shared" si="30"/>
        <v>0</v>
      </c>
      <c r="BP79" s="3123">
        <f t="shared" si="31"/>
        <v>0</v>
      </c>
      <c r="BQ79" s="3123">
        <f t="shared" si="32"/>
        <v>0</v>
      </c>
      <c r="BR79" s="3123">
        <f t="shared" si="33"/>
        <v>0</v>
      </c>
      <c r="BS79" s="3123">
        <f t="shared" si="34"/>
        <v>0</v>
      </c>
      <c r="BT79" s="3175">
        <f t="shared" si="35"/>
        <v>0</v>
      </c>
    </row>
    <row r="80" spans="1:72">
      <c r="A80" s="3120"/>
      <c r="B80" s="3121"/>
      <c r="C80" s="3121"/>
      <c r="D80" s="3122"/>
      <c r="E80" s="3123">
        <f t="shared" si="7"/>
        <v>0</v>
      </c>
      <c r="F80" s="3124"/>
      <c r="G80" s="3125">
        <f t="shared" si="8"/>
        <v>0</v>
      </c>
      <c r="H80" s="3126">
        <f t="shared" si="9"/>
        <v>0</v>
      </c>
      <c r="I80" s="3133"/>
      <c r="J80" s="3133"/>
      <c r="K80" s="3133"/>
      <c r="L80" s="3133"/>
      <c r="M80" s="3133"/>
      <c r="N80" s="3133"/>
      <c r="O80" s="3133"/>
      <c r="P80" s="3133"/>
      <c r="Q80" s="3133"/>
      <c r="R80" s="3133"/>
      <c r="S80" s="3133"/>
      <c r="T80" s="3133"/>
      <c r="U80" s="3133"/>
      <c r="V80" s="3133"/>
      <c r="W80" s="3133"/>
      <c r="X80" s="3133"/>
      <c r="Y80" s="3133"/>
      <c r="Z80" s="3133"/>
      <c r="AA80" s="3133"/>
      <c r="AB80" s="3133"/>
      <c r="AC80" s="3123">
        <f t="shared" si="10"/>
        <v>0</v>
      </c>
      <c r="AD80" s="3143"/>
      <c r="AE80" s="3143"/>
      <c r="AF80" s="3143"/>
      <c r="AG80" s="3143"/>
      <c r="AH80" s="3143"/>
      <c r="AI80" s="3143"/>
      <c r="AJ80" s="3143"/>
      <c r="AK80" s="3143"/>
      <c r="AL80" s="3143"/>
      <c r="AM80" s="3143"/>
      <c r="AN80" s="3143"/>
      <c r="AO80" s="3143"/>
      <c r="AP80" s="3143"/>
      <c r="AQ80" s="3143"/>
      <c r="AR80" s="3143"/>
      <c r="AS80" s="3143"/>
      <c r="AT80" s="3153"/>
      <c r="AU80" s="3154"/>
      <c r="AV80" s="270">
        <f t="shared" si="11"/>
        <v>0</v>
      </c>
      <c r="AW80" s="270">
        <f t="shared" si="12"/>
        <v>0</v>
      </c>
      <c r="AX80" s="270">
        <f t="shared" si="13"/>
        <v>0</v>
      </c>
      <c r="AY80" s="3168">
        <f t="shared" si="14"/>
        <v>0</v>
      </c>
      <c r="AZ80" s="3123">
        <f t="shared" si="15"/>
        <v>0</v>
      </c>
      <c r="BA80" s="3123">
        <f t="shared" si="16"/>
        <v>0</v>
      </c>
      <c r="BB80" s="3123">
        <f t="shared" si="17"/>
        <v>0</v>
      </c>
      <c r="BC80" s="3123">
        <f t="shared" si="18"/>
        <v>0</v>
      </c>
      <c r="BD80" s="3123">
        <f t="shared" si="19"/>
        <v>0</v>
      </c>
      <c r="BE80" s="3123">
        <f t="shared" si="20"/>
        <v>0</v>
      </c>
      <c r="BF80" s="3123">
        <f t="shared" si="21"/>
        <v>0</v>
      </c>
      <c r="BG80" s="3123">
        <f t="shared" si="22"/>
        <v>0</v>
      </c>
      <c r="BH80" s="3123">
        <f t="shared" si="23"/>
        <v>0</v>
      </c>
      <c r="BI80" s="3123">
        <f t="shared" si="24"/>
        <v>0</v>
      </c>
      <c r="BJ80" s="3123">
        <f t="shared" si="25"/>
        <v>0</v>
      </c>
      <c r="BK80" s="3123">
        <f t="shared" si="26"/>
        <v>0</v>
      </c>
      <c r="BL80" s="3123">
        <f t="shared" si="27"/>
        <v>0</v>
      </c>
      <c r="BM80" s="3123">
        <f t="shared" si="28"/>
        <v>0</v>
      </c>
      <c r="BN80" s="3123">
        <f t="shared" si="29"/>
        <v>0</v>
      </c>
      <c r="BO80" s="3123">
        <f t="shared" si="30"/>
        <v>0</v>
      </c>
      <c r="BP80" s="3123">
        <f t="shared" si="31"/>
        <v>0</v>
      </c>
      <c r="BQ80" s="3123">
        <f t="shared" si="32"/>
        <v>0</v>
      </c>
      <c r="BR80" s="3123">
        <f t="shared" si="33"/>
        <v>0</v>
      </c>
      <c r="BS80" s="3123">
        <f t="shared" si="34"/>
        <v>0</v>
      </c>
      <c r="BT80" s="3175">
        <f t="shared" si="35"/>
        <v>0</v>
      </c>
    </row>
    <row r="81" spans="1:72">
      <c r="A81" s="3120"/>
      <c r="B81" s="3121"/>
      <c r="C81" s="3121"/>
      <c r="D81" s="3122"/>
      <c r="E81" s="3123">
        <f t="shared" si="7"/>
        <v>0</v>
      </c>
      <c r="F81" s="3124"/>
      <c r="G81" s="3125">
        <f t="shared" si="8"/>
        <v>0</v>
      </c>
      <c r="H81" s="3126">
        <f t="shared" si="9"/>
        <v>0</v>
      </c>
      <c r="I81" s="3133"/>
      <c r="J81" s="3133"/>
      <c r="K81" s="3133"/>
      <c r="L81" s="3133"/>
      <c r="M81" s="3133"/>
      <c r="N81" s="3133"/>
      <c r="O81" s="3133"/>
      <c r="P81" s="3133"/>
      <c r="Q81" s="3133"/>
      <c r="R81" s="3133"/>
      <c r="S81" s="3133"/>
      <c r="T81" s="3133"/>
      <c r="U81" s="3133"/>
      <c r="V81" s="3133"/>
      <c r="W81" s="3133"/>
      <c r="X81" s="3133"/>
      <c r="Y81" s="3133"/>
      <c r="Z81" s="3133"/>
      <c r="AA81" s="3133"/>
      <c r="AB81" s="3133"/>
      <c r="AC81" s="3123">
        <f t="shared" si="10"/>
        <v>0</v>
      </c>
      <c r="AD81" s="3143"/>
      <c r="AE81" s="3143"/>
      <c r="AF81" s="3143"/>
      <c r="AG81" s="3143"/>
      <c r="AH81" s="3143"/>
      <c r="AI81" s="3143"/>
      <c r="AJ81" s="3143"/>
      <c r="AK81" s="3143"/>
      <c r="AL81" s="3143"/>
      <c r="AM81" s="3143"/>
      <c r="AN81" s="3143"/>
      <c r="AO81" s="3143"/>
      <c r="AP81" s="3143"/>
      <c r="AQ81" s="3143"/>
      <c r="AR81" s="3143"/>
      <c r="AS81" s="3143"/>
      <c r="AT81" s="3153"/>
      <c r="AU81" s="3154"/>
      <c r="AV81" s="270">
        <f t="shared" si="11"/>
        <v>0</v>
      </c>
      <c r="AW81" s="270">
        <f t="shared" si="12"/>
        <v>0</v>
      </c>
      <c r="AX81" s="270">
        <f t="shared" si="13"/>
        <v>0</v>
      </c>
      <c r="AY81" s="3168">
        <f t="shared" si="14"/>
        <v>0</v>
      </c>
      <c r="AZ81" s="3123">
        <f t="shared" si="15"/>
        <v>0</v>
      </c>
      <c r="BA81" s="3123">
        <f t="shared" si="16"/>
        <v>0</v>
      </c>
      <c r="BB81" s="3123">
        <f t="shared" si="17"/>
        <v>0</v>
      </c>
      <c r="BC81" s="3123">
        <f t="shared" si="18"/>
        <v>0</v>
      </c>
      <c r="BD81" s="3123">
        <f t="shared" si="19"/>
        <v>0</v>
      </c>
      <c r="BE81" s="3123">
        <f t="shared" si="20"/>
        <v>0</v>
      </c>
      <c r="BF81" s="3123">
        <f t="shared" si="21"/>
        <v>0</v>
      </c>
      <c r="BG81" s="3123">
        <f t="shared" si="22"/>
        <v>0</v>
      </c>
      <c r="BH81" s="3123">
        <f t="shared" si="23"/>
        <v>0</v>
      </c>
      <c r="BI81" s="3123">
        <f t="shared" si="24"/>
        <v>0</v>
      </c>
      <c r="BJ81" s="3123">
        <f t="shared" si="25"/>
        <v>0</v>
      </c>
      <c r="BK81" s="3123">
        <f t="shared" si="26"/>
        <v>0</v>
      </c>
      <c r="BL81" s="3123">
        <f t="shared" si="27"/>
        <v>0</v>
      </c>
      <c r="BM81" s="3123">
        <f t="shared" si="28"/>
        <v>0</v>
      </c>
      <c r="BN81" s="3123">
        <f t="shared" si="29"/>
        <v>0</v>
      </c>
      <c r="BO81" s="3123">
        <f t="shared" si="30"/>
        <v>0</v>
      </c>
      <c r="BP81" s="3123">
        <f t="shared" si="31"/>
        <v>0</v>
      </c>
      <c r="BQ81" s="3123">
        <f t="shared" si="32"/>
        <v>0</v>
      </c>
      <c r="BR81" s="3123">
        <f t="shared" si="33"/>
        <v>0</v>
      </c>
      <c r="BS81" s="3123">
        <f t="shared" si="34"/>
        <v>0</v>
      </c>
      <c r="BT81" s="3175">
        <f t="shared" si="35"/>
        <v>0</v>
      </c>
    </row>
    <row r="82" spans="1:72">
      <c r="A82" s="3120"/>
      <c r="B82" s="3121"/>
      <c r="C82" s="3121"/>
      <c r="D82" s="3122"/>
      <c r="E82" s="3123">
        <f t="shared" si="7"/>
        <v>0</v>
      </c>
      <c r="F82" s="3124"/>
      <c r="G82" s="3125">
        <f t="shared" si="8"/>
        <v>0</v>
      </c>
      <c r="H82" s="3126">
        <f t="shared" si="9"/>
        <v>0</v>
      </c>
      <c r="I82" s="3133"/>
      <c r="J82" s="3133"/>
      <c r="K82" s="3133"/>
      <c r="L82" s="3133"/>
      <c r="M82" s="3133"/>
      <c r="N82" s="3133"/>
      <c r="O82" s="3133"/>
      <c r="P82" s="3133"/>
      <c r="Q82" s="3133"/>
      <c r="R82" s="3133"/>
      <c r="S82" s="3133"/>
      <c r="T82" s="3133"/>
      <c r="U82" s="3133"/>
      <c r="V82" s="3133"/>
      <c r="W82" s="3133"/>
      <c r="X82" s="3133"/>
      <c r="Y82" s="3133"/>
      <c r="Z82" s="3133"/>
      <c r="AA82" s="3133"/>
      <c r="AB82" s="3133"/>
      <c r="AC82" s="3123">
        <f t="shared" si="10"/>
        <v>0</v>
      </c>
      <c r="AD82" s="3143"/>
      <c r="AE82" s="3143"/>
      <c r="AF82" s="3143"/>
      <c r="AG82" s="3143"/>
      <c r="AH82" s="3143"/>
      <c r="AI82" s="3143"/>
      <c r="AJ82" s="3143"/>
      <c r="AK82" s="3143"/>
      <c r="AL82" s="3143"/>
      <c r="AM82" s="3143"/>
      <c r="AN82" s="3143"/>
      <c r="AO82" s="3143"/>
      <c r="AP82" s="3143"/>
      <c r="AQ82" s="3143"/>
      <c r="AR82" s="3143"/>
      <c r="AS82" s="3143"/>
      <c r="AT82" s="3153"/>
      <c r="AU82" s="3154"/>
      <c r="AV82" s="270">
        <f t="shared" si="11"/>
        <v>0</v>
      </c>
      <c r="AW82" s="270">
        <f t="shared" si="12"/>
        <v>0</v>
      </c>
      <c r="AX82" s="270">
        <f t="shared" si="13"/>
        <v>0</v>
      </c>
      <c r="AY82" s="3168">
        <f t="shared" si="14"/>
        <v>0</v>
      </c>
      <c r="AZ82" s="3123">
        <f t="shared" si="15"/>
        <v>0</v>
      </c>
      <c r="BA82" s="3123">
        <f t="shared" si="16"/>
        <v>0</v>
      </c>
      <c r="BB82" s="3123">
        <f t="shared" si="17"/>
        <v>0</v>
      </c>
      <c r="BC82" s="3123">
        <f t="shared" si="18"/>
        <v>0</v>
      </c>
      <c r="BD82" s="3123">
        <f t="shared" si="19"/>
        <v>0</v>
      </c>
      <c r="BE82" s="3123">
        <f t="shared" si="20"/>
        <v>0</v>
      </c>
      <c r="BF82" s="3123">
        <f t="shared" si="21"/>
        <v>0</v>
      </c>
      <c r="BG82" s="3123">
        <f t="shared" si="22"/>
        <v>0</v>
      </c>
      <c r="BH82" s="3123">
        <f t="shared" si="23"/>
        <v>0</v>
      </c>
      <c r="BI82" s="3123">
        <f t="shared" si="24"/>
        <v>0</v>
      </c>
      <c r="BJ82" s="3123">
        <f t="shared" si="25"/>
        <v>0</v>
      </c>
      <c r="BK82" s="3123">
        <f t="shared" si="26"/>
        <v>0</v>
      </c>
      <c r="BL82" s="3123">
        <f t="shared" si="27"/>
        <v>0</v>
      </c>
      <c r="BM82" s="3123">
        <f t="shared" si="28"/>
        <v>0</v>
      </c>
      <c r="BN82" s="3123">
        <f t="shared" si="29"/>
        <v>0</v>
      </c>
      <c r="BO82" s="3123">
        <f t="shared" si="30"/>
        <v>0</v>
      </c>
      <c r="BP82" s="3123">
        <f t="shared" si="31"/>
        <v>0</v>
      </c>
      <c r="BQ82" s="3123">
        <f t="shared" si="32"/>
        <v>0</v>
      </c>
      <c r="BR82" s="3123">
        <f t="shared" si="33"/>
        <v>0</v>
      </c>
      <c r="BS82" s="3123">
        <f t="shared" si="34"/>
        <v>0</v>
      </c>
      <c r="BT82" s="3175">
        <f t="shared" si="35"/>
        <v>0</v>
      </c>
    </row>
    <row r="83" spans="1:72">
      <c r="A83" s="3120"/>
      <c r="B83" s="3121"/>
      <c r="C83" s="3121"/>
      <c r="D83" s="3122"/>
      <c r="E83" s="3123">
        <f t="shared" si="7"/>
        <v>0</v>
      </c>
      <c r="F83" s="3124"/>
      <c r="G83" s="3125">
        <f t="shared" si="8"/>
        <v>0</v>
      </c>
      <c r="H83" s="3126">
        <f t="shared" si="9"/>
        <v>0</v>
      </c>
      <c r="I83" s="3133"/>
      <c r="J83" s="3133"/>
      <c r="K83" s="3133"/>
      <c r="L83" s="3133"/>
      <c r="M83" s="3133"/>
      <c r="N83" s="3133"/>
      <c r="O83" s="3133"/>
      <c r="P83" s="3133"/>
      <c r="Q83" s="3133"/>
      <c r="R83" s="3133"/>
      <c r="S83" s="3133"/>
      <c r="T83" s="3133"/>
      <c r="U83" s="3133"/>
      <c r="V83" s="3133"/>
      <c r="W83" s="3133"/>
      <c r="X83" s="3133"/>
      <c r="Y83" s="3133"/>
      <c r="Z83" s="3133"/>
      <c r="AA83" s="3133"/>
      <c r="AB83" s="3133"/>
      <c r="AC83" s="3123">
        <f t="shared" si="10"/>
        <v>0</v>
      </c>
      <c r="AD83" s="3143"/>
      <c r="AE83" s="3143"/>
      <c r="AF83" s="3143"/>
      <c r="AG83" s="3143"/>
      <c r="AH83" s="3143"/>
      <c r="AI83" s="3143"/>
      <c r="AJ83" s="3143"/>
      <c r="AK83" s="3143"/>
      <c r="AL83" s="3143"/>
      <c r="AM83" s="3143"/>
      <c r="AN83" s="3143"/>
      <c r="AO83" s="3143"/>
      <c r="AP83" s="3143"/>
      <c r="AQ83" s="3143"/>
      <c r="AR83" s="3143"/>
      <c r="AS83" s="3143"/>
      <c r="AT83" s="3153"/>
      <c r="AU83" s="3154"/>
      <c r="AV83" s="270">
        <f t="shared" si="11"/>
        <v>0</v>
      </c>
      <c r="AW83" s="270">
        <f t="shared" si="12"/>
        <v>0</v>
      </c>
      <c r="AX83" s="270">
        <f t="shared" si="13"/>
        <v>0</v>
      </c>
      <c r="AY83" s="3168">
        <f t="shared" si="14"/>
        <v>0</v>
      </c>
      <c r="AZ83" s="3123">
        <f t="shared" si="15"/>
        <v>0</v>
      </c>
      <c r="BA83" s="3123">
        <f t="shared" si="16"/>
        <v>0</v>
      </c>
      <c r="BB83" s="3123">
        <f t="shared" si="17"/>
        <v>0</v>
      </c>
      <c r="BC83" s="3123">
        <f t="shared" si="18"/>
        <v>0</v>
      </c>
      <c r="BD83" s="3123">
        <f t="shared" si="19"/>
        <v>0</v>
      </c>
      <c r="BE83" s="3123">
        <f t="shared" si="20"/>
        <v>0</v>
      </c>
      <c r="BF83" s="3123">
        <f t="shared" si="21"/>
        <v>0</v>
      </c>
      <c r="BG83" s="3123">
        <f t="shared" si="22"/>
        <v>0</v>
      </c>
      <c r="BH83" s="3123">
        <f t="shared" si="23"/>
        <v>0</v>
      </c>
      <c r="BI83" s="3123">
        <f t="shared" si="24"/>
        <v>0</v>
      </c>
      <c r="BJ83" s="3123">
        <f t="shared" si="25"/>
        <v>0</v>
      </c>
      <c r="BK83" s="3123">
        <f t="shared" si="26"/>
        <v>0</v>
      </c>
      <c r="BL83" s="3123">
        <f t="shared" si="27"/>
        <v>0</v>
      </c>
      <c r="BM83" s="3123">
        <f t="shared" si="28"/>
        <v>0</v>
      </c>
      <c r="BN83" s="3123">
        <f t="shared" si="29"/>
        <v>0</v>
      </c>
      <c r="BO83" s="3123">
        <f t="shared" si="30"/>
        <v>0</v>
      </c>
      <c r="BP83" s="3123">
        <f t="shared" si="31"/>
        <v>0</v>
      </c>
      <c r="BQ83" s="3123">
        <f t="shared" si="32"/>
        <v>0</v>
      </c>
      <c r="BR83" s="3123">
        <f t="shared" si="33"/>
        <v>0</v>
      </c>
      <c r="BS83" s="3123">
        <f t="shared" si="34"/>
        <v>0</v>
      </c>
      <c r="BT83" s="3175">
        <f t="shared" si="35"/>
        <v>0</v>
      </c>
    </row>
    <row r="84" spans="1:72">
      <c r="A84" s="3120"/>
      <c r="B84" s="3121"/>
      <c r="C84" s="3121"/>
      <c r="D84" s="3122"/>
      <c r="E84" s="3123">
        <f t="shared" si="7"/>
        <v>0</v>
      </c>
      <c r="F84" s="3124"/>
      <c r="G84" s="3125">
        <f t="shared" si="8"/>
        <v>0</v>
      </c>
      <c r="H84" s="3126">
        <f t="shared" si="9"/>
        <v>0</v>
      </c>
      <c r="I84" s="3133"/>
      <c r="J84" s="3133"/>
      <c r="K84" s="3133"/>
      <c r="L84" s="3133"/>
      <c r="M84" s="3133"/>
      <c r="N84" s="3133"/>
      <c r="O84" s="3133"/>
      <c r="P84" s="3133"/>
      <c r="Q84" s="3133"/>
      <c r="R84" s="3133"/>
      <c r="S84" s="3133"/>
      <c r="T84" s="3133"/>
      <c r="U84" s="3133"/>
      <c r="V84" s="3133"/>
      <c r="W84" s="3133"/>
      <c r="X84" s="3133"/>
      <c r="Y84" s="3133"/>
      <c r="Z84" s="3133"/>
      <c r="AA84" s="3133"/>
      <c r="AB84" s="3133"/>
      <c r="AC84" s="3123">
        <f t="shared" si="10"/>
        <v>0</v>
      </c>
      <c r="AD84" s="3143"/>
      <c r="AE84" s="3143"/>
      <c r="AF84" s="3143"/>
      <c r="AG84" s="3143"/>
      <c r="AH84" s="3143"/>
      <c r="AI84" s="3143"/>
      <c r="AJ84" s="3143"/>
      <c r="AK84" s="3143"/>
      <c r="AL84" s="3143"/>
      <c r="AM84" s="3143"/>
      <c r="AN84" s="3143"/>
      <c r="AO84" s="3143"/>
      <c r="AP84" s="3143"/>
      <c r="AQ84" s="3143"/>
      <c r="AR84" s="3143"/>
      <c r="AS84" s="3143"/>
      <c r="AT84" s="3153"/>
      <c r="AU84" s="3154"/>
      <c r="AV84" s="270">
        <f t="shared" si="11"/>
        <v>0</v>
      </c>
      <c r="AW84" s="270">
        <f t="shared" si="12"/>
        <v>0</v>
      </c>
      <c r="AX84" s="270">
        <f t="shared" si="13"/>
        <v>0</v>
      </c>
      <c r="AY84" s="3168">
        <f t="shared" si="14"/>
        <v>0</v>
      </c>
      <c r="AZ84" s="3123">
        <f t="shared" si="15"/>
        <v>0</v>
      </c>
      <c r="BA84" s="3123">
        <f t="shared" si="16"/>
        <v>0</v>
      </c>
      <c r="BB84" s="3123">
        <f t="shared" si="17"/>
        <v>0</v>
      </c>
      <c r="BC84" s="3123">
        <f t="shared" si="18"/>
        <v>0</v>
      </c>
      <c r="BD84" s="3123">
        <f t="shared" si="19"/>
        <v>0</v>
      </c>
      <c r="BE84" s="3123">
        <f t="shared" si="20"/>
        <v>0</v>
      </c>
      <c r="BF84" s="3123">
        <f t="shared" si="21"/>
        <v>0</v>
      </c>
      <c r="BG84" s="3123">
        <f t="shared" si="22"/>
        <v>0</v>
      </c>
      <c r="BH84" s="3123">
        <f t="shared" si="23"/>
        <v>0</v>
      </c>
      <c r="BI84" s="3123">
        <f t="shared" si="24"/>
        <v>0</v>
      </c>
      <c r="BJ84" s="3123">
        <f t="shared" si="25"/>
        <v>0</v>
      </c>
      <c r="BK84" s="3123">
        <f t="shared" si="26"/>
        <v>0</v>
      </c>
      <c r="BL84" s="3123">
        <f t="shared" si="27"/>
        <v>0</v>
      </c>
      <c r="BM84" s="3123">
        <f t="shared" si="28"/>
        <v>0</v>
      </c>
      <c r="BN84" s="3123">
        <f t="shared" si="29"/>
        <v>0</v>
      </c>
      <c r="BO84" s="3123">
        <f t="shared" si="30"/>
        <v>0</v>
      </c>
      <c r="BP84" s="3123">
        <f t="shared" si="31"/>
        <v>0</v>
      </c>
      <c r="BQ84" s="3123">
        <f t="shared" si="32"/>
        <v>0</v>
      </c>
      <c r="BR84" s="3123">
        <f t="shared" si="33"/>
        <v>0</v>
      </c>
      <c r="BS84" s="3123">
        <f t="shared" si="34"/>
        <v>0</v>
      </c>
      <c r="BT84" s="3175">
        <f t="shared" si="35"/>
        <v>0</v>
      </c>
    </row>
    <row r="85" spans="1:72">
      <c r="A85" s="3120"/>
      <c r="B85" s="3121"/>
      <c r="C85" s="3121"/>
      <c r="D85" s="3122"/>
      <c r="E85" s="3123">
        <f t="shared" si="7"/>
        <v>0</v>
      </c>
      <c r="F85" s="3124"/>
      <c r="G85" s="3125">
        <f t="shared" si="8"/>
        <v>0</v>
      </c>
      <c r="H85" s="3126">
        <f t="shared" si="9"/>
        <v>0</v>
      </c>
      <c r="I85" s="3133"/>
      <c r="J85" s="3133"/>
      <c r="K85" s="3133"/>
      <c r="L85" s="3133"/>
      <c r="M85" s="3133"/>
      <c r="N85" s="3133"/>
      <c r="O85" s="3133"/>
      <c r="P85" s="3133"/>
      <c r="Q85" s="3133"/>
      <c r="R85" s="3133"/>
      <c r="S85" s="3133"/>
      <c r="T85" s="3133"/>
      <c r="U85" s="3133"/>
      <c r="V85" s="3133"/>
      <c r="W85" s="3133"/>
      <c r="X85" s="3133"/>
      <c r="Y85" s="3133"/>
      <c r="Z85" s="3133"/>
      <c r="AA85" s="3133"/>
      <c r="AB85" s="3133"/>
      <c r="AC85" s="3123">
        <f t="shared" si="10"/>
        <v>0</v>
      </c>
      <c r="AD85" s="3143"/>
      <c r="AE85" s="3143"/>
      <c r="AF85" s="3143"/>
      <c r="AG85" s="3143"/>
      <c r="AH85" s="3143"/>
      <c r="AI85" s="3143"/>
      <c r="AJ85" s="3143"/>
      <c r="AK85" s="3143"/>
      <c r="AL85" s="3143"/>
      <c r="AM85" s="3143"/>
      <c r="AN85" s="3143"/>
      <c r="AO85" s="3143"/>
      <c r="AP85" s="3143"/>
      <c r="AQ85" s="3143"/>
      <c r="AR85" s="3143"/>
      <c r="AS85" s="3143"/>
      <c r="AT85" s="3153"/>
      <c r="AU85" s="3154"/>
      <c r="AV85" s="270">
        <f t="shared" si="11"/>
        <v>0</v>
      </c>
      <c r="AW85" s="270">
        <f t="shared" si="12"/>
        <v>0</v>
      </c>
      <c r="AX85" s="270">
        <f t="shared" si="13"/>
        <v>0</v>
      </c>
      <c r="AY85" s="3168">
        <f t="shared" si="14"/>
        <v>0</v>
      </c>
      <c r="AZ85" s="3123">
        <f t="shared" si="15"/>
        <v>0</v>
      </c>
      <c r="BA85" s="3123">
        <f t="shared" si="16"/>
        <v>0</v>
      </c>
      <c r="BB85" s="3123">
        <f t="shared" si="17"/>
        <v>0</v>
      </c>
      <c r="BC85" s="3123">
        <f t="shared" si="18"/>
        <v>0</v>
      </c>
      <c r="BD85" s="3123">
        <f t="shared" si="19"/>
        <v>0</v>
      </c>
      <c r="BE85" s="3123">
        <f t="shared" si="20"/>
        <v>0</v>
      </c>
      <c r="BF85" s="3123">
        <f t="shared" si="21"/>
        <v>0</v>
      </c>
      <c r="BG85" s="3123">
        <f t="shared" si="22"/>
        <v>0</v>
      </c>
      <c r="BH85" s="3123">
        <f t="shared" si="23"/>
        <v>0</v>
      </c>
      <c r="BI85" s="3123">
        <f t="shared" si="24"/>
        <v>0</v>
      </c>
      <c r="BJ85" s="3123">
        <f t="shared" si="25"/>
        <v>0</v>
      </c>
      <c r="BK85" s="3123">
        <f t="shared" si="26"/>
        <v>0</v>
      </c>
      <c r="BL85" s="3123">
        <f t="shared" si="27"/>
        <v>0</v>
      </c>
      <c r="BM85" s="3123">
        <f t="shared" si="28"/>
        <v>0</v>
      </c>
      <c r="BN85" s="3123">
        <f t="shared" si="29"/>
        <v>0</v>
      </c>
      <c r="BO85" s="3123">
        <f t="shared" si="30"/>
        <v>0</v>
      </c>
      <c r="BP85" s="3123">
        <f t="shared" si="31"/>
        <v>0</v>
      </c>
      <c r="BQ85" s="3123">
        <f t="shared" si="32"/>
        <v>0</v>
      </c>
      <c r="BR85" s="3123">
        <f t="shared" si="33"/>
        <v>0</v>
      </c>
      <c r="BS85" s="3123">
        <f t="shared" si="34"/>
        <v>0</v>
      </c>
      <c r="BT85" s="3175">
        <f t="shared" si="35"/>
        <v>0</v>
      </c>
    </row>
    <row r="86" spans="1:72">
      <c r="A86" s="3120"/>
      <c r="B86" s="3121"/>
      <c r="C86" s="3121"/>
      <c r="D86" s="3122"/>
      <c r="E86" s="3123">
        <f t="shared" si="7"/>
        <v>0</v>
      </c>
      <c r="F86" s="3124"/>
      <c r="G86" s="3125">
        <f t="shared" si="8"/>
        <v>0</v>
      </c>
      <c r="H86" s="3126">
        <f t="shared" si="9"/>
        <v>0</v>
      </c>
      <c r="I86" s="3133"/>
      <c r="J86" s="3133"/>
      <c r="K86" s="3133"/>
      <c r="L86" s="3133"/>
      <c r="M86" s="3133"/>
      <c r="N86" s="3133"/>
      <c r="O86" s="3133"/>
      <c r="P86" s="3133"/>
      <c r="Q86" s="3133"/>
      <c r="R86" s="3133"/>
      <c r="S86" s="3133"/>
      <c r="T86" s="3133"/>
      <c r="U86" s="3133"/>
      <c r="V86" s="3133"/>
      <c r="W86" s="3133"/>
      <c r="X86" s="3133"/>
      <c r="Y86" s="3133"/>
      <c r="Z86" s="3133"/>
      <c r="AA86" s="3133"/>
      <c r="AB86" s="3133"/>
      <c r="AC86" s="3123">
        <f t="shared" si="10"/>
        <v>0</v>
      </c>
      <c r="AD86" s="3143"/>
      <c r="AE86" s="3143"/>
      <c r="AF86" s="3143"/>
      <c r="AG86" s="3143"/>
      <c r="AH86" s="3143"/>
      <c r="AI86" s="3143"/>
      <c r="AJ86" s="3143"/>
      <c r="AK86" s="3143"/>
      <c r="AL86" s="3143"/>
      <c r="AM86" s="3143"/>
      <c r="AN86" s="3143"/>
      <c r="AO86" s="3143"/>
      <c r="AP86" s="3143"/>
      <c r="AQ86" s="3143"/>
      <c r="AR86" s="3143"/>
      <c r="AS86" s="3143"/>
      <c r="AT86" s="3153"/>
      <c r="AU86" s="3154"/>
      <c r="AV86" s="270">
        <f t="shared" si="11"/>
        <v>0</v>
      </c>
      <c r="AW86" s="270">
        <f t="shared" si="12"/>
        <v>0</v>
      </c>
      <c r="AX86" s="270">
        <f t="shared" si="13"/>
        <v>0</v>
      </c>
      <c r="AY86" s="3168">
        <f t="shared" si="14"/>
        <v>0</v>
      </c>
      <c r="AZ86" s="3123">
        <f t="shared" si="15"/>
        <v>0</v>
      </c>
      <c r="BA86" s="3123">
        <f t="shared" si="16"/>
        <v>0</v>
      </c>
      <c r="BB86" s="3123">
        <f t="shared" si="17"/>
        <v>0</v>
      </c>
      <c r="BC86" s="3123">
        <f t="shared" si="18"/>
        <v>0</v>
      </c>
      <c r="BD86" s="3123">
        <f t="shared" si="19"/>
        <v>0</v>
      </c>
      <c r="BE86" s="3123">
        <f t="shared" si="20"/>
        <v>0</v>
      </c>
      <c r="BF86" s="3123">
        <f t="shared" si="21"/>
        <v>0</v>
      </c>
      <c r="BG86" s="3123">
        <f t="shared" si="22"/>
        <v>0</v>
      </c>
      <c r="BH86" s="3123">
        <f t="shared" si="23"/>
        <v>0</v>
      </c>
      <c r="BI86" s="3123">
        <f t="shared" si="24"/>
        <v>0</v>
      </c>
      <c r="BJ86" s="3123">
        <f t="shared" si="25"/>
        <v>0</v>
      </c>
      <c r="BK86" s="3123">
        <f t="shared" si="26"/>
        <v>0</v>
      </c>
      <c r="BL86" s="3123">
        <f t="shared" si="27"/>
        <v>0</v>
      </c>
      <c r="BM86" s="3123">
        <f t="shared" si="28"/>
        <v>0</v>
      </c>
      <c r="BN86" s="3123">
        <f t="shared" si="29"/>
        <v>0</v>
      </c>
      <c r="BO86" s="3123">
        <f t="shared" si="30"/>
        <v>0</v>
      </c>
      <c r="BP86" s="3123">
        <f t="shared" si="31"/>
        <v>0</v>
      </c>
      <c r="BQ86" s="3123">
        <f t="shared" si="32"/>
        <v>0</v>
      </c>
      <c r="BR86" s="3123">
        <f t="shared" si="33"/>
        <v>0</v>
      </c>
      <c r="BS86" s="3123">
        <f t="shared" si="34"/>
        <v>0</v>
      </c>
      <c r="BT86" s="3175">
        <f t="shared" si="35"/>
        <v>0</v>
      </c>
    </row>
    <row r="87" spans="1:72">
      <c r="A87" s="3120"/>
      <c r="B87" s="3121"/>
      <c r="C87" s="3121"/>
      <c r="D87" s="3122"/>
      <c r="E87" s="3123">
        <f t="shared" si="7"/>
        <v>0</v>
      </c>
      <c r="F87" s="3124"/>
      <c r="G87" s="3125">
        <f t="shared" si="8"/>
        <v>0</v>
      </c>
      <c r="H87" s="3126">
        <f t="shared" si="9"/>
        <v>0</v>
      </c>
      <c r="I87" s="3133"/>
      <c r="J87" s="3133"/>
      <c r="K87" s="3133"/>
      <c r="L87" s="3133"/>
      <c r="M87" s="3133"/>
      <c r="N87" s="3133"/>
      <c r="O87" s="3133"/>
      <c r="P87" s="3133"/>
      <c r="Q87" s="3133"/>
      <c r="R87" s="3133"/>
      <c r="S87" s="3133"/>
      <c r="T87" s="3133"/>
      <c r="U87" s="3133"/>
      <c r="V87" s="3133"/>
      <c r="W87" s="3133"/>
      <c r="X87" s="3133"/>
      <c r="Y87" s="3133"/>
      <c r="Z87" s="3133"/>
      <c r="AA87" s="3133"/>
      <c r="AB87" s="3133"/>
      <c r="AC87" s="3123">
        <f t="shared" si="10"/>
        <v>0</v>
      </c>
      <c r="AD87" s="3143"/>
      <c r="AE87" s="3143"/>
      <c r="AF87" s="3143"/>
      <c r="AG87" s="3143"/>
      <c r="AH87" s="3143"/>
      <c r="AI87" s="3143"/>
      <c r="AJ87" s="3143"/>
      <c r="AK87" s="3143"/>
      <c r="AL87" s="3143"/>
      <c r="AM87" s="3143"/>
      <c r="AN87" s="3143"/>
      <c r="AO87" s="3143"/>
      <c r="AP87" s="3143"/>
      <c r="AQ87" s="3143"/>
      <c r="AR87" s="3143"/>
      <c r="AS87" s="3143"/>
      <c r="AT87" s="3153"/>
      <c r="AU87" s="3154"/>
      <c r="AV87" s="270">
        <f t="shared" si="11"/>
        <v>0</v>
      </c>
      <c r="AW87" s="270">
        <f t="shared" si="12"/>
        <v>0</v>
      </c>
      <c r="AX87" s="270">
        <f t="shared" si="13"/>
        <v>0</v>
      </c>
      <c r="AY87" s="3168">
        <f t="shared" si="14"/>
        <v>0</v>
      </c>
      <c r="AZ87" s="3123">
        <f t="shared" si="15"/>
        <v>0</v>
      </c>
      <c r="BA87" s="3123">
        <f t="shared" si="16"/>
        <v>0</v>
      </c>
      <c r="BB87" s="3123">
        <f t="shared" si="17"/>
        <v>0</v>
      </c>
      <c r="BC87" s="3123">
        <f t="shared" si="18"/>
        <v>0</v>
      </c>
      <c r="BD87" s="3123">
        <f t="shared" si="19"/>
        <v>0</v>
      </c>
      <c r="BE87" s="3123">
        <f t="shared" si="20"/>
        <v>0</v>
      </c>
      <c r="BF87" s="3123">
        <f t="shared" si="21"/>
        <v>0</v>
      </c>
      <c r="BG87" s="3123">
        <f t="shared" si="22"/>
        <v>0</v>
      </c>
      <c r="BH87" s="3123">
        <f t="shared" si="23"/>
        <v>0</v>
      </c>
      <c r="BI87" s="3123">
        <f t="shared" si="24"/>
        <v>0</v>
      </c>
      <c r="BJ87" s="3123">
        <f t="shared" si="25"/>
        <v>0</v>
      </c>
      <c r="BK87" s="3123">
        <f t="shared" si="26"/>
        <v>0</v>
      </c>
      <c r="BL87" s="3123">
        <f t="shared" si="27"/>
        <v>0</v>
      </c>
      <c r="BM87" s="3123">
        <f t="shared" si="28"/>
        <v>0</v>
      </c>
      <c r="BN87" s="3123">
        <f t="shared" si="29"/>
        <v>0</v>
      </c>
      <c r="BO87" s="3123">
        <f t="shared" si="30"/>
        <v>0</v>
      </c>
      <c r="BP87" s="3123">
        <f t="shared" si="31"/>
        <v>0</v>
      </c>
      <c r="BQ87" s="3123">
        <f t="shared" si="32"/>
        <v>0</v>
      </c>
      <c r="BR87" s="3123">
        <f t="shared" si="33"/>
        <v>0</v>
      </c>
      <c r="BS87" s="3123">
        <f t="shared" si="34"/>
        <v>0</v>
      </c>
      <c r="BT87" s="3175">
        <f t="shared" si="35"/>
        <v>0</v>
      </c>
    </row>
    <row r="88" spans="1:72">
      <c r="A88" s="3120"/>
      <c r="B88" s="3121"/>
      <c r="C88" s="3121"/>
      <c r="D88" s="3122"/>
      <c r="E88" s="3123">
        <f t="shared" si="7"/>
        <v>0</v>
      </c>
      <c r="F88" s="3124"/>
      <c r="G88" s="3125">
        <f t="shared" si="8"/>
        <v>0</v>
      </c>
      <c r="H88" s="3126">
        <f t="shared" si="9"/>
        <v>0</v>
      </c>
      <c r="I88" s="3133"/>
      <c r="J88" s="3133"/>
      <c r="K88" s="3133"/>
      <c r="L88" s="3133"/>
      <c r="M88" s="3133"/>
      <c r="N88" s="3133"/>
      <c r="O88" s="3133"/>
      <c r="P88" s="3133"/>
      <c r="Q88" s="3133"/>
      <c r="R88" s="3133"/>
      <c r="S88" s="3133"/>
      <c r="T88" s="3133"/>
      <c r="U88" s="3133"/>
      <c r="V88" s="3133"/>
      <c r="W88" s="3133"/>
      <c r="X88" s="3133"/>
      <c r="Y88" s="3133"/>
      <c r="Z88" s="3133"/>
      <c r="AA88" s="3133"/>
      <c r="AB88" s="3133"/>
      <c r="AC88" s="3123">
        <f t="shared" si="10"/>
        <v>0</v>
      </c>
      <c r="AD88" s="3143"/>
      <c r="AE88" s="3143"/>
      <c r="AF88" s="3143"/>
      <c r="AG88" s="3143"/>
      <c r="AH88" s="3143"/>
      <c r="AI88" s="3143"/>
      <c r="AJ88" s="3143"/>
      <c r="AK88" s="3143"/>
      <c r="AL88" s="3143"/>
      <c r="AM88" s="3143"/>
      <c r="AN88" s="3143"/>
      <c r="AO88" s="3143"/>
      <c r="AP88" s="3143"/>
      <c r="AQ88" s="3143"/>
      <c r="AR88" s="3143"/>
      <c r="AS88" s="3143"/>
      <c r="AT88" s="3153"/>
      <c r="AU88" s="3154"/>
      <c r="AV88" s="270">
        <f t="shared" si="11"/>
        <v>0</v>
      </c>
      <c r="AW88" s="270">
        <f t="shared" si="12"/>
        <v>0</v>
      </c>
      <c r="AX88" s="270">
        <f t="shared" si="13"/>
        <v>0</v>
      </c>
      <c r="AY88" s="3168">
        <f t="shared" si="14"/>
        <v>0</v>
      </c>
      <c r="AZ88" s="3123">
        <f t="shared" si="15"/>
        <v>0</v>
      </c>
      <c r="BA88" s="3123">
        <f t="shared" si="16"/>
        <v>0</v>
      </c>
      <c r="BB88" s="3123">
        <f t="shared" si="17"/>
        <v>0</v>
      </c>
      <c r="BC88" s="3123">
        <f t="shared" si="18"/>
        <v>0</v>
      </c>
      <c r="BD88" s="3123">
        <f t="shared" si="19"/>
        <v>0</v>
      </c>
      <c r="BE88" s="3123">
        <f t="shared" si="20"/>
        <v>0</v>
      </c>
      <c r="BF88" s="3123">
        <f t="shared" si="21"/>
        <v>0</v>
      </c>
      <c r="BG88" s="3123">
        <f t="shared" si="22"/>
        <v>0</v>
      </c>
      <c r="BH88" s="3123">
        <f t="shared" si="23"/>
        <v>0</v>
      </c>
      <c r="BI88" s="3123">
        <f t="shared" si="24"/>
        <v>0</v>
      </c>
      <c r="BJ88" s="3123">
        <f t="shared" si="25"/>
        <v>0</v>
      </c>
      <c r="BK88" s="3123">
        <f t="shared" si="26"/>
        <v>0</v>
      </c>
      <c r="BL88" s="3123">
        <f t="shared" si="27"/>
        <v>0</v>
      </c>
      <c r="BM88" s="3123">
        <f t="shared" si="28"/>
        <v>0</v>
      </c>
      <c r="BN88" s="3123">
        <f t="shared" si="29"/>
        <v>0</v>
      </c>
      <c r="BO88" s="3123">
        <f t="shared" si="30"/>
        <v>0</v>
      </c>
      <c r="BP88" s="3123">
        <f t="shared" si="31"/>
        <v>0</v>
      </c>
      <c r="BQ88" s="3123">
        <f t="shared" si="32"/>
        <v>0</v>
      </c>
      <c r="BR88" s="3123">
        <f t="shared" si="33"/>
        <v>0</v>
      </c>
      <c r="BS88" s="3123">
        <f t="shared" si="34"/>
        <v>0</v>
      </c>
      <c r="BT88" s="3175">
        <f t="shared" si="35"/>
        <v>0</v>
      </c>
    </row>
    <row r="89" spans="1:72">
      <c r="A89" s="3120"/>
      <c r="B89" s="3121"/>
      <c r="C89" s="3121"/>
      <c r="D89" s="3122"/>
      <c r="E89" s="3123">
        <f t="shared" si="7"/>
        <v>0</v>
      </c>
      <c r="F89" s="3124"/>
      <c r="G89" s="3125">
        <f t="shared" si="8"/>
        <v>0</v>
      </c>
      <c r="H89" s="3126">
        <f t="shared" si="9"/>
        <v>0</v>
      </c>
      <c r="I89" s="3133"/>
      <c r="J89" s="3133"/>
      <c r="K89" s="3133"/>
      <c r="L89" s="3133"/>
      <c r="M89" s="3133"/>
      <c r="N89" s="3133"/>
      <c r="O89" s="3133"/>
      <c r="P89" s="3133"/>
      <c r="Q89" s="3133"/>
      <c r="R89" s="3133"/>
      <c r="S89" s="3133"/>
      <c r="T89" s="3133"/>
      <c r="U89" s="3133"/>
      <c r="V89" s="3133"/>
      <c r="W89" s="3133"/>
      <c r="X89" s="3133"/>
      <c r="Y89" s="3133"/>
      <c r="Z89" s="3133"/>
      <c r="AA89" s="3133"/>
      <c r="AB89" s="3133"/>
      <c r="AC89" s="3123">
        <f t="shared" si="10"/>
        <v>0</v>
      </c>
      <c r="AD89" s="3143"/>
      <c r="AE89" s="3143"/>
      <c r="AF89" s="3143"/>
      <c r="AG89" s="3143"/>
      <c r="AH89" s="3143"/>
      <c r="AI89" s="3143"/>
      <c r="AJ89" s="3143"/>
      <c r="AK89" s="3143"/>
      <c r="AL89" s="3143"/>
      <c r="AM89" s="3143"/>
      <c r="AN89" s="3143"/>
      <c r="AO89" s="3143"/>
      <c r="AP89" s="3143"/>
      <c r="AQ89" s="3143"/>
      <c r="AR89" s="3143"/>
      <c r="AS89" s="3143"/>
      <c r="AT89" s="3153"/>
      <c r="AU89" s="3154"/>
      <c r="AV89" s="270">
        <f t="shared" si="11"/>
        <v>0</v>
      </c>
      <c r="AW89" s="270">
        <f t="shared" si="12"/>
        <v>0</v>
      </c>
      <c r="AX89" s="270">
        <f t="shared" si="13"/>
        <v>0</v>
      </c>
      <c r="AY89" s="3168">
        <f t="shared" si="14"/>
        <v>0</v>
      </c>
      <c r="AZ89" s="3123">
        <f t="shared" si="15"/>
        <v>0</v>
      </c>
      <c r="BA89" s="3123">
        <f t="shared" si="16"/>
        <v>0</v>
      </c>
      <c r="BB89" s="3123">
        <f t="shared" si="17"/>
        <v>0</v>
      </c>
      <c r="BC89" s="3123">
        <f t="shared" si="18"/>
        <v>0</v>
      </c>
      <c r="BD89" s="3123">
        <f t="shared" si="19"/>
        <v>0</v>
      </c>
      <c r="BE89" s="3123">
        <f t="shared" si="20"/>
        <v>0</v>
      </c>
      <c r="BF89" s="3123">
        <f t="shared" si="21"/>
        <v>0</v>
      </c>
      <c r="BG89" s="3123">
        <f t="shared" si="22"/>
        <v>0</v>
      </c>
      <c r="BH89" s="3123">
        <f t="shared" si="23"/>
        <v>0</v>
      </c>
      <c r="BI89" s="3123">
        <f t="shared" si="24"/>
        <v>0</v>
      </c>
      <c r="BJ89" s="3123">
        <f t="shared" si="25"/>
        <v>0</v>
      </c>
      <c r="BK89" s="3123">
        <f t="shared" si="26"/>
        <v>0</v>
      </c>
      <c r="BL89" s="3123">
        <f t="shared" si="27"/>
        <v>0</v>
      </c>
      <c r="BM89" s="3123">
        <f t="shared" si="28"/>
        <v>0</v>
      </c>
      <c r="BN89" s="3123">
        <f t="shared" si="29"/>
        <v>0</v>
      </c>
      <c r="BO89" s="3123">
        <f t="shared" si="30"/>
        <v>0</v>
      </c>
      <c r="BP89" s="3123">
        <f t="shared" si="31"/>
        <v>0</v>
      </c>
      <c r="BQ89" s="3123">
        <f t="shared" si="32"/>
        <v>0</v>
      </c>
      <c r="BR89" s="3123">
        <f t="shared" si="33"/>
        <v>0</v>
      </c>
      <c r="BS89" s="3123">
        <f t="shared" si="34"/>
        <v>0</v>
      </c>
      <c r="BT89" s="3175">
        <f t="shared" si="35"/>
        <v>0</v>
      </c>
    </row>
    <row r="90" spans="1:72">
      <c r="A90" s="3120"/>
      <c r="B90" s="3121"/>
      <c r="C90" s="3121"/>
      <c r="D90" s="3122"/>
      <c r="E90" s="3123">
        <f t="shared" si="7"/>
        <v>0</v>
      </c>
      <c r="F90" s="3124"/>
      <c r="G90" s="3125">
        <f t="shared" si="8"/>
        <v>0</v>
      </c>
      <c r="H90" s="3126">
        <f t="shared" si="9"/>
        <v>0</v>
      </c>
      <c r="I90" s="3133"/>
      <c r="J90" s="3133"/>
      <c r="K90" s="3133"/>
      <c r="L90" s="3133"/>
      <c r="M90" s="3133"/>
      <c r="N90" s="3133"/>
      <c r="O90" s="3133"/>
      <c r="P90" s="3133"/>
      <c r="Q90" s="3133"/>
      <c r="R90" s="3133"/>
      <c r="S90" s="3133"/>
      <c r="T90" s="3133"/>
      <c r="U90" s="3133"/>
      <c r="V90" s="3133"/>
      <c r="W90" s="3133"/>
      <c r="X90" s="3133"/>
      <c r="Y90" s="3133"/>
      <c r="Z90" s="3133"/>
      <c r="AA90" s="3133"/>
      <c r="AB90" s="3133"/>
      <c r="AC90" s="3123">
        <f t="shared" si="10"/>
        <v>0</v>
      </c>
      <c r="AD90" s="3143"/>
      <c r="AE90" s="3143"/>
      <c r="AF90" s="3143"/>
      <c r="AG90" s="3143"/>
      <c r="AH90" s="3143"/>
      <c r="AI90" s="3143"/>
      <c r="AJ90" s="3143"/>
      <c r="AK90" s="3143"/>
      <c r="AL90" s="3143"/>
      <c r="AM90" s="3143"/>
      <c r="AN90" s="3143"/>
      <c r="AO90" s="3143"/>
      <c r="AP90" s="3143"/>
      <c r="AQ90" s="3143"/>
      <c r="AR90" s="3143"/>
      <c r="AS90" s="3143"/>
      <c r="AT90" s="3153"/>
      <c r="AU90" s="3154"/>
      <c r="AV90" s="270">
        <f t="shared" si="11"/>
        <v>0</v>
      </c>
      <c r="AW90" s="270">
        <f t="shared" si="12"/>
        <v>0</v>
      </c>
      <c r="AX90" s="270">
        <f t="shared" si="13"/>
        <v>0</v>
      </c>
      <c r="AY90" s="3168">
        <f t="shared" si="14"/>
        <v>0</v>
      </c>
      <c r="AZ90" s="3123">
        <f t="shared" si="15"/>
        <v>0</v>
      </c>
      <c r="BA90" s="3123">
        <f t="shared" si="16"/>
        <v>0</v>
      </c>
      <c r="BB90" s="3123">
        <f t="shared" si="17"/>
        <v>0</v>
      </c>
      <c r="BC90" s="3123">
        <f t="shared" si="18"/>
        <v>0</v>
      </c>
      <c r="BD90" s="3123">
        <f t="shared" si="19"/>
        <v>0</v>
      </c>
      <c r="BE90" s="3123">
        <f t="shared" si="20"/>
        <v>0</v>
      </c>
      <c r="BF90" s="3123">
        <f t="shared" si="21"/>
        <v>0</v>
      </c>
      <c r="BG90" s="3123">
        <f t="shared" si="22"/>
        <v>0</v>
      </c>
      <c r="BH90" s="3123">
        <f t="shared" si="23"/>
        <v>0</v>
      </c>
      <c r="BI90" s="3123">
        <f t="shared" si="24"/>
        <v>0</v>
      </c>
      <c r="BJ90" s="3123">
        <f t="shared" si="25"/>
        <v>0</v>
      </c>
      <c r="BK90" s="3123">
        <f t="shared" si="26"/>
        <v>0</v>
      </c>
      <c r="BL90" s="3123">
        <f t="shared" si="27"/>
        <v>0</v>
      </c>
      <c r="BM90" s="3123">
        <f t="shared" si="28"/>
        <v>0</v>
      </c>
      <c r="BN90" s="3123">
        <f t="shared" si="29"/>
        <v>0</v>
      </c>
      <c r="BO90" s="3123">
        <f t="shared" si="30"/>
        <v>0</v>
      </c>
      <c r="BP90" s="3123">
        <f t="shared" si="31"/>
        <v>0</v>
      </c>
      <c r="BQ90" s="3123">
        <f t="shared" si="32"/>
        <v>0</v>
      </c>
      <c r="BR90" s="3123">
        <f t="shared" si="33"/>
        <v>0</v>
      </c>
      <c r="BS90" s="3123">
        <f t="shared" si="34"/>
        <v>0</v>
      </c>
      <c r="BT90" s="3175">
        <f t="shared" si="35"/>
        <v>0</v>
      </c>
    </row>
    <row r="91" spans="1:72">
      <c r="A91" s="3120"/>
      <c r="B91" s="3121"/>
      <c r="C91" s="3121"/>
      <c r="D91" s="3122"/>
      <c r="E91" s="3123">
        <f t="shared" si="7"/>
        <v>0</v>
      </c>
      <c r="F91" s="3124"/>
      <c r="G91" s="3125">
        <f t="shared" si="8"/>
        <v>0</v>
      </c>
      <c r="H91" s="3126">
        <f t="shared" si="9"/>
        <v>0</v>
      </c>
      <c r="I91" s="3133"/>
      <c r="J91" s="3133"/>
      <c r="K91" s="3133"/>
      <c r="L91" s="3133"/>
      <c r="M91" s="3133"/>
      <c r="N91" s="3133"/>
      <c r="O91" s="3133"/>
      <c r="P91" s="3133"/>
      <c r="Q91" s="3133"/>
      <c r="R91" s="3133"/>
      <c r="S91" s="3133"/>
      <c r="T91" s="3133"/>
      <c r="U91" s="3133"/>
      <c r="V91" s="3133"/>
      <c r="W91" s="3133"/>
      <c r="X91" s="3133"/>
      <c r="Y91" s="3133"/>
      <c r="Z91" s="3133"/>
      <c r="AA91" s="3133"/>
      <c r="AB91" s="3133"/>
      <c r="AC91" s="3123">
        <f t="shared" si="10"/>
        <v>0</v>
      </c>
      <c r="AD91" s="3143"/>
      <c r="AE91" s="3143"/>
      <c r="AF91" s="3143"/>
      <c r="AG91" s="3143"/>
      <c r="AH91" s="3143"/>
      <c r="AI91" s="3143"/>
      <c r="AJ91" s="3143"/>
      <c r="AK91" s="3143"/>
      <c r="AL91" s="3143"/>
      <c r="AM91" s="3143"/>
      <c r="AN91" s="3143"/>
      <c r="AO91" s="3143"/>
      <c r="AP91" s="3143"/>
      <c r="AQ91" s="3143"/>
      <c r="AR91" s="3143"/>
      <c r="AS91" s="3143"/>
      <c r="AT91" s="3153"/>
      <c r="AU91" s="3154"/>
      <c r="AV91" s="270">
        <f t="shared" si="11"/>
        <v>0</v>
      </c>
      <c r="AW91" s="270">
        <f t="shared" si="12"/>
        <v>0</v>
      </c>
      <c r="AX91" s="270">
        <f t="shared" si="13"/>
        <v>0</v>
      </c>
      <c r="AY91" s="3168">
        <f t="shared" si="14"/>
        <v>0</v>
      </c>
      <c r="AZ91" s="3123">
        <f t="shared" si="15"/>
        <v>0</v>
      </c>
      <c r="BA91" s="3123">
        <f t="shared" si="16"/>
        <v>0</v>
      </c>
      <c r="BB91" s="3123">
        <f t="shared" si="17"/>
        <v>0</v>
      </c>
      <c r="BC91" s="3123">
        <f t="shared" si="18"/>
        <v>0</v>
      </c>
      <c r="BD91" s="3123">
        <f t="shared" si="19"/>
        <v>0</v>
      </c>
      <c r="BE91" s="3123">
        <f t="shared" si="20"/>
        <v>0</v>
      </c>
      <c r="BF91" s="3123">
        <f t="shared" si="21"/>
        <v>0</v>
      </c>
      <c r="BG91" s="3123">
        <f t="shared" si="22"/>
        <v>0</v>
      </c>
      <c r="BH91" s="3123">
        <f t="shared" si="23"/>
        <v>0</v>
      </c>
      <c r="BI91" s="3123">
        <f t="shared" si="24"/>
        <v>0</v>
      </c>
      <c r="BJ91" s="3123">
        <f t="shared" si="25"/>
        <v>0</v>
      </c>
      <c r="BK91" s="3123">
        <f t="shared" si="26"/>
        <v>0</v>
      </c>
      <c r="BL91" s="3123">
        <f t="shared" si="27"/>
        <v>0</v>
      </c>
      <c r="BM91" s="3123">
        <f t="shared" si="28"/>
        <v>0</v>
      </c>
      <c r="BN91" s="3123">
        <f t="shared" si="29"/>
        <v>0</v>
      </c>
      <c r="BO91" s="3123">
        <f t="shared" si="30"/>
        <v>0</v>
      </c>
      <c r="BP91" s="3123">
        <f t="shared" si="31"/>
        <v>0</v>
      </c>
      <c r="BQ91" s="3123">
        <f t="shared" si="32"/>
        <v>0</v>
      </c>
      <c r="BR91" s="3123">
        <f t="shared" si="33"/>
        <v>0</v>
      </c>
      <c r="BS91" s="3123">
        <f t="shared" si="34"/>
        <v>0</v>
      </c>
      <c r="BT91" s="3175">
        <f t="shared" si="35"/>
        <v>0</v>
      </c>
    </row>
    <row r="92" spans="1:72">
      <c r="A92" s="3120"/>
      <c r="B92" s="3121"/>
      <c r="C92" s="3121"/>
      <c r="D92" s="3122"/>
      <c r="E92" s="3123">
        <f t="shared" si="7"/>
        <v>0</v>
      </c>
      <c r="F92" s="3124"/>
      <c r="G92" s="3125">
        <f t="shared" si="8"/>
        <v>0</v>
      </c>
      <c r="H92" s="3126">
        <f t="shared" si="9"/>
        <v>0</v>
      </c>
      <c r="I92" s="3133"/>
      <c r="J92" s="3133"/>
      <c r="K92" s="3133"/>
      <c r="L92" s="3133"/>
      <c r="M92" s="3133"/>
      <c r="N92" s="3133"/>
      <c r="O92" s="3133"/>
      <c r="P92" s="3133"/>
      <c r="Q92" s="3133"/>
      <c r="R92" s="3133"/>
      <c r="S92" s="3133"/>
      <c r="T92" s="3133"/>
      <c r="U92" s="3133"/>
      <c r="V92" s="3133"/>
      <c r="W92" s="3133"/>
      <c r="X92" s="3133"/>
      <c r="Y92" s="3133"/>
      <c r="Z92" s="3133"/>
      <c r="AA92" s="3133"/>
      <c r="AB92" s="3133"/>
      <c r="AC92" s="3123">
        <f t="shared" si="10"/>
        <v>0</v>
      </c>
      <c r="AD92" s="3143"/>
      <c r="AE92" s="3143"/>
      <c r="AF92" s="3143"/>
      <c r="AG92" s="3143"/>
      <c r="AH92" s="3143"/>
      <c r="AI92" s="3143"/>
      <c r="AJ92" s="3143"/>
      <c r="AK92" s="3143"/>
      <c r="AL92" s="3143"/>
      <c r="AM92" s="3143"/>
      <c r="AN92" s="3143"/>
      <c r="AO92" s="3143"/>
      <c r="AP92" s="3143"/>
      <c r="AQ92" s="3143"/>
      <c r="AR92" s="3143"/>
      <c r="AS92" s="3143"/>
      <c r="AT92" s="3153"/>
      <c r="AU92" s="3154"/>
      <c r="AV92" s="270">
        <f t="shared" si="11"/>
        <v>0</v>
      </c>
      <c r="AW92" s="270">
        <f t="shared" si="12"/>
        <v>0</v>
      </c>
      <c r="AX92" s="270">
        <f t="shared" si="13"/>
        <v>0</v>
      </c>
      <c r="AY92" s="3168">
        <f t="shared" si="14"/>
        <v>0</v>
      </c>
      <c r="AZ92" s="3123">
        <f t="shared" si="15"/>
        <v>0</v>
      </c>
      <c r="BA92" s="3123">
        <f t="shared" si="16"/>
        <v>0</v>
      </c>
      <c r="BB92" s="3123">
        <f t="shared" si="17"/>
        <v>0</v>
      </c>
      <c r="BC92" s="3123">
        <f t="shared" si="18"/>
        <v>0</v>
      </c>
      <c r="BD92" s="3123">
        <f t="shared" si="19"/>
        <v>0</v>
      </c>
      <c r="BE92" s="3123">
        <f t="shared" si="20"/>
        <v>0</v>
      </c>
      <c r="BF92" s="3123">
        <f t="shared" si="21"/>
        <v>0</v>
      </c>
      <c r="BG92" s="3123">
        <f t="shared" si="22"/>
        <v>0</v>
      </c>
      <c r="BH92" s="3123">
        <f t="shared" si="23"/>
        <v>0</v>
      </c>
      <c r="BI92" s="3123">
        <f t="shared" si="24"/>
        <v>0</v>
      </c>
      <c r="BJ92" s="3123">
        <f t="shared" si="25"/>
        <v>0</v>
      </c>
      <c r="BK92" s="3123">
        <f t="shared" si="26"/>
        <v>0</v>
      </c>
      <c r="BL92" s="3123">
        <f t="shared" si="27"/>
        <v>0</v>
      </c>
      <c r="BM92" s="3123">
        <f t="shared" si="28"/>
        <v>0</v>
      </c>
      <c r="BN92" s="3123">
        <f t="shared" si="29"/>
        <v>0</v>
      </c>
      <c r="BO92" s="3123">
        <f t="shared" si="30"/>
        <v>0</v>
      </c>
      <c r="BP92" s="3123">
        <f t="shared" si="31"/>
        <v>0</v>
      </c>
      <c r="BQ92" s="3123">
        <f t="shared" si="32"/>
        <v>0</v>
      </c>
      <c r="BR92" s="3123">
        <f t="shared" si="33"/>
        <v>0</v>
      </c>
      <c r="BS92" s="3123">
        <f t="shared" si="34"/>
        <v>0</v>
      </c>
      <c r="BT92" s="3175">
        <f t="shared" si="35"/>
        <v>0</v>
      </c>
    </row>
    <row r="93" spans="1:72">
      <c r="A93" s="3120"/>
      <c r="B93" s="3121"/>
      <c r="C93" s="3121"/>
      <c r="D93" s="3122"/>
      <c r="E93" s="3123">
        <f t="shared" si="7"/>
        <v>0</v>
      </c>
      <c r="F93" s="3124"/>
      <c r="G93" s="3125">
        <f t="shared" si="8"/>
        <v>0</v>
      </c>
      <c r="H93" s="3126">
        <f t="shared" si="9"/>
        <v>0</v>
      </c>
      <c r="I93" s="3133"/>
      <c r="J93" s="3133"/>
      <c r="K93" s="3133"/>
      <c r="L93" s="3133"/>
      <c r="M93" s="3133"/>
      <c r="N93" s="3133"/>
      <c r="O93" s="3133"/>
      <c r="P93" s="3133"/>
      <c r="Q93" s="3133"/>
      <c r="R93" s="3133"/>
      <c r="S93" s="3133"/>
      <c r="T93" s="3133"/>
      <c r="U93" s="3133"/>
      <c r="V93" s="3133"/>
      <c r="W93" s="3133"/>
      <c r="X93" s="3133"/>
      <c r="Y93" s="3133"/>
      <c r="Z93" s="3133"/>
      <c r="AA93" s="3133"/>
      <c r="AB93" s="3133"/>
      <c r="AC93" s="3123">
        <f t="shared" si="10"/>
        <v>0</v>
      </c>
      <c r="AD93" s="3143"/>
      <c r="AE93" s="3143"/>
      <c r="AF93" s="3143"/>
      <c r="AG93" s="3143"/>
      <c r="AH93" s="3143"/>
      <c r="AI93" s="3143"/>
      <c r="AJ93" s="3143"/>
      <c r="AK93" s="3143"/>
      <c r="AL93" s="3143"/>
      <c r="AM93" s="3143"/>
      <c r="AN93" s="3143"/>
      <c r="AO93" s="3143"/>
      <c r="AP93" s="3143"/>
      <c r="AQ93" s="3143"/>
      <c r="AR93" s="3143"/>
      <c r="AS93" s="3143"/>
      <c r="AT93" s="3153"/>
      <c r="AU93" s="3154"/>
      <c r="AV93" s="270">
        <f t="shared" si="11"/>
        <v>0</v>
      </c>
      <c r="AW93" s="270">
        <f t="shared" si="12"/>
        <v>0</v>
      </c>
      <c r="AX93" s="270">
        <f t="shared" si="13"/>
        <v>0</v>
      </c>
      <c r="AY93" s="3168">
        <f t="shared" si="14"/>
        <v>0</v>
      </c>
      <c r="AZ93" s="3123">
        <f t="shared" si="15"/>
        <v>0</v>
      </c>
      <c r="BA93" s="3123">
        <f t="shared" si="16"/>
        <v>0</v>
      </c>
      <c r="BB93" s="3123">
        <f t="shared" si="17"/>
        <v>0</v>
      </c>
      <c r="BC93" s="3123">
        <f t="shared" si="18"/>
        <v>0</v>
      </c>
      <c r="BD93" s="3123">
        <f t="shared" si="19"/>
        <v>0</v>
      </c>
      <c r="BE93" s="3123">
        <f t="shared" si="20"/>
        <v>0</v>
      </c>
      <c r="BF93" s="3123">
        <f t="shared" si="21"/>
        <v>0</v>
      </c>
      <c r="BG93" s="3123">
        <f t="shared" si="22"/>
        <v>0</v>
      </c>
      <c r="BH93" s="3123">
        <f t="shared" si="23"/>
        <v>0</v>
      </c>
      <c r="BI93" s="3123">
        <f t="shared" si="24"/>
        <v>0</v>
      </c>
      <c r="BJ93" s="3123">
        <f t="shared" si="25"/>
        <v>0</v>
      </c>
      <c r="BK93" s="3123">
        <f t="shared" si="26"/>
        <v>0</v>
      </c>
      <c r="BL93" s="3123">
        <f t="shared" si="27"/>
        <v>0</v>
      </c>
      <c r="BM93" s="3123">
        <f t="shared" si="28"/>
        <v>0</v>
      </c>
      <c r="BN93" s="3123">
        <f t="shared" si="29"/>
        <v>0</v>
      </c>
      <c r="BO93" s="3123">
        <f t="shared" si="30"/>
        <v>0</v>
      </c>
      <c r="BP93" s="3123">
        <f t="shared" si="31"/>
        <v>0</v>
      </c>
      <c r="BQ93" s="3123">
        <f t="shared" si="32"/>
        <v>0</v>
      </c>
      <c r="BR93" s="3123">
        <f t="shared" si="33"/>
        <v>0</v>
      </c>
      <c r="BS93" s="3123">
        <f t="shared" si="34"/>
        <v>0</v>
      </c>
      <c r="BT93" s="3175">
        <f t="shared" si="35"/>
        <v>0</v>
      </c>
    </row>
    <row r="94" spans="1:72">
      <c r="A94" s="3120"/>
      <c r="B94" s="3121"/>
      <c r="C94" s="3121"/>
      <c r="D94" s="3122"/>
      <c r="E94" s="3123">
        <f t="shared" si="7"/>
        <v>0</v>
      </c>
      <c r="F94" s="3124"/>
      <c r="G94" s="3125">
        <f t="shared" si="8"/>
        <v>0</v>
      </c>
      <c r="H94" s="3126">
        <f t="shared" si="9"/>
        <v>0</v>
      </c>
      <c r="I94" s="3133"/>
      <c r="J94" s="3133"/>
      <c r="K94" s="3133"/>
      <c r="L94" s="3133"/>
      <c r="M94" s="3133"/>
      <c r="N94" s="3133"/>
      <c r="O94" s="3133"/>
      <c r="P94" s="3133"/>
      <c r="Q94" s="3133"/>
      <c r="R94" s="3133"/>
      <c r="S94" s="3133"/>
      <c r="T94" s="3133"/>
      <c r="U94" s="3133"/>
      <c r="V94" s="3133"/>
      <c r="W94" s="3133"/>
      <c r="X94" s="3133"/>
      <c r="Y94" s="3133"/>
      <c r="Z94" s="3133"/>
      <c r="AA94" s="3133"/>
      <c r="AB94" s="3133"/>
      <c r="AC94" s="3123">
        <f t="shared" si="10"/>
        <v>0</v>
      </c>
      <c r="AD94" s="3143"/>
      <c r="AE94" s="3143"/>
      <c r="AF94" s="3143"/>
      <c r="AG94" s="3143"/>
      <c r="AH94" s="3143"/>
      <c r="AI94" s="3143"/>
      <c r="AJ94" s="3143"/>
      <c r="AK94" s="3143"/>
      <c r="AL94" s="3143"/>
      <c r="AM94" s="3143"/>
      <c r="AN94" s="3143"/>
      <c r="AO94" s="3143"/>
      <c r="AP94" s="3143"/>
      <c r="AQ94" s="3143"/>
      <c r="AR94" s="3143"/>
      <c r="AS94" s="3143"/>
      <c r="AT94" s="3153"/>
      <c r="AU94" s="3154"/>
      <c r="AV94" s="270">
        <f t="shared" si="11"/>
        <v>0</v>
      </c>
      <c r="AW94" s="270">
        <f t="shared" si="12"/>
        <v>0</v>
      </c>
      <c r="AX94" s="270">
        <f t="shared" si="13"/>
        <v>0</v>
      </c>
      <c r="AY94" s="3168">
        <f t="shared" si="14"/>
        <v>0</v>
      </c>
      <c r="AZ94" s="3123">
        <f t="shared" si="15"/>
        <v>0</v>
      </c>
      <c r="BA94" s="3123">
        <f t="shared" si="16"/>
        <v>0</v>
      </c>
      <c r="BB94" s="3123">
        <f t="shared" si="17"/>
        <v>0</v>
      </c>
      <c r="BC94" s="3123">
        <f t="shared" si="18"/>
        <v>0</v>
      </c>
      <c r="BD94" s="3123">
        <f t="shared" si="19"/>
        <v>0</v>
      </c>
      <c r="BE94" s="3123">
        <f t="shared" si="20"/>
        <v>0</v>
      </c>
      <c r="BF94" s="3123">
        <f t="shared" si="21"/>
        <v>0</v>
      </c>
      <c r="BG94" s="3123">
        <f t="shared" si="22"/>
        <v>0</v>
      </c>
      <c r="BH94" s="3123">
        <f t="shared" si="23"/>
        <v>0</v>
      </c>
      <c r="BI94" s="3123">
        <f t="shared" si="24"/>
        <v>0</v>
      </c>
      <c r="BJ94" s="3123">
        <f t="shared" si="25"/>
        <v>0</v>
      </c>
      <c r="BK94" s="3123">
        <f t="shared" si="26"/>
        <v>0</v>
      </c>
      <c r="BL94" s="3123">
        <f t="shared" si="27"/>
        <v>0</v>
      </c>
      <c r="BM94" s="3123">
        <f t="shared" si="28"/>
        <v>0</v>
      </c>
      <c r="BN94" s="3123">
        <f t="shared" si="29"/>
        <v>0</v>
      </c>
      <c r="BO94" s="3123">
        <f t="shared" si="30"/>
        <v>0</v>
      </c>
      <c r="BP94" s="3123">
        <f t="shared" si="31"/>
        <v>0</v>
      </c>
      <c r="BQ94" s="3123">
        <f t="shared" si="32"/>
        <v>0</v>
      </c>
      <c r="BR94" s="3123">
        <f t="shared" si="33"/>
        <v>0</v>
      </c>
      <c r="BS94" s="3123">
        <f t="shared" si="34"/>
        <v>0</v>
      </c>
      <c r="BT94" s="3175">
        <f t="shared" si="35"/>
        <v>0</v>
      </c>
    </row>
    <row r="95" spans="1:72">
      <c r="A95" s="3120"/>
      <c r="B95" s="3121"/>
      <c r="C95" s="3121"/>
      <c r="D95" s="3122"/>
      <c r="E95" s="3123">
        <f t="shared" si="7"/>
        <v>0</v>
      </c>
      <c r="F95" s="3124"/>
      <c r="G95" s="3125">
        <f t="shared" si="8"/>
        <v>0</v>
      </c>
      <c r="H95" s="3126">
        <f t="shared" si="9"/>
        <v>0</v>
      </c>
      <c r="I95" s="3133"/>
      <c r="J95" s="3133"/>
      <c r="K95" s="3133"/>
      <c r="L95" s="3133"/>
      <c r="M95" s="3133"/>
      <c r="N95" s="3133"/>
      <c r="O95" s="3133"/>
      <c r="P95" s="3133"/>
      <c r="Q95" s="3133"/>
      <c r="R95" s="3133"/>
      <c r="S95" s="3133"/>
      <c r="T95" s="3133"/>
      <c r="U95" s="3133"/>
      <c r="V95" s="3133"/>
      <c r="W95" s="3133"/>
      <c r="X95" s="3133"/>
      <c r="Y95" s="3133"/>
      <c r="Z95" s="3133"/>
      <c r="AA95" s="3133"/>
      <c r="AB95" s="3133"/>
      <c r="AC95" s="3123">
        <f t="shared" si="10"/>
        <v>0</v>
      </c>
      <c r="AD95" s="3143"/>
      <c r="AE95" s="3143"/>
      <c r="AF95" s="3143"/>
      <c r="AG95" s="3143"/>
      <c r="AH95" s="3143"/>
      <c r="AI95" s="3143"/>
      <c r="AJ95" s="3143"/>
      <c r="AK95" s="3143"/>
      <c r="AL95" s="3143"/>
      <c r="AM95" s="3143"/>
      <c r="AN95" s="3143"/>
      <c r="AO95" s="3143"/>
      <c r="AP95" s="3143"/>
      <c r="AQ95" s="3143"/>
      <c r="AR95" s="3143"/>
      <c r="AS95" s="3143"/>
      <c r="AT95" s="3153"/>
      <c r="AU95" s="3154"/>
      <c r="AV95" s="270">
        <f t="shared" si="11"/>
        <v>0</v>
      </c>
      <c r="AW95" s="270">
        <f t="shared" si="12"/>
        <v>0</v>
      </c>
      <c r="AX95" s="270">
        <f t="shared" si="13"/>
        <v>0</v>
      </c>
      <c r="AY95" s="3168">
        <f t="shared" si="14"/>
        <v>0</v>
      </c>
      <c r="AZ95" s="3123">
        <f t="shared" si="15"/>
        <v>0</v>
      </c>
      <c r="BA95" s="3123">
        <f t="shared" si="16"/>
        <v>0</v>
      </c>
      <c r="BB95" s="3123">
        <f t="shared" si="17"/>
        <v>0</v>
      </c>
      <c r="BC95" s="3123">
        <f t="shared" si="18"/>
        <v>0</v>
      </c>
      <c r="BD95" s="3123">
        <f t="shared" si="19"/>
        <v>0</v>
      </c>
      <c r="BE95" s="3123">
        <f t="shared" si="20"/>
        <v>0</v>
      </c>
      <c r="BF95" s="3123">
        <f t="shared" si="21"/>
        <v>0</v>
      </c>
      <c r="BG95" s="3123">
        <f t="shared" si="22"/>
        <v>0</v>
      </c>
      <c r="BH95" s="3123">
        <f t="shared" si="23"/>
        <v>0</v>
      </c>
      <c r="BI95" s="3123">
        <f t="shared" si="24"/>
        <v>0</v>
      </c>
      <c r="BJ95" s="3123">
        <f t="shared" si="25"/>
        <v>0</v>
      </c>
      <c r="BK95" s="3123">
        <f t="shared" si="26"/>
        <v>0</v>
      </c>
      <c r="BL95" s="3123">
        <f t="shared" si="27"/>
        <v>0</v>
      </c>
      <c r="BM95" s="3123">
        <f t="shared" si="28"/>
        <v>0</v>
      </c>
      <c r="BN95" s="3123">
        <f t="shared" si="29"/>
        <v>0</v>
      </c>
      <c r="BO95" s="3123">
        <f t="shared" si="30"/>
        <v>0</v>
      </c>
      <c r="BP95" s="3123">
        <f t="shared" si="31"/>
        <v>0</v>
      </c>
      <c r="BQ95" s="3123">
        <f t="shared" si="32"/>
        <v>0</v>
      </c>
      <c r="BR95" s="3123">
        <f t="shared" si="33"/>
        <v>0</v>
      </c>
      <c r="BS95" s="3123">
        <f t="shared" si="34"/>
        <v>0</v>
      </c>
      <c r="BT95" s="3175">
        <f t="shared" si="35"/>
        <v>0</v>
      </c>
    </row>
    <row r="96" spans="1:72">
      <c r="A96" s="3120"/>
      <c r="B96" s="3121"/>
      <c r="C96" s="3121"/>
      <c r="D96" s="3122"/>
      <c r="E96" s="3123">
        <f t="shared" si="7"/>
        <v>0</v>
      </c>
      <c r="F96" s="3124"/>
      <c r="G96" s="3125">
        <f t="shared" si="8"/>
        <v>0</v>
      </c>
      <c r="H96" s="3126">
        <f t="shared" si="9"/>
        <v>0</v>
      </c>
      <c r="I96" s="3133"/>
      <c r="J96" s="3133"/>
      <c r="K96" s="3133"/>
      <c r="L96" s="3133"/>
      <c r="M96" s="3133"/>
      <c r="N96" s="3133"/>
      <c r="O96" s="3133"/>
      <c r="P96" s="3133"/>
      <c r="Q96" s="3133"/>
      <c r="R96" s="3133"/>
      <c r="S96" s="3133"/>
      <c r="T96" s="3133"/>
      <c r="U96" s="3133"/>
      <c r="V96" s="3133"/>
      <c r="W96" s="3133"/>
      <c r="X96" s="3133"/>
      <c r="Y96" s="3133"/>
      <c r="Z96" s="3133"/>
      <c r="AA96" s="3133"/>
      <c r="AB96" s="3133"/>
      <c r="AC96" s="3123">
        <f t="shared" si="10"/>
        <v>0</v>
      </c>
      <c r="AD96" s="3143"/>
      <c r="AE96" s="3143"/>
      <c r="AF96" s="3143"/>
      <c r="AG96" s="3143"/>
      <c r="AH96" s="3143"/>
      <c r="AI96" s="3143"/>
      <c r="AJ96" s="3143"/>
      <c r="AK96" s="3143"/>
      <c r="AL96" s="3143"/>
      <c r="AM96" s="3143"/>
      <c r="AN96" s="3143"/>
      <c r="AO96" s="3143"/>
      <c r="AP96" s="3143"/>
      <c r="AQ96" s="3143"/>
      <c r="AR96" s="3143"/>
      <c r="AS96" s="3143"/>
      <c r="AT96" s="3153"/>
      <c r="AU96" s="3154"/>
      <c r="AV96" s="270">
        <f t="shared" si="11"/>
        <v>0</v>
      </c>
      <c r="AW96" s="270">
        <f t="shared" si="12"/>
        <v>0</v>
      </c>
      <c r="AX96" s="270">
        <f t="shared" si="13"/>
        <v>0</v>
      </c>
      <c r="AY96" s="3168">
        <f t="shared" si="14"/>
        <v>0</v>
      </c>
      <c r="AZ96" s="3123">
        <f t="shared" si="15"/>
        <v>0</v>
      </c>
      <c r="BA96" s="3123">
        <f t="shared" si="16"/>
        <v>0</v>
      </c>
      <c r="BB96" s="3123">
        <f t="shared" si="17"/>
        <v>0</v>
      </c>
      <c r="BC96" s="3123">
        <f t="shared" si="18"/>
        <v>0</v>
      </c>
      <c r="BD96" s="3123">
        <f t="shared" si="19"/>
        <v>0</v>
      </c>
      <c r="BE96" s="3123">
        <f t="shared" si="20"/>
        <v>0</v>
      </c>
      <c r="BF96" s="3123">
        <f t="shared" si="21"/>
        <v>0</v>
      </c>
      <c r="BG96" s="3123">
        <f t="shared" si="22"/>
        <v>0</v>
      </c>
      <c r="BH96" s="3123">
        <f t="shared" si="23"/>
        <v>0</v>
      </c>
      <c r="BI96" s="3123">
        <f t="shared" si="24"/>
        <v>0</v>
      </c>
      <c r="BJ96" s="3123">
        <f t="shared" si="25"/>
        <v>0</v>
      </c>
      <c r="BK96" s="3123">
        <f t="shared" si="26"/>
        <v>0</v>
      </c>
      <c r="BL96" s="3123">
        <f t="shared" si="27"/>
        <v>0</v>
      </c>
      <c r="BM96" s="3123">
        <f t="shared" si="28"/>
        <v>0</v>
      </c>
      <c r="BN96" s="3123">
        <f t="shared" si="29"/>
        <v>0</v>
      </c>
      <c r="BO96" s="3123">
        <f t="shared" si="30"/>
        <v>0</v>
      </c>
      <c r="BP96" s="3123">
        <f t="shared" si="31"/>
        <v>0</v>
      </c>
      <c r="BQ96" s="3123">
        <f t="shared" si="32"/>
        <v>0</v>
      </c>
      <c r="BR96" s="3123">
        <f t="shared" si="33"/>
        <v>0</v>
      </c>
      <c r="BS96" s="3123">
        <f t="shared" si="34"/>
        <v>0</v>
      </c>
      <c r="BT96" s="3175">
        <f t="shared" si="35"/>
        <v>0</v>
      </c>
    </row>
    <row r="97" spans="1:72">
      <c r="A97" s="3120"/>
      <c r="B97" s="3121"/>
      <c r="C97" s="3121"/>
      <c r="D97" s="3122"/>
      <c r="E97" s="3123">
        <f t="shared" si="7"/>
        <v>0</v>
      </c>
      <c r="F97" s="3124"/>
      <c r="G97" s="3125">
        <f t="shared" si="8"/>
        <v>0</v>
      </c>
      <c r="H97" s="3126">
        <f t="shared" si="9"/>
        <v>0</v>
      </c>
      <c r="I97" s="3133"/>
      <c r="J97" s="3133"/>
      <c r="K97" s="3133"/>
      <c r="L97" s="3133"/>
      <c r="M97" s="3133"/>
      <c r="N97" s="3133"/>
      <c r="O97" s="3133"/>
      <c r="P97" s="3133"/>
      <c r="Q97" s="3133"/>
      <c r="R97" s="3133"/>
      <c r="S97" s="3133"/>
      <c r="T97" s="3133"/>
      <c r="U97" s="3133"/>
      <c r="V97" s="3133"/>
      <c r="W97" s="3133"/>
      <c r="X97" s="3133"/>
      <c r="Y97" s="3133"/>
      <c r="Z97" s="3133"/>
      <c r="AA97" s="3133"/>
      <c r="AB97" s="3133"/>
      <c r="AC97" s="3123">
        <f t="shared" si="10"/>
        <v>0</v>
      </c>
      <c r="AD97" s="3143"/>
      <c r="AE97" s="3143"/>
      <c r="AF97" s="3143"/>
      <c r="AG97" s="3143"/>
      <c r="AH97" s="3143"/>
      <c r="AI97" s="3143"/>
      <c r="AJ97" s="3143"/>
      <c r="AK97" s="3143"/>
      <c r="AL97" s="3143"/>
      <c r="AM97" s="3143"/>
      <c r="AN97" s="3143"/>
      <c r="AO97" s="3143"/>
      <c r="AP97" s="3143"/>
      <c r="AQ97" s="3143"/>
      <c r="AR97" s="3143"/>
      <c r="AS97" s="3143"/>
      <c r="AT97" s="3153"/>
      <c r="AU97" s="3154"/>
      <c r="AV97" s="270">
        <f t="shared" si="11"/>
        <v>0</v>
      </c>
      <c r="AW97" s="270">
        <f t="shared" si="12"/>
        <v>0</v>
      </c>
      <c r="AX97" s="270">
        <f t="shared" si="13"/>
        <v>0</v>
      </c>
      <c r="AY97" s="3168">
        <f t="shared" si="14"/>
        <v>0</v>
      </c>
      <c r="AZ97" s="3123">
        <f t="shared" si="15"/>
        <v>0</v>
      </c>
      <c r="BA97" s="3123">
        <f t="shared" si="16"/>
        <v>0</v>
      </c>
      <c r="BB97" s="3123">
        <f t="shared" si="17"/>
        <v>0</v>
      </c>
      <c r="BC97" s="3123">
        <f t="shared" si="18"/>
        <v>0</v>
      </c>
      <c r="BD97" s="3123">
        <f t="shared" si="19"/>
        <v>0</v>
      </c>
      <c r="BE97" s="3123">
        <f t="shared" si="20"/>
        <v>0</v>
      </c>
      <c r="BF97" s="3123">
        <f t="shared" si="21"/>
        <v>0</v>
      </c>
      <c r="BG97" s="3123">
        <f t="shared" si="22"/>
        <v>0</v>
      </c>
      <c r="BH97" s="3123">
        <f t="shared" si="23"/>
        <v>0</v>
      </c>
      <c r="BI97" s="3123">
        <f t="shared" si="24"/>
        <v>0</v>
      </c>
      <c r="BJ97" s="3123">
        <f t="shared" si="25"/>
        <v>0</v>
      </c>
      <c r="BK97" s="3123">
        <f t="shared" si="26"/>
        <v>0</v>
      </c>
      <c r="BL97" s="3123">
        <f t="shared" si="27"/>
        <v>0</v>
      </c>
      <c r="BM97" s="3123">
        <f t="shared" si="28"/>
        <v>0</v>
      </c>
      <c r="BN97" s="3123">
        <f t="shared" si="29"/>
        <v>0</v>
      </c>
      <c r="BO97" s="3123">
        <f t="shared" si="30"/>
        <v>0</v>
      </c>
      <c r="BP97" s="3123">
        <f t="shared" si="31"/>
        <v>0</v>
      </c>
      <c r="BQ97" s="3123">
        <f t="shared" si="32"/>
        <v>0</v>
      </c>
      <c r="BR97" s="3123">
        <f t="shared" si="33"/>
        <v>0</v>
      </c>
      <c r="BS97" s="3123">
        <f t="shared" si="34"/>
        <v>0</v>
      </c>
      <c r="BT97" s="3175">
        <f t="shared" si="35"/>
        <v>0</v>
      </c>
    </row>
    <row r="98" spans="1:72">
      <c r="A98" s="3120"/>
      <c r="B98" s="3121"/>
      <c r="C98" s="3121"/>
      <c r="D98" s="3122"/>
      <c r="E98" s="3123">
        <f t="shared" si="7"/>
        <v>0</v>
      </c>
      <c r="F98" s="3124"/>
      <c r="G98" s="3125">
        <f t="shared" si="8"/>
        <v>0</v>
      </c>
      <c r="H98" s="3126">
        <f t="shared" si="9"/>
        <v>0</v>
      </c>
      <c r="I98" s="3133"/>
      <c r="J98" s="3133"/>
      <c r="K98" s="3133"/>
      <c r="L98" s="3133"/>
      <c r="M98" s="3133"/>
      <c r="N98" s="3133"/>
      <c r="O98" s="3133"/>
      <c r="P98" s="3133"/>
      <c r="Q98" s="3133"/>
      <c r="R98" s="3133"/>
      <c r="S98" s="3133"/>
      <c r="T98" s="3133"/>
      <c r="U98" s="3133"/>
      <c r="V98" s="3133"/>
      <c r="W98" s="3133"/>
      <c r="X98" s="3133"/>
      <c r="Y98" s="3133"/>
      <c r="Z98" s="3133"/>
      <c r="AA98" s="3133"/>
      <c r="AB98" s="3133"/>
      <c r="AC98" s="3123">
        <f t="shared" si="10"/>
        <v>0</v>
      </c>
      <c r="AD98" s="3143"/>
      <c r="AE98" s="3143"/>
      <c r="AF98" s="3143"/>
      <c r="AG98" s="3143"/>
      <c r="AH98" s="3143"/>
      <c r="AI98" s="3143"/>
      <c r="AJ98" s="3143"/>
      <c r="AK98" s="3143"/>
      <c r="AL98" s="3143"/>
      <c r="AM98" s="3143"/>
      <c r="AN98" s="3143"/>
      <c r="AO98" s="3143"/>
      <c r="AP98" s="3143"/>
      <c r="AQ98" s="3143"/>
      <c r="AR98" s="3143"/>
      <c r="AS98" s="3143"/>
      <c r="AT98" s="3153"/>
      <c r="AU98" s="3154"/>
      <c r="AV98" s="270">
        <f t="shared" si="11"/>
        <v>0</v>
      </c>
      <c r="AW98" s="270">
        <f t="shared" si="12"/>
        <v>0</v>
      </c>
      <c r="AX98" s="270">
        <f t="shared" si="13"/>
        <v>0</v>
      </c>
      <c r="AY98" s="3168">
        <f t="shared" si="14"/>
        <v>0</v>
      </c>
      <c r="AZ98" s="3123">
        <f t="shared" si="15"/>
        <v>0</v>
      </c>
      <c r="BA98" s="3123">
        <f t="shared" si="16"/>
        <v>0</v>
      </c>
      <c r="BB98" s="3123">
        <f t="shared" si="17"/>
        <v>0</v>
      </c>
      <c r="BC98" s="3123">
        <f t="shared" si="18"/>
        <v>0</v>
      </c>
      <c r="BD98" s="3123">
        <f t="shared" si="19"/>
        <v>0</v>
      </c>
      <c r="BE98" s="3123">
        <f t="shared" si="20"/>
        <v>0</v>
      </c>
      <c r="BF98" s="3123">
        <f t="shared" si="21"/>
        <v>0</v>
      </c>
      <c r="BG98" s="3123">
        <f t="shared" si="22"/>
        <v>0</v>
      </c>
      <c r="BH98" s="3123">
        <f t="shared" si="23"/>
        <v>0</v>
      </c>
      <c r="BI98" s="3123">
        <f t="shared" si="24"/>
        <v>0</v>
      </c>
      <c r="BJ98" s="3123">
        <f t="shared" si="25"/>
        <v>0</v>
      </c>
      <c r="BK98" s="3123">
        <f t="shared" si="26"/>
        <v>0</v>
      </c>
      <c r="BL98" s="3123">
        <f t="shared" si="27"/>
        <v>0</v>
      </c>
      <c r="BM98" s="3123">
        <f t="shared" si="28"/>
        <v>0</v>
      </c>
      <c r="BN98" s="3123">
        <f t="shared" si="29"/>
        <v>0</v>
      </c>
      <c r="BO98" s="3123">
        <f t="shared" si="30"/>
        <v>0</v>
      </c>
      <c r="BP98" s="3123">
        <f t="shared" si="31"/>
        <v>0</v>
      </c>
      <c r="BQ98" s="3123">
        <f t="shared" si="32"/>
        <v>0</v>
      </c>
      <c r="BR98" s="3123">
        <f t="shared" si="33"/>
        <v>0</v>
      </c>
      <c r="BS98" s="3123">
        <f t="shared" si="34"/>
        <v>0</v>
      </c>
      <c r="BT98" s="3175">
        <f t="shared" si="35"/>
        <v>0</v>
      </c>
    </row>
    <row r="99" spans="1:72">
      <c r="A99" s="3120"/>
      <c r="B99" s="3121"/>
      <c r="C99" s="3121"/>
      <c r="D99" s="3122"/>
      <c r="E99" s="3123">
        <f t="shared" si="7"/>
        <v>0</v>
      </c>
      <c r="F99" s="3124"/>
      <c r="G99" s="3125">
        <f t="shared" si="8"/>
        <v>0</v>
      </c>
      <c r="H99" s="3126">
        <f t="shared" si="9"/>
        <v>0</v>
      </c>
      <c r="I99" s="3133"/>
      <c r="J99" s="3133"/>
      <c r="K99" s="3133"/>
      <c r="L99" s="3133"/>
      <c r="M99" s="3133"/>
      <c r="N99" s="3133"/>
      <c r="O99" s="3133"/>
      <c r="P99" s="3133"/>
      <c r="Q99" s="3133"/>
      <c r="R99" s="3133"/>
      <c r="S99" s="3133"/>
      <c r="T99" s="3133"/>
      <c r="U99" s="3133"/>
      <c r="V99" s="3133"/>
      <c r="W99" s="3133"/>
      <c r="X99" s="3133"/>
      <c r="Y99" s="3133"/>
      <c r="Z99" s="3133"/>
      <c r="AA99" s="3133"/>
      <c r="AB99" s="3133"/>
      <c r="AC99" s="3123">
        <f t="shared" si="10"/>
        <v>0</v>
      </c>
      <c r="AD99" s="3143"/>
      <c r="AE99" s="3143"/>
      <c r="AF99" s="3143"/>
      <c r="AG99" s="3143"/>
      <c r="AH99" s="3143"/>
      <c r="AI99" s="3143"/>
      <c r="AJ99" s="3143"/>
      <c r="AK99" s="3143"/>
      <c r="AL99" s="3143"/>
      <c r="AM99" s="3143"/>
      <c r="AN99" s="3143"/>
      <c r="AO99" s="3143"/>
      <c r="AP99" s="3143"/>
      <c r="AQ99" s="3143"/>
      <c r="AR99" s="3143"/>
      <c r="AS99" s="3143"/>
      <c r="AT99" s="3153"/>
      <c r="AU99" s="3154"/>
      <c r="AV99" s="270">
        <f t="shared" si="11"/>
        <v>0</v>
      </c>
      <c r="AW99" s="270">
        <f t="shared" si="12"/>
        <v>0</v>
      </c>
      <c r="AX99" s="270">
        <f t="shared" si="13"/>
        <v>0</v>
      </c>
      <c r="AY99" s="3168">
        <f t="shared" si="14"/>
        <v>0</v>
      </c>
      <c r="AZ99" s="3123">
        <f t="shared" si="15"/>
        <v>0</v>
      </c>
      <c r="BA99" s="3123">
        <f t="shared" si="16"/>
        <v>0</v>
      </c>
      <c r="BB99" s="3123">
        <f t="shared" si="17"/>
        <v>0</v>
      </c>
      <c r="BC99" s="3123">
        <f t="shared" si="18"/>
        <v>0</v>
      </c>
      <c r="BD99" s="3123">
        <f t="shared" si="19"/>
        <v>0</v>
      </c>
      <c r="BE99" s="3123">
        <f t="shared" si="20"/>
        <v>0</v>
      </c>
      <c r="BF99" s="3123">
        <f t="shared" si="21"/>
        <v>0</v>
      </c>
      <c r="BG99" s="3123">
        <f t="shared" si="22"/>
        <v>0</v>
      </c>
      <c r="BH99" s="3123">
        <f t="shared" si="23"/>
        <v>0</v>
      </c>
      <c r="BI99" s="3123">
        <f t="shared" si="24"/>
        <v>0</v>
      </c>
      <c r="BJ99" s="3123">
        <f t="shared" si="25"/>
        <v>0</v>
      </c>
      <c r="BK99" s="3123">
        <f t="shared" si="26"/>
        <v>0</v>
      </c>
      <c r="BL99" s="3123">
        <f t="shared" si="27"/>
        <v>0</v>
      </c>
      <c r="BM99" s="3123">
        <f t="shared" si="28"/>
        <v>0</v>
      </c>
      <c r="BN99" s="3123">
        <f t="shared" si="29"/>
        <v>0</v>
      </c>
      <c r="BO99" s="3123">
        <f t="shared" si="30"/>
        <v>0</v>
      </c>
      <c r="BP99" s="3123">
        <f t="shared" si="31"/>
        <v>0</v>
      </c>
      <c r="BQ99" s="3123">
        <f t="shared" si="32"/>
        <v>0</v>
      </c>
      <c r="BR99" s="3123">
        <f t="shared" si="33"/>
        <v>0</v>
      </c>
      <c r="BS99" s="3123">
        <f t="shared" si="34"/>
        <v>0</v>
      </c>
      <c r="BT99" s="3175">
        <f t="shared" si="35"/>
        <v>0</v>
      </c>
    </row>
    <row r="100" spans="1:72">
      <c r="A100" s="3120"/>
      <c r="B100" s="3121"/>
      <c r="C100" s="3121"/>
      <c r="D100" s="3122"/>
      <c r="E100" s="3123">
        <f t="shared" si="7"/>
        <v>0</v>
      </c>
      <c r="F100" s="3124"/>
      <c r="G100" s="3125">
        <f t="shared" si="8"/>
        <v>0</v>
      </c>
      <c r="H100" s="3126">
        <f t="shared" si="9"/>
        <v>0</v>
      </c>
      <c r="I100" s="3133"/>
      <c r="J100" s="3133"/>
      <c r="K100" s="3133"/>
      <c r="L100" s="3133"/>
      <c r="M100" s="3133"/>
      <c r="N100" s="3133"/>
      <c r="O100" s="3133"/>
      <c r="P100" s="3133"/>
      <c r="Q100" s="3133"/>
      <c r="R100" s="3133"/>
      <c r="S100" s="3133"/>
      <c r="T100" s="3133"/>
      <c r="U100" s="3133"/>
      <c r="V100" s="3133"/>
      <c r="W100" s="3133"/>
      <c r="X100" s="3133"/>
      <c r="Y100" s="3133"/>
      <c r="Z100" s="3133"/>
      <c r="AA100" s="3133"/>
      <c r="AB100" s="3133"/>
      <c r="AC100" s="3123">
        <f t="shared" si="10"/>
        <v>0</v>
      </c>
      <c r="AD100" s="3143"/>
      <c r="AE100" s="3143"/>
      <c r="AF100" s="3143"/>
      <c r="AG100" s="3143"/>
      <c r="AH100" s="3143"/>
      <c r="AI100" s="3143"/>
      <c r="AJ100" s="3143"/>
      <c r="AK100" s="3143"/>
      <c r="AL100" s="3143"/>
      <c r="AM100" s="3143"/>
      <c r="AN100" s="3143"/>
      <c r="AO100" s="3143"/>
      <c r="AP100" s="3143"/>
      <c r="AQ100" s="3143"/>
      <c r="AR100" s="3143"/>
      <c r="AS100" s="3143"/>
      <c r="AT100" s="3153"/>
      <c r="AU100" s="3154"/>
      <c r="AV100" s="270">
        <f t="shared" si="11"/>
        <v>0</v>
      </c>
      <c r="AW100" s="270">
        <f t="shared" si="12"/>
        <v>0</v>
      </c>
      <c r="AX100" s="270">
        <f t="shared" si="13"/>
        <v>0</v>
      </c>
      <c r="AY100" s="3168">
        <f t="shared" si="14"/>
        <v>0</v>
      </c>
      <c r="AZ100" s="3123">
        <f t="shared" si="15"/>
        <v>0</v>
      </c>
      <c r="BA100" s="3123">
        <f t="shared" si="16"/>
        <v>0</v>
      </c>
      <c r="BB100" s="3123">
        <f t="shared" si="17"/>
        <v>0</v>
      </c>
      <c r="BC100" s="3123">
        <f t="shared" si="18"/>
        <v>0</v>
      </c>
      <c r="BD100" s="3123">
        <f t="shared" si="19"/>
        <v>0</v>
      </c>
      <c r="BE100" s="3123">
        <f t="shared" si="20"/>
        <v>0</v>
      </c>
      <c r="BF100" s="3123">
        <f t="shared" si="21"/>
        <v>0</v>
      </c>
      <c r="BG100" s="3123">
        <f t="shared" si="22"/>
        <v>0</v>
      </c>
      <c r="BH100" s="3123">
        <f t="shared" si="23"/>
        <v>0</v>
      </c>
      <c r="BI100" s="3123">
        <f t="shared" si="24"/>
        <v>0</v>
      </c>
      <c r="BJ100" s="3123">
        <f t="shared" si="25"/>
        <v>0</v>
      </c>
      <c r="BK100" s="3123">
        <f t="shared" si="26"/>
        <v>0</v>
      </c>
      <c r="BL100" s="3123">
        <f t="shared" si="27"/>
        <v>0</v>
      </c>
      <c r="BM100" s="3123">
        <f t="shared" si="28"/>
        <v>0</v>
      </c>
      <c r="BN100" s="3123">
        <f t="shared" si="29"/>
        <v>0</v>
      </c>
      <c r="BO100" s="3123">
        <f t="shared" si="30"/>
        <v>0</v>
      </c>
      <c r="BP100" s="3123">
        <f t="shared" si="31"/>
        <v>0</v>
      </c>
      <c r="BQ100" s="3123">
        <f t="shared" si="32"/>
        <v>0</v>
      </c>
      <c r="BR100" s="3123">
        <f t="shared" si="33"/>
        <v>0</v>
      </c>
      <c r="BS100" s="3123">
        <f t="shared" si="34"/>
        <v>0</v>
      </c>
      <c r="BT100" s="3175">
        <f t="shared" si="35"/>
        <v>0</v>
      </c>
    </row>
    <row r="101" spans="1:72">
      <c r="A101" s="3120"/>
      <c r="B101" s="3121"/>
      <c r="C101" s="3121"/>
      <c r="D101" s="3122"/>
      <c r="E101" s="3123">
        <f t="shared" si="7"/>
        <v>0</v>
      </c>
      <c r="F101" s="3124"/>
      <c r="G101" s="3125">
        <f t="shared" si="8"/>
        <v>0</v>
      </c>
      <c r="H101" s="3126">
        <f t="shared" si="9"/>
        <v>0</v>
      </c>
      <c r="I101" s="3133"/>
      <c r="J101" s="3133"/>
      <c r="K101" s="3133"/>
      <c r="L101" s="3133"/>
      <c r="M101" s="3133"/>
      <c r="N101" s="3133"/>
      <c r="O101" s="3133"/>
      <c r="P101" s="3133"/>
      <c r="Q101" s="3133"/>
      <c r="R101" s="3133"/>
      <c r="S101" s="3133"/>
      <c r="T101" s="3133"/>
      <c r="U101" s="3133"/>
      <c r="V101" s="3133"/>
      <c r="W101" s="3133"/>
      <c r="X101" s="3133"/>
      <c r="Y101" s="3133"/>
      <c r="Z101" s="3133"/>
      <c r="AA101" s="3133"/>
      <c r="AB101" s="3133"/>
      <c r="AC101" s="3123">
        <f t="shared" si="10"/>
        <v>0</v>
      </c>
      <c r="AD101" s="3143"/>
      <c r="AE101" s="3143"/>
      <c r="AF101" s="3143"/>
      <c r="AG101" s="3143"/>
      <c r="AH101" s="3143"/>
      <c r="AI101" s="3143"/>
      <c r="AJ101" s="3143"/>
      <c r="AK101" s="3143"/>
      <c r="AL101" s="3143"/>
      <c r="AM101" s="3143"/>
      <c r="AN101" s="3143"/>
      <c r="AO101" s="3143"/>
      <c r="AP101" s="3143"/>
      <c r="AQ101" s="3143"/>
      <c r="AR101" s="3143"/>
      <c r="AS101" s="3143"/>
      <c r="AT101" s="3153"/>
      <c r="AU101" s="3154"/>
      <c r="AV101" s="270">
        <f t="shared" si="11"/>
        <v>0</v>
      </c>
      <c r="AW101" s="270">
        <f t="shared" si="12"/>
        <v>0</v>
      </c>
      <c r="AX101" s="270">
        <f t="shared" si="13"/>
        <v>0</v>
      </c>
      <c r="AY101" s="3168">
        <f t="shared" si="14"/>
        <v>0</v>
      </c>
      <c r="AZ101" s="3123">
        <f t="shared" si="15"/>
        <v>0</v>
      </c>
      <c r="BA101" s="3123">
        <f t="shared" si="16"/>
        <v>0</v>
      </c>
      <c r="BB101" s="3123">
        <f t="shared" si="17"/>
        <v>0</v>
      </c>
      <c r="BC101" s="3123">
        <f t="shared" si="18"/>
        <v>0</v>
      </c>
      <c r="BD101" s="3123">
        <f t="shared" si="19"/>
        <v>0</v>
      </c>
      <c r="BE101" s="3123">
        <f t="shared" si="20"/>
        <v>0</v>
      </c>
      <c r="BF101" s="3123">
        <f t="shared" si="21"/>
        <v>0</v>
      </c>
      <c r="BG101" s="3123">
        <f t="shared" si="22"/>
        <v>0</v>
      </c>
      <c r="BH101" s="3123">
        <f t="shared" si="23"/>
        <v>0</v>
      </c>
      <c r="BI101" s="3123">
        <f t="shared" si="24"/>
        <v>0</v>
      </c>
      <c r="BJ101" s="3123">
        <f t="shared" si="25"/>
        <v>0</v>
      </c>
      <c r="BK101" s="3123">
        <f t="shared" si="26"/>
        <v>0</v>
      </c>
      <c r="BL101" s="3123">
        <f t="shared" si="27"/>
        <v>0</v>
      </c>
      <c r="BM101" s="3123">
        <f t="shared" si="28"/>
        <v>0</v>
      </c>
      <c r="BN101" s="3123">
        <f t="shared" si="29"/>
        <v>0</v>
      </c>
      <c r="BO101" s="3123">
        <f t="shared" si="30"/>
        <v>0</v>
      </c>
      <c r="BP101" s="3123">
        <f t="shared" si="31"/>
        <v>0</v>
      </c>
      <c r="BQ101" s="3123">
        <f t="shared" si="32"/>
        <v>0</v>
      </c>
      <c r="BR101" s="3123">
        <f t="shared" si="33"/>
        <v>0</v>
      </c>
      <c r="BS101" s="3123">
        <f t="shared" si="34"/>
        <v>0</v>
      </c>
      <c r="BT101" s="3175">
        <f t="shared" si="35"/>
        <v>0</v>
      </c>
    </row>
    <row r="102" spans="1:72">
      <c r="A102" s="3120"/>
      <c r="B102" s="3121"/>
      <c r="C102" s="3121"/>
      <c r="D102" s="3122"/>
      <c r="E102" s="3123">
        <f t="shared" si="7"/>
        <v>0</v>
      </c>
      <c r="F102" s="3124"/>
      <c r="G102" s="3125">
        <f t="shared" si="8"/>
        <v>0</v>
      </c>
      <c r="H102" s="3126">
        <f t="shared" si="9"/>
        <v>0</v>
      </c>
      <c r="I102" s="3133"/>
      <c r="J102" s="3133"/>
      <c r="K102" s="3133"/>
      <c r="L102" s="3133"/>
      <c r="M102" s="3133"/>
      <c r="N102" s="3133"/>
      <c r="O102" s="3133"/>
      <c r="P102" s="3133"/>
      <c r="Q102" s="3133"/>
      <c r="R102" s="3133"/>
      <c r="S102" s="3133"/>
      <c r="T102" s="3133"/>
      <c r="U102" s="3133"/>
      <c r="V102" s="3133"/>
      <c r="W102" s="3133"/>
      <c r="X102" s="3133"/>
      <c r="Y102" s="3133"/>
      <c r="Z102" s="3133"/>
      <c r="AA102" s="3133"/>
      <c r="AB102" s="3133"/>
      <c r="AC102" s="3123">
        <f t="shared" si="10"/>
        <v>0</v>
      </c>
      <c r="AD102" s="3143"/>
      <c r="AE102" s="3143"/>
      <c r="AF102" s="3143"/>
      <c r="AG102" s="3143"/>
      <c r="AH102" s="3143"/>
      <c r="AI102" s="3143"/>
      <c r="AJ102" s="3143"/>
      <c r="AK102" s="3143"/>
      <c r="AL102" s="3143"/>
      <c r="AM102" s="3143"/>
      <c r="AN102" s="3143"/>
      <c r="AO102" s="3143"/>
      <c r="AP102" s="3143"/>
      <c r="AQ102" s="3143"/>
      <c r="AR102" s="3143"/>
      <c r="AS102" s="3143"/>
      <c r="AT102" s="3153"/>
      <c r="AU102" s="3154"/>
      <c r="AV102" s="270">
        <f t="shared" si="11"/>
        <v>0</v>
      </c>
      <c r="AW102" s="270">
        <f t="shared" si="12"/>
        <v>0</v>
      </c>
      <c r="AX102" s="270">
        <f t="shared" si="13"/>
        <v>0</v>
      </c>
      <c r="AY102" s="3168">
        <f t="shared" si="14"/>
        <v>0</v>
      </c>
      <c r="AZ102" s="3123">
        <f t="shared" si="15"/>
        <v>0</v>
      </c>
      <c r="BA102" s="3123">
        <f t="shared" si="16"/>
        <v>0</v>
      </c>
      <c r="BB102" s="3123">
        <f t="shared" si="17"/>
        <v>0</v>
      </c>
      <c r="BC102" s="3123">
        <f t="shared" si="18"/>
        <v>0</v>
      </c>
      <c r="BD102" s="3123">
        <f t="shared" si="19"/>
        <v>0</v>
      </c>
      <c r="BE102" s="3123">
        <f t="shared" si="20"/>
        <v>0</v>
      </c>
      <c r="BF102" s="3123">
        <f t="shared" si="21"/>
        <v>0</v>
      </c>
      <c r="BG102" s="3123">
        <f t="shared" si="22"/>
        <v>0</v>
      </c>
      <c r="BH102" s="3123">
        <f t="shared" si="23"/>
        <v>0</v>
      </c>
      <c r="BI102" s="3123">
        <f t="shared" si="24"/>
        <v>0</v>
      </c>
      <c r="BJ102" s="3123">
        <f t="shared" si="25"/>
        <v>0</v>
      </c>
      <c r="BK102" s="3123">
        <f t="shared" si="26"/>
        <v>0</v>
      </c>
      <c r="BL102" s="3123">
        <f t="shared" si="27"/>
        <v>0</v>
      </c>
      <c r="BM102" s="3123">
        <f t="shared" si="28"/>
        <v>0</v>
      </c>
      <c r="BN102" s="3123">
        <f t="shared" si="29"/>
        <v>0</v>
      </c>
      <c r="BO102" s="3123">
        <f t="shared" si="30"/>
        <v>0</v>
      </c>
      <c r="BP102" s="3123">
        <f t="shared" si="31"/>
        <v>0</v>
      </c>
      <c r="BQ102" s="3123">
        <f t="shared" si="32"/>
        <v>0</v>
      </c>
      <c r="BR102" s="3123">
        <f t="shared" si="33"/>
        <v>0</v>
      </c>
      <c r="BS102" s="3123">
        <f t="shared" si="34"/>
        <v>0</v>
      </c>
      <c r="BT102" s="3175">
        <f t="shared" si="35"/>
        <v>0</v>
      </c>
    </row>
    <row r="103" spans="1:72">
      <c r="A103" s="3120"/>
      <c r="B103" s="3121"/>
      <c r="C103" s="3121"/>
      <c r="D103" s="3122"/>
      <c r="E103" s="3123">
        <f t="shared" si="7"/>
        <v>0</v>
      </c>
      <c r="F103" s="3124"/>
      <c r="G103" s="3125">
        <f t="shared" si="8"/>
        <v>0</v>
      </c>
      <c r="H103" s="3126">
        <f t="shared" si="9"/>
        <v>0</v>
      </c>
      <c r="I103" s="3133"/>
      <c r="J103" s="3133"/>
      <c r="K103" s="3133"/>
      <c r="L103" s="3133"/>
      <c r="M103" s="3133"/>
      <c r="N103" s="3133"/>
      <c r="O103" s="3133"/>
      <c r="P103" s="3133"/>
      <c r="Q103" s="3133"/>
      <c r="R103" s="3133"/>
      <c r="S103" s="3133"/>
      <c r="T103" s="3133"/>
      <c r="U103" s="3133"/>
      <c r="V103" s="3133"/>
      <c r="W103" s="3133"/>
      <c r="X103" s="3133"/>
      <c r="Y103" s="3133"/>
      <c r="Z103" s="3133"/>
      <c r="AA103" s="3133"/>
      <c r="AB103" s="3133"/>
      <c r="AC103" s="3123">
        <f t="shared" si="10"/>
        <v>0</v>
      </c>
      <c r="AD103" s="3143"/>
      <c r="AE103" s="3143"/>
      <c r="AF103" s="3143"/>
      <c r="AG103" s="3143"/>
      <c r="AH103" s="3143"/>
      <c r="AI103" s="3143"/>
      <c r="AJ103" s="3143"/>
      <c r="AK103" s="3143"/>
      <c r="AL103" s="3143"/>
      <c r="AM103" s="3143"/>
      <c r="AN103" s="3143"/>
      <c r="AO103" s="3143"/>
      <c r="AP103" s="3143"/>
      <c r="AQ103" s="3143"/>
      <c r="AR103" s="3143"/>
      <c r="AS103" s="3143"/>
      <c r="AT103" s="3153"/>
      <c r="AU103" s="3154"/>
      <c r="AV103" s="270">
        <f t="shared" si="11"/>
        <v>0</v>
      </c>
      <c r="AW103" s="270">
        <f t="shared" si="12"/>
        <v>0</v>
      </c>
      <c r="AX103" s="270">
        <f t="shared" si="13"/>
        <v>0</v>
      </c>
      <c r="AY103" s="3168">
        <f t="shared" si="14"/>
        <v>0</v>
      </c>
      <c r="AZ103" s="3123">
        <f t="shared" si="15"/>
        <v>0</v>
      </c>
      <c r="BA103" s="3123">
        <f t="shared" si="16"/>
        <v>0</v>
      </c>
      <c r="BB103" s="3123">
        <f t="shared" si="17"/>
        <v>0</v>
      </c>
      <c r="BC103" s="3123">
        <f t="shared" si="18"/>
        <v>0</v>
      </c>
      <c r="BD103" s="3123">
        <f t="shared" si="19"/>
        <v>0</v>
      </c>
      <c r="BE103" s="3123">
        <f t="shared" si="20"/>
        <v>0</v>
      </c>
      <c r="BF103" s="3123">
        <f t="shared" si="21"/>
        <v>0</v>
      </c>
      <c r="BG103" s="3123">
        <f t="shared" si="22"/>
        <v>0</v>
      </c>
      <c r="BH103" s="3123">
        <f t="shared" si="23"/>
        <v>0</v>
      </c>
      <c r="BI103" s="3123">
        <f t="shared" si="24"/>
        <v>0</v>
      </c>
      <c r="BJ103" s="3123">
        <f t="shared" si="25"/>
        <v>0</v>
      </c>
      <c r="BK103" s="3123">
        <f t="shared" si="26"/>
        <v>0</v>
      </c>
      <c r="BL103" s="3123">
        <f t="shared" si="27"/>
        <v>0</v>
      </c>
      <c r="BM103" s="3123">
        <f t="shared" si="28"/>
        <v>0</v>
      </c>
      <c r="BN103" s="3123">
        <f t="shared" si="29"/>
        <v>0</v>
      </c>
      <c r="BO103" s="3123">
        <f t="shared" si="30"/>
        <v>0</v>
      </c>
      <c r="BP103" s="3123">
        <f t="shared" si="31"/>
        <v>0</v>
      </c>
      <c r="BQ103" s="3123">
        <f t="shared" si="32"/>
        <v>0</v>
      </c>
      <c r="BR103" s="3123">
        <f t="shared" si="33"/>
        <v>0</v>
      </c>
      <c r="BS103" s="3123">
        <f t="shared" si="34"/>
        <v>0</v>
      </c>
      <c r="BT103" s="3175">
        <f t="shared" si="35"/>
        <v>0</v>
      </c>
    </row>
    <row r="104" spans="1:72">
      <c r="A104" s="3120"/>
      <c r="B104" s="3121"/>
      <c r="C104" s="3121"/>
      <c r="D104" s="3122"/>
      <c r="E104" s="3123">
        <f t="shared" si="7"/>
        <v>0</v>
      </c>
      <c r="F104" s="3124"/>
      <c r="G104" s="3125">
        <f t="shared" si="8"/>
        <v>0</v>
      </c>
      <c r="H104" s="3126">
        <f t="shared" si="9"/>
        <v>0</v>
      </c>
      <c r="I104" s="3133"/>
      <c r="J104" s="3133"/>
      <c r="K104" s="3133"/>
      <c r="L104" s="3133"/>
      <c r="M104" s="3133"/>
      <c r="N104" s="3133"/>
      <c r="O104" s="3133"/>
      <c r="P104" s="3133"/>
      <c r="Q104" s="3133"/>
      <c r="R104" s="3133"/>
      <c r="S104" s="3133"/>
      <c r="T104" s="3133"/>
      <c r="U104" s="3133"/>
      <c r="V104" s="3133"/>
      <c r="W104" s="3133"/>
      <c r="X104" s="3133"/>
      <c r="Y104" s="3133"/>
      <c r="Z104" s="3133"/>
      <c r="AA104" s="3133"/>
      <c r="AB104" s="3133"/>
      <c r="AC104" s="3123">
        <f t="shared" si="10"/>
        <v>0</v>
      </c>
      <c r="AD104" s="3143"/>
      <c r="AE104" s="3143"/>
      <c r="AF104" s="3143"/>
      <c r="AG104" s="3143"/>
      <c r="AH104" s="3143"/>
      <c r="AI104" s="3143"/>
      <c r="AJ104" s="3143"/>
      <c r="AK104" s="3143"/>
      <c r="AL104" s="3143"/>
      <c r="AM104" s="3143"/>
      <c r="AN104" s="3143"/>
      <c r="AO104" s="3143"/>
      <c r="AP104" s="3143"/>
      <c r="AQ104" s="3143"/>
      <c r="AR104" s="3143"/>
      <c r="AS104" s="3143"/>
      <c r="AT104" s="3153"/>
      <c r="AU104" s="3154"/>
      <c r="AV104" s="270">
        <f t="shared" si="11"/>
        <v>0</v>
      </c>
      <c r="AW104" s="270">
        <f t="shared" si="12"/>
        <v>0</v>
      </c>
      <c r="AX104" s="270">
        <f t="shared" si="13"/>
        <v>0</v>
      </c>
      <c r="AY104" s="3168">
        <f t="shared" si="14"/>
        <v>0</v>
      </c>
      <c r="AZ104" s="3123">
        <f t="shared" si="15"/>
        <v>0</v>
      </c>
      <c r="BA104" s="3123">
        <f t="shared" si="16"/>
        <v>0</v>
      </c>
      <c r="BB104" s="3123">
        <f t="shared" si="17"/>
        <v>0</v>
      </c>
      <c r="BC104" s="3123">
        <f t="shared" si="18"/>
        <v>0</v>
      </c>
      <c r="BD104" s="3123">
        <f t="shared" si="19"/>
        <v>0</v>
      </c>
      <c r="BE104" s="3123">
        <f t="shared" si="20"/>
        <v>0</v>
      </c>
      <c r="BF104" s="3123">
        <f t="shared" si="21"/>
        <v>0</v>
      </c>
      <c r="BG104" s="3123">
        <f t="shared" si="22"/>
        <v>0</v>
      </c>
      <c r="BH104" s="3123">
        <f t="shared" si="23"/>
        <v>0</v>
      </c>
      <c r="BI104" s="3123">
        <f t="shared" si="24"/>
        <v>0</v>
      </c>
      <c r="BJ104" s="3123">
        <f t="shared" si="25"/>
        <v>0</v>
      </c>
      <c r="BK104" s="3123">
        <f t="shared" si="26"/>
        <v>0</v>
      </c>
      <c r="BL104" s="3123">
        <f t="shared" si="27"/>
        <v>0</v>
      </c>
      <c r="BM104" s="3123">
        <f t="shared" si="28"/>
        <v>0</v>
      </c>
      <c r="BN104" s="3123">
        <f t="shared" si="29"/>
        <v>0</v>
      </c>
      <c r="BO104" s="3123">
        <f t="shared" si="30"/>
        <v>0</v>
      </c>
      <c r="BP104" s="3123">
        <f t="shared" si="31"/>
        <v>0</v>
      </c>
      <c r="BQ104" s="3123">
        <f t="shared" si="32"/>
        <v>0</v>
      </c>
      <c r="BR104" s="3123">
        <f t="shared" si="33"/>
        <v>0</v>
      </c>
      <c r="BS104" s="3123">
        <f t="shared" si="34"/>
        <v>0</v>
      </c>
      <c r="BT104" s="3175">
        <f t="shared" si="35"/>
        <v>0</v>
      </c>
    </row>
    <row r="105" spans="1:72">
      <c r="A105" s="3120"/>
      <c r="B105" s="3121"/>
      <c r="C105" s="3121"/>
      <c r="D105" s="3122"/>
      <c r="E105" s="3123">
        <f t="shared" si="7"/>
        <v>0</v>
      </c>
      <c r="F105" s="3124"/>
      <c r="G105" s="3125">
        <f t="shared" si="8"/>
        <v>0</v>
      </c>
      <c r="H105" s="3126">
        <f t="shared" si="9"/>
        <v>0</v>
      </c>
      <c r="I105" s="3133"/>
      <c r="J105" s="3133"/>
      <c r="K105" s="3133"/>
      <c r="L105" s="3133"/>
      <c r="M105" s="3133"/>
      <c r="N105" s="3133"/>
      <c r="O105" s="3133"/>
      <c r="P105" s="3133"/>
      <c r="Q105" s="3133"/>
      <c r="R105" s="3133"/>
      <c r="S105" s="3133"/>
      <c r="T105" s="3133"/>
      <c r="U105" s="3133"/>
      <c r="V105" s="3133"/>
      <c r="W105" s="3133"/>
      <c r="X105" s="3133"/>
      <c r="Y105" s="3133"/>
      <c r="Z105" s="3133"/>
      <c r="AA105" s="3133"/>
      <c r="AB105" s="3133"/>
      <c r="AC105" s="3123">
        <f t="shared" si="10"/>
        <v>0</v>
      </c>
      <c r="AD105" s="3143"/>
      <c r="AE105" s="3143"/>
      <c r="AF105" s="3143"/>
      <c r="AG105" s="3143"/>
      <c r="AH105" s="3143"/>
      <c r="AI105" s="3143"/>
      <c r="AJ105" s="3143"/>
      <c r="AK105" s="3143"/>
      <c r="AL105" s="3143"/>
      <c r="AM105" s="3143"/>
      <c r="AN105" s="3143"/>
      <c r="AO105" s="3143"/>
      <c r="AP105" s="3143"/>
      <c r="AQ105" s="3143"/>
      <c r="AR105" s="3143"/>
      <c r="AS105" s="3143"/>
      <c r="AT105" s="3153"/>
      <c r="AU105" s="3154"/>
      <c r="AV105" s="270">
        <f t="shared" si="11"/>
        <v>0</v>
      </c>
      <c r="AW105" s="270">
        <f t="shared" si="12"/>
        <v>0</v>
      </c>
      <c r="AX105" s="270">
        <f t="shared" si="13"/>
        <v>0</v>
      </c>
      <c r="AY105" s="3168">
        <f t="shared" si="14"/>
        <v>0</v>
      </c>
      <c r="AZ105" s="3123">
        <f t="shared" si="15"/>
        <v>0</v>
      </c>
      <c r="BA105" s="3123">
        <f t="shared" si="16"/>
        <v>0</v>
      </c>
      <c r="BB105" s="3123">
        <f t="shared" si="17"/>
        <v>0</v>
      </c>
      <c r="BC105" s="3123">
        <f t="shared" si="18"/>
        <v>0</v>
      </c>
      <c r="BD105" s="3123">
        <f t="shared" si="19"/>
        <v>0</v>
      </c>
      <c r="BE105" s="3123">
        <f t="shared" si="20"/>
        <v>0</v>
      </c>
      <c r="BF105" s="3123">
        <f t="shared" si="21"/>
        <v>0</v>
      </c>
      <c r="BG105" s="3123">
        <f t="shared" si="22"/>
        <v>0</v>
      </c>
      <c r="BH105" s="3123">
        <f t="shared" si="23"/>
        <v>0</v>
      </c>
      <c r="BI105" s="3123">
        <f t="shared" si="24"/>
        <v>0</v>
      </c>
      <c r="BJ105" s="3123">
        <f t="shared" si="25"/>
        <v>0</v>
      </c>
      <c r="BK105" s="3123">
        <f t="shared" si="26"/>
        <v>0</v>
      </c>
      <c r="BL105" s="3123">
        <f t="shared" si="27"/>
        <v>0</v>
      </c>
      <c r="BM105" s="3123">
        <f t="shared" si="28"/>
        <v>0</v>
      </c>
      <c r="BN105" s="3123">
        <f t="shared" si="29"/>
        <v>0</v>
      </c>
      <c r="BO105" s="3123">
        <f t="shared" si="30"/>
        <v>0</v>
      </c>
      <c r="BP105" s="3123">
        <f t="shared" si="31"/>
        <v>0</v>
      </c>
      <c r="BQ105" s="3123">
        <f t="shared" si="32"/>
        <v>0</v>
      </c>
      <c r="BR105" s="3123">
        <f t="shared" si="33"/>
        <v>0</v>
      </c>
      <c r="BS105" s="3123">
        <f t="shared" si="34"/>
        <v>0</v>
      </c>
      <c r="BT105" s="3175">
        <f t="shared" si="35"/>
        <v>0</v>
      </c>
    </row>
    <row r="106" spans="1:72">
      <c r="A106" s="3120"/>
      <c r="B106" s="3121"/>
      <c r="C106" s="3121"/>
      <c r="D106" s="3122"/>
      <c r="E106" s="3123">
        <f t="shared" si="7"/>
        <v>0</v>
      </c>
      <c r="F106" s="3124"/>
      <c r="G106" s="3125">
        <f t="shared" si="8"/>
        <v>0</v>
      </c>
      <c r="H106" s="3126">
        <f t="shared" si="9"/>
        <v>0</v>
      </c>
      <c r="I106" s="3133"/>
      <c r="J106" s="3133"/>
      <c r="K106" s="3133"/>
      <c r="L106" s="3133"/>
      <c r="M106" s="3133"/>
      <c r="N106" s="3133"/>
      <c r="O106" s="3133"/>
      <c r="P106" s="3133"/>
      <c r="Q106" s="3133"/>
      <c r="R106" s="3133"/>
      <c r="S106" s="3133"/>
      <c r="T106" s="3133"/>
      <c r="U106" s="3133"/>
      <c r="V106" s="3133"/>
      <c r="W106" s="3133"/>
      <c r="X106" s="3133"/>
      <c r="Y106" s="3133"/>
      <c r="Z106" s="3133"/>
      <c r="AA106" s="3133"/>
      <c r="AB106" s="3133"/>
      <c r="AC106" s="3123">
        <f t="shared" si="10"/>
        <v>0</v>
      </c>
      <c r="AD106" s="3143"/>
      <c r="AE106" s="3143"/>
      <c r="AF106" s="3143"/>
      <c r="AG106" s="3143"/>
      <c r="AH106" s="3143"/>
      <c r="AI106" s="3143"/>
      <c r="AJ106" s="3143"/>
      <c r="AK106" s="3143"/>
      <c r="AL106" s="3143"/>
      <c r="AM106" s="3143"/>
      <c r="AN106" s="3143"/>
      <c r="AO106" s="3143"/>
      <c r="AP106" s="3143"/>
      <c r="AQ106" s="3143"/>
      <c r="AR106" s="3143"/>
      <c r="AS106" s="3143"/>
      <c r="AT106" s="3153"/>
      <c r="AU106" s="3154"/>
      <c r="AV106" s="270">
        <f t="shared" si="11"/>
        <v>0</v>
      </c>
      <c r="AW106" s="270">
        <f t="shared" si="12"/>
        <v>0</v>
      </c>
      <c r="AX106" s="270">
        <f t="shared" si="13"/>
        <v>0</v>
      </c>
      <c r="AY106" s="3168">
        <f t="shared" si="14"/>
        <v>0</v>
      </c>
      <c r="AZ106" s="3123">
        <f t="shared" si="15"/>
        <v>0</v>
      </c>
      <c r="BA106" s="3123">
        <f t="shared" si="16"/>
        <v>0</v>
      </c>
      <c r="BB106" s="3123">
        <f t="shared" si="17"/>
        <v>0</v>
      </c>
      <c r="BC106" s="3123">
        <f t="shared" si="18"/>
        <v>0</v>
      </c>
      <c r="BD106" s="3123">
        <f t="shared" si="19"/>
        <v>0</v>
      </c>
      <c r="BE106" s="3123">
        <f t="shared" si="20"/>
        <v>0</v>
      </c>
      <c r="BF106" s="3123">
        <f t="shared" si="21"/>
        <v>0</v>
      </c>
      <c r="BG106" s="3123">
        <f t="shared" si="22"/>
        <v>0</v>
      </c>
      <c r="BH106" s="3123">
        <f t="shared" si="23"/>
        <v>0</v>
      </c>
      <c r="BI106" s="3123">
        <f t="shared" si="24"/>
        <v>0</v>
      </c>
      <c r="BJ106" s="3123">
        <f t="shared" si="25"/>
        <v>0</v>
      </c>
      <c r="BK106" s="3123">
        <f t="shared" si="26"/>
        <v>0</v>
      </c>
      <c r="BL106" s="3123">
        <f t="shared" si="27"/>
        <v>0</v>
      </c>
      <c r="BM106" s="3123">
        <f t="shared" si="28"/>
        <v>0</v>
      </c>
      <c r="BN106" s="3123">
        <f t="shared" si="29"/>
        <v>0</v>
      </c>
      <c r="BO106" s="3123">
        <f t="shared" si="30"/>
        <v>0</v>
      </c>
      <c r="BP106" s="3123">
        <f t="shared" si="31"/>
        <v>0</v>
      </c>
      <c r="BQ106" s="3123">
        <f t="shared" si="32"/>
        <v>0</v>
      </c>
      <c r="BR106" s="3123">
        <f t="shared" si="33"/>
        <v>0</v>
      </c>
      <c r="BS106" s="3123">
        <f t="shared" si="34"/>
        <v>0</v>
      </c>
      <c r="BT106" s="3175">
        <f t="shared" si="35"/>
        <v>0</v>
      </c>
    </row>
    <row r="107" spans="1:72">
      <c r="A107" s="3120"/>
      <c r="B107" s="3121"/>
      <c r="C107" s="3121"/>
      <c r="D107" s="3122"/>
      <c r="E107" s="3123">
        <f t="shared" si="7"/>
        <v>0</v>
      </c>
      <c r="F107" s="3124"/>
      <c r="G107" s="3125">
        <f t="shared" si="8"/>
        <v>0</v>
      </c>
      <c r="H107" s="3126">
        <f t="shared" si="9"/>
        <v>0</v>
      </c>
      <c r="I107" s="3133"/>
      <c r="J107" s="3133"/>
      <c r="K107" s="3133"/>
      <c r="L107" s="3133"/>
      <c r="M107" s="3133"/>
      <c r="N107" s="3133"/>
      <c r="O107" s="3133"/>
      <c r="P107" s="3133"/>
      <c r="Q107" s="3133"/>
      <c r="R107" s="3133"/>
      <c r="S107" s="3133"/>
      <c r="T107" s="3133"/>
      <c r="U107" s="3133"/>
      <c r="V107" s="3133"/>
      <c r="W107" s="3133"/>
      <c r="X107" s="3133"/>
      <c r="Y107" s="3133"/>
      <c r="Z107" s="3133"/>
      <c r="AA107" s="3133"/>
      <c r="AB107" s="3133"/>
      <c r="AC107" s="3123">
        <f t="shared" si="10"/>
        <v>0</v>
      </c>
      <c r="AD107" s="3143"/>
      <c r="AE107" s="3143"/>
      <c r="AF107" s="3143"/>
      <c r="AG107" s="3143"/>
      <c r="AH107" s="3143"/>
      <c r="AI107" s="3143"/>
      <c r="AJ107" s="3143"/>
      <c r="AK107" s="3143"/>
      <c r="AL107" s="3143"/>
      <c r="AM107" s="3143"/>
      <c r="AN107" s="3143"/>
      <c r="AO107" s="3143"/>
      <c r="AP107" s="3143"/>
      <c r="AQ107" s="3143"/>
      <c r="AR107" s="3143"/>
      <c r="AS107" s="3143"/>
      <c r="AT107" s="3153"/>
      <c r="AU107" s="3154"/>
      <c r="AV107" s="270">
        <f t="shared" si="11"/>
        <v>0</v>
      </c>
      <c r="AW107" s="270">
        <f t="shared" si="12"/>
        <v>0</v>
      </c>
      <c r="AX107" s="270">
        <f t="shared" si="13"/>
        <v>0</v>
      </c>
      <c r="AY107" s="3168">
        <f t="shared" si="14"/>
        <v>0</v>
      </c>
      <c r="AZ107" s="3123">
        <f t="shared" si="15"/>
        <v>0</v>
      </c>
      <c r="BA107" s="3123">
        <f t="shared" si="16"/>
        <v>0</v>
      </c>
      <c r="BB107" s="3123">
        <f t="shared" si="17"/>
        <v>0</v>
      </c>
      <c r="BC107" s="3123">
        <f t="shared" si="18"/>
        <v>0</v>
      </c>
      <c r="BD107" s="3123">
        <f t="shared" si="19"/>
        <v>0</v>
      </c>
      <c r="BE107" s="3123">
        <f t="shared" si="20"/>
        <v>0</v>
      </c>
      <c r="BF107" s="3123">
        <f t="shared" si="21"/>
        <v>0</v>
      </c>
      <c r="BG107" s="3123">
        <f t="shared" si="22"/>
        <v>0</v>
      </c>
      <c r="BH107" s="3123">
        <f t="shared" si="23"/>
        <v>0</v>
      </c>
      <c r="BI107" s="3123">
        <f t="shared" si="24"/>
        <v>0</v>
      </c>
      <c r="BJ107" s="3123">
        <f t="shared" si="25"/>
        <v>0</v>
      </c>
      <c r="BK107" s="3123">
        <f t="shared" si="26"/>
        <v>0</v>
      </c>
      <c r="BL107" s="3123">
        <f t="shared" si="27"/>
        <v>0</v>
      </c>
      <c r="BM107" s="3123">
        <f t="shared" si="28"/>
        <v>0</v>
      </c>
      <c r="BN107" s="3123">
        <f t="shared" si="29"/>
        <v>0</v>
      </c>
      <c r="BO107" s="3123">
        <f t="shared" si="30"/>
        <v>0</v>
      </c>
      <c r="BP107" s="3123">
        <f t="shared" si="31"/>
        <v>0</v>
      </c>
      <c r="BQ107" s="3123">
        <f t="shared" si="32"/>
        <v>0</v>
      </c>
      <c r="BR107" s="3123">
        <f t="shared" si="33"/>
        <v>0</v>
      </c>
      <c r="BS107" s="3123">
        <f t="shared" si="34"/>
        <v>0</v>
      </c>
      <c r="BT107" s="3175">
        <f t="shared" si="35"/>
        <v>0</v>
      </c>
    </row>
    <row r="108" spans="1:72">
      <c r="A108" s="3120"/>
      <c r="B108" s="3121"/>
      <c r="C108" s="3121"/>
      <c r="D108" s="3122"/>
      <c r="E108" s="3123">
        <f t="shared" si="7"/>
        <v>0</v>
      </c>
      <c r="F108" s="3124"/>
      <c r="G108" s="3125">
        <f t="shared" si="8"/>
        <v>0</v>
      </c>
      <c r="H108" s="3126">
        <f t="shared" si="9"/>
        <v>0</v>
      </c>
      <c r="I108" s="3133"/>
      <c r="J108" s="3133"/>
      <c r="K108" s="3133"/>
      <c r="L108" s="3133"/>
      <c r="M108" s="3133"/>
      <c r="N108" s="3133"/>
      <c r="O108" s="3133"/>
      <c r="P108" s="3133"/>
      <c r="Q108" s="3133"/>
      <c r="R108" s="3133"/>
      <c r="S108" s="3133"/>
      <c r="T108" s="3133"/>
      <c r="U108" s="3133"/>
      <c r="V108" s="3133"/>
      <c r="W108" s="3133"/>
      <c r="X108" s="3133"/>
      <c r="Y108" s="3133"/>
      <c r="Z108" s="3133"/>
      <c r="AA108" s="3133"/>
      <c r="AB108" s="3133"/>
      <c r="AC108" s="3123">
        <f t="shared" si="10"/>
        <v>0</v>
      </c>
      <c r="AD108" s="3143"/>
      <c r="AE108" s="3143"/>
      <c r="AF108" s="3143"/>
      <c r="AG108" s="3143"/>
      <c r="AH108" s="3143"/>
      <c r="AI108" s="3143"/>
      <c r="AJ108" s="3143"/>
      <c r="AK108" s="3143"/>
      <c r="AL108" s="3143"/>
      <c r="AM108" s="3143"/>
      <c r="AN108" s="3143"/>
      <c r="AO108" s="3143"/>
      <c r="AP108" s="3143"/>
      <c r="AQ108" s="3143"/>
      <c r="AR108" s="3143"/>
      <c r="AS108" s="3143"/>
      <c r="AT108" s="3153"/>
      <c r="AU108" s="3154"/>
      <c r="AV108" s="270">
        <f t="shared" si="11"/>
        <v>0</v>
      </c>
      <c r="AW108" s="270">
        <f t="shared" si="12"/>
        <v>0</v>
      </c>
      <c r="AX108" s="270">
        <f t="shared" si="13"/>
        <v>0</v>
      </c>
      <c r="AY108" s="3168">
        <f t="shared" si="14"/>
        <v>0</v>
      </c>
      <c r="AZ108" s="3123">
        <f t="shared" si="15"/>
        <v>0</v>
      </c>
      <c r="BA108" s="3123">
        <f t="shared" si="16"/>
        <v>0</v>
      </c>
      <c r="BB108" s="3123">
        <f t="shared" si="17"/>
        <v>0</v>
      </c>
      <c r="BC108" s="3123">
        <f t="shared" si="18"/>
        <v>0</v>
      </c>
      <c r="BD108" s="3123">
        <f t="shared" si="19"/>
        <v>0</v>
      </c>
      <c r="BE108" s="3123">
        <f t="shared" si="20"/>
        <v>0</v>
      </c>
      <c r="BF108" s="3123">
        <f t="shared" si="21"/>
        <v>0</v>
      </c>
      <c r="BG108" s="3123">
        <f t="shared" si="22"/>
        <v>0</v>
      </c>
      <c r="BH108" s="3123">
        <f t="shared" si="23"/>
        <v>0</v>
      </c>
      <c r="BI108" s="3123">
        <f t="shared" si="24"/>
        <v>0</v>
      </c>
      <c r="BJ108" s="3123">
        <f t="shared" si="25"/>
        <v>0</v>
      </c>
      <c r="BK108" s="3123">
        <f t="shared" si="26"/>
        <v>0</v>
      </c>
      <c r="BL108" s="3123">
        <f t="shared" si="27"/>
        <v>0</v>
      </c>
      <c r="BM108" s="3123">
        <f t="shared" si="28"/>
        <v>0</v>
      </c>
      <c r="BN108" s="3123">
        <f t="shared" si="29"/>
        <v>0</v>
      </c>
      <c r="BO108" s="3123">
        <f t="shared" si="30"/>
        <v>0</v>
      </c>
      <c r="BP108" s="3123">
        <f t="shared" si="31"/>
        <v>0</v>
      </c>
      <c r="BQ108" s="3123">
        <f t="shared" si="32"/>
        <v>0</v>
      </c>
      <c r="BR108" s="3123">
        <f t="shared" si="33"/>
        <v>0</v>
      </c>
      <c r="BS108" s="3123">
        <f t="shared" si="34"/>
        <v>0</v>
      </c>
      <c r="BT108" s="3175">
        <f t="shared" si="35"/>
        <v>0</v>
      </c>
    </row>
    <row r="109" spans="1:72">
      <c r="A109" s="3120"/>
      <c r="B109" s="3121"/>
      <c r="C109" s="3121"/>
      <c r="D109" s="3122"/>
      <c r="E109" s="3123">
        <f t="shared" si="7"/>
        <v>0</v>
      </c>
      <c r="F109" s="3124"/>
      <c r="G109" s="3125">
        <f t="shared" si="8"/>
        <v>0</v>
      </c>
      <c r="H109" s="3126">
        <f t="shared" si="9"/>
        <v>0</v>
      </c>
      <c r="I109" s="3133"/>
      <c r="J109" s="3133"/>
      <c r="K109" s="3133"/>
      <c r="L109" s="3133"/>
      <c r="M109" s="3133"/>
      <c r="N109" s="3133"/>
      <c r="O109" s="3133"/>
      <c r="P109" s="3133"/>
      <c r="Q109" s="3133"/>
      <c r="R109" s="3133"/>
      <c r="S109" s="3133"/>
      <c r="T109" s="3133"/>
      <c r="U109" s="3133"/>
      <c r="V109" s="3133"/>
      <c r="W109" s="3133"/>
      <c r="X109" s="3133"/>
      <c r="Y109" s="3133"/>
      <c r="Z109" s="3133"/>
      <c r="AA109" s="3133"/>
      <c r="AB109" s="3133"/>
      <c r="AC109" s="3123">
        <f t="shared" si="10"/>
        <v>0</v>
      </c>
      <c r="AD109" s="3143"/>
      <c r="AE109" s="3143"/>
      <c r="AF109" s="3143"/>
      <c r="AG109" s="3143"/>
      <c r="AH109" s="3143"/>
      <c r="AI109" s="3143"/>
      <c r="AJ109" s="3143"/>
      <c r="AK109" s="3143"/>
      <c r="AL109" s="3143"/>
      <c r="AM109" s="3143"/>
      <c r="AN109" s="3143"/>
      <c r="AO109" s="3143"/>
      <c r="AP109" s="3143"/>
      <c r="AQ109" s="3143"/>
      <c r="AR109" s="3143"/>
      <c r="AS109" s="3143"/>
      <c r="AT109" s="3153"/>
      <c r="AU109" s="3154"/>
      <c r="AV109" s="270">
        <f t="shared" si="11"/>
        <v>0</v>
      </c>
      <c r="AW109" s="270">
        <f t="shared" si="12"/>
        <v>0</v>
      </c>
      <c r="AX109" s="270">
        <f t="shared" si="13"/>
        <v>0</v>
      </c>
      <c r="AY109" s="3168">
        <f t="shared" si="14"/>
        <v>0</v>
      </c>
      <c r="AZ109" s="3123">
        <f t="shared" si="15"/>
        <v>0</v>
      </c>
      <c r="BA109" s="3123">
        <f t="shared" si="16"/>
        <v>0</v>
      </c>
      <c r="BB109" s="3123">
        <f t="shared" si="17"/>
        <v>0</v>
      </c>
      <c r="BC109" s="3123">
        <f t="shared" si="18"/>
        <v>0</v>
      </c>
      <c r="BD109" s="3123">
        <f t="shared" si="19"/>
        <v>0</v>
      </c>
      <c r="BE109" s="3123">
        <f t="shared" si="20"/>
        <v>0</v>
      </c>
      <c r="BF109" s="3123">
        <f t="shared" si="21"/>
        <v>0</v>
      </c>
      <c r="BG109" s="3123">
        <f t="shared" si="22"/>
        <v>0</v>
      </c>
      <c r="BH109" s="3123">
        <f t="shared" si="23"/>
        <v>0</v>
      </c>
      <c r="BI109" s="3123">
        <f t="shared" si="24"/>
        <v>0</v>
      </c>
      <c r="BJ109" s="3123">
        <f t="shared" si="25"/>
        <v>0</v>
      </c>
      <c r="BK109" s="3123">
        <f t="shared" si="26"/>
        <v>0</v>
      </c>
      <c r="BL109" s="3123">
        <f t="shared" si="27"/>
        <v>0</v>
      </c>
      <c r="BM109" s="3123">
        <f t="shared" si="28"/>
        <v>0</v>
      </c>
      <c r="BN109" s="3123">
        <f t="shared" si="29"/>
        <v>0</v>
      </c>
      <c r="BO109" s="3123">
        <f t="shared" si="30"/>
        <v>0</v>
      </c>
      <c r="BP109" s="3123">
        <f t="shared" si="31"/>
        <v>0</v>
      </c>
      <c r="BQ109" s="3123">
        <f t="shared" si="32"/>
        <v>0</v>
      </c>
      <c r="BR109" s="3123">
        <f t="shared" si="33"/>
        <v>0</v>
      </c>
      <c r="BS109" s="3123">
        <f t="shared" si="34"/>
        <v>0</v>
      </c>
      <c r="BT109" s="3175">
        <f t="shared" si="35"/>
        <v>0</v>
      </c>
    </row>
    <row r="110" spans="1:72">
      <c r="A110" s="3120"/>
      <c r="B110" s="3120"/>
      <c r="C110" s="3120"/>
      <c r="D110" s="3122"/>
      <c r="E110" s="3123">
        <f t="shared" si="7"/>
        <v>0</v>
      </c>
      <c r="F110" s="3176"/>
      <c r="G110" s="3125">
        <f t="shared" ref="G110:G141" si="36">H110+AC110+AT110</f>
        <v>0</v>
      </c>
      <c r="H110" s="3126">
        <f t="shared" ref="H110:H141" si="37">SUMIF(I$12:AB$12,"总值",I110:AB110)</f>
        <v>0</v>
      </c>
      <c r="I110" s="3177"/>
      <c r="J110" s="3177"/>
      <c r="K110" s="3133"/>
      <c r="L110" s="3133"/>
      <c r="M110" s="3133"/>
      <c r="N110" s="3133"/>
      <c r="O110" s="3133"/>
      <c r="P110" s="3133"/>
      <c r="Q110" s="3133"/>
      <c r="R110" s="3133"/>
      <c r="S110" s="3133"/>
      <c r="T110" s="3133"/>
      <c r="U110" s="3133"/>
      <c r="V110" s="3133"/>
      <c r="W110" s="3133"/>
      <c r="X110" s="3133"/>
      <c r="Y110" s="3133"/>
      <c r="Z110" s="3133"/>
      <c r="AA110" s="3133"/>
      <c r="AB110" s="3133"/>
      <c r="AC110" s="3123">
        <f t="shared" ref="AC110:AC141" si="38">SUMIF(AD$12:AS$12,"总值",AD110:AS110)</f>
        <v>0</v>
      </c>
      <c r="AD110" s="3143"/>
      <c r="AE110" s="3143"/>
      <c r="AF110" s="3143"/>
      <c r="AG110" s="3143"/>
      <c r="AH110" s="3143"/>
      <c r="AI110" s="3143"/>
      <c r="AJ110" s="3143"/>
      <c r="AK110" s="3143"/>
      <c r="AL110" s="3143"/>
      <c r="AM110" s="3143"/>
      <c r="AN110" s="3143"/>
      <c r="AO110" s="3143"/>
      <c r="AP110" s="3143"/>
      <c r="AQ110" s="3143"/>
      <c r="AR110" s="3143"/>
      <c r="AS110" s="3143"/>
      <c r="AT110" s="3143"/>
      <c r="AU110" s="3178"/>
      <c r="AV110" s="270">
        <f t="shared" si="11"/>
        <v>0</v>
      </c>
      <c r="AW110" s="270">
        <f t="shared" si="12"/>
        <v>0</v>
      </c>
      <c r="AX110" s="270">
        <f t="shared" si="13"/>
        <v>0</v>
      </c>
      <c r="AY110" s="3168">
        <f t="shared" ref="AY110:AY141" si="39">ROUND($AY$6*AZ110/$AZ$5,2)</f>
        <v>0</v>
      </c>
      <c r="AZ110" s="3123">
        <f t="shared" ref="AZ110:AZ141" si="40">BA110+BL110</f>
        <v>0</v>
      </c>
      <c r="BA110" s="3123">
        <f t="shared" ref="BA110:BA141" si="41">SUM(BB110:BK110)</f>
        <v>0</v>
      </c>
      <c r="BB110" s="3123">
        <f t="shared" ref="BB110:BB141" si="42">IF($D110="是",I110-J110,0)</f>
        <v>0</v>
      </c>
      <c r="BC110" s="3123">
        <f t="shared" ref="BC110:BC141" si="43">IF($D110="是",K110-L110,0)</f>
        <v>0</v>
      </c>
      <c r="BD110" s="3123">
        <f t="shared" ref="BD110:BD141" si="44">IF($D110="是",M110-N110,0)</f>
        <v>0</v>
      </c>
      <c r="BE110" s="3123">
        <f t="shared" ref="BE110:BE141" si="45">IF($D110="是",O110-P110,0)</f>
        <v>0</v>
      </c>
      <c r="BF110" s="3123">
        <f t="shared" ref="BF110:BF141" si="46">IF($D110="是",Q110-R110,0)</f>
        <v>0</v>
      </c>
      <c r="BG110" s="3123">
        <f t="shared" ref="BG110:BG141" si="47">IF($D110="是",S110-T110,0)</f>
        <v>0</v>
      </c>
      <c r="BH110" s="3123">
        <f t="shared" ref="BH110:BH141" si="48">IF($D110="是",U110-V110,0)</f>
        <v>0</v>
      </c>
      <c r="BI110" s="3123">
        <f t="shared" ref="BI110:BI141" si="49">IF($D110="是",W110-X110,0)</f>
        <v>0</v>
      </c>
      <c r="BJ110" s="3123">
        <f t="shared" ref="BJ110:BJ141" si="50">IF($D110="是",Y110-Z110,0)</f>
        <v>0</v>
      </c>
      <c r="BK110" s="3123">
        <f t="shared" ref="BK110:BK141" si="51">IF($D110="是",AA110-AB110,0)</f>
        <v>0</v>
      </c>
      <c r="BL110" s="3123">
        <f t="shared" ref="BL110:BL141" si="52">SUM(BM110:BT110)</f>
        <v>0</v>
      </c>
      <c r="BM110" s="3123">
        <f t="shared" ref="BM110:BM141" si="53">IF($D110="是",AD110-AE110,0)</f>
        <v>0</v>
      </c>
      <c r="BN110" s="3123">
        <f t="shared" ref="BN110:BN141" si="54">IF($D110="是",AF110-AG110,0)</f>
        <v>0</v>
      </c>
      <c r="BO110" s="3123">
        <f t="shared" ref="BO110:BO141" si="55">IF($D110="是",AH110-AI110,0)</f>
        <v>0</v>
      </c>
      <c r="BP110" s="3123">
        <f t="shared" ref="BP110:BP141" si="56">IF($D110="是",AJ110-AK110,0)</f>
        <v>0</v>
      </c>
      <c r="BQ110" s="3123">
        <f t="shared" ref="BQ110:BQ141" si="57">IF($D110="是",AL110-AM110,0)</f>
        <v>0</v>
      </c>
      <c r="BR110" s="3123">
        <f t="shared" ref="BR110:BR141" si="58">IF($D110="是",AN110-AO110,0)</f>
        <v>0</v>
      </c>
      <c r="BS110" s="3123">
        <f t="shared" ref="BS110:BS141" si="59">IF($D110="是",AP110-AQ110,0)</f>
        <v>0</v>
      </c>
      <c r="BT110" s="3175">
        <f t="shared" ref="BT110:BT141" si="60">IF($D110="是",AR110-AS110,0)</f>
        <v>0</v>
      </c>
    </row>
    <row r="111" spans="1:72">
      <c r="A111" s="3120"/>
      <c r="B111" s="3120"/>
      <c r="C111" s="3120"/>
      <c r="D111" s="3122"/>
      <c r="E111" s="3123">
        <f t="shared" si="7"/>
        <v>0</v>
      </c>
      <c r="F111" s="3176"/>
      <c r="G111" s="3125">
        <f t="shared" si="36"/>
        <v>0</v>
      </c>
      <c r="H111" s="3126">
        <f t="shared" si="37"/>
        <v>0</v>
      </c>
      <c r="I111" s="3133"/>
      <c r="J111" s="3133"/>
      <c r="K111" s="3133"/>
      <c r="L111" s="3133"/>
      <c r="M111" s="3133"/>
      <c r="N111" s="3133"/>
      <c r="O111" s="3133"/>
      <c r="P111" s="3133"/>
      <c r="Q111" s="3133"/>
      <c r="R111" s="3133"/>
      <c r="S111" s="3133"/>
      <c r="T111" s="3133"/>
      <c r="U111" s="3133"/>
      <c r="V111" s="3133"/>
      <c r="W111" s="3133"/>
      <c r="X111" s="3133"/>
      <c r="Y111" s="3133"/>
      <c r="Z111" s="3133"/>
      <c r="AA111" s="3133"/>
      <c r="AB111" s="3133"/>
      <c r="AC111" s="3123">
        <f t="shared" si="38"/>
        <v>0</v>
      </c>
      <c r="AD111" s="3143"/>
      <c r="AE111" s="3143"/>
      <c r="AF111" s="3143"/>
      <c r="AG111" s="3143"/>
      <c r="AH111" s="3143"/>
      <c r="AI111" s="3143"/>
      <c r="AJ111" s="3143"/>
      <c r="AK111" s="3143"/>
      <c r="AL111" s="3143"/>
      <c r="AM111" s="3143"/>
      <c r="AN111" s="3143"/>
      <c r="AO111" s="3143"/>
      <c r="AP111" s="3143"/>
      <c r="AQ111" s="3143"/>
      <c r="AR111" s="3143"/>
      <c r="AS111" s="3143"/>
      <c r="AT111" s="3143"/>
      <c r="AU111" s="3178"/>
      <c r="AV111" s="270">
        <f t="shared" si="11"/>
        <v>0</v>
      </c>
      <c r="AW111" s="270">
        <f t="shared" si="12"/>
        <v>0</v>
      </c>
      <c r="AX111" s="270">
        <f t="shared" si="13"/>
        <v>0</v>
      </c>
      <c r="AY111" s="3168">
        <f t="shared" si="39"/>
        <v>0</v>
      </c>
      <c r="AZ111" s="3123">
        <f t="shared" si="40"/>
        <v>0</v>
      </c>
      <c r="BA111" s="3123">
        <f t="shared" si="41"/>
        <v>0</v>
      </c>
      <c r="BB111" s="3123">
        <f t="shared" si="42"/>
        <v>0</v>
      </c>
      <c r="BC111" s="3123">
        <f t="shared" si="43"/>
        <v>0</v>
      </c>
      <c r="BD111" s="3123">
        <f t="shared" si="44"/>
        <v>0</v>
      </c>
      <c r="BE111" s="3123">
        <f t="shared" si="45"/>
        <v>0</v>
      </c>
      <c r="BF111" s="3123">
        <f t="shared" si="46"/>
        <v>0</v>
      </c>
      <c r="BG111" s="3123">
        <f t="shared" si="47"/>
        <v>0</v>
      </c>
      <c r="BH111" s="3123">
        <f t="shared" si="48"/>
        <v>0</v>
      </c>
      <c r="BI111" s="3123">
        <f t="shared" si="49"/>
        <v>0</v>
      </c>
      <c r="BJ111" s="3123">
        <f t="shared" si="50"/>
        <v>0</v>
      </c>
      <c r="BK111" s="3123">
        <f t="shared" si="51"/>
        <v>0</v>
      </c>
      <c r="BL111" s="3123">
        <f t="shared" si="52"/>
        <v>0</v>
      </c>
      <c r="BM111" s="3123">
        <f t="shared" si="53"/>
        <v>0</v>
      </c>
      <c r="BN111" s="3123">
        <f t="shared" si="54"/>
        <v>0</v>
      </c>
      <c r="BO111" s="3123">
        <f t="shared" si="55"/>
        <v>0</v>
      </c>
      <c r="BP111" s="3123">
        <f t="shared" si="56"/>
        <v>0</v>
      </c>
      <c r="BQ111" s="3123">
        <f t="shared" si="57"/>
        <v>0</v>
      </c>
      <c r="BR111" s="3123">
        <f t="shared" si="58"/>
        <v>0</v>
      </c>
      <c r="BS111" s="3123">
        <f t="shared" si="59"/>
        <v>0</v>
      </c>
      <c r="BT111" s="3175">
        <f t="shared" si="60"/>
        <v>0</v>
      </c>
    </row>
    <row r="112" spans="1:72">
      <c r="A112" s="3120"/>
      <c r="B112" s="3120"/>
      <c r="C112" s="3120"/>
      <c r="D112" s="3122"/>
      <c r="E112" s="3123">
        <f t="shared" si="7"/>
        <v>0</v>
      </c>
      <c r="F112" s="3176"/>
      <c r="G112" s="3125">
        <f t="shared" si="36"/>
        <v>0</v>
      </c>
      <c r="H112" s="3126">
        <f t="shared" si="37"/>
        <v>0</v>
      </c>
      <c r="I112" s="3133"/>
      <c r="J112" s="3133"/>
      <c r="K112" s="3133"/>
      <c r="L112" s="3133"/>
      <c r="M112" s="3133"/>
      <c r="N112" s="3133"/>
      <c r="O112" s="3133"/>
      <c r="P112" s="3133"/>
      <c r="Q112" s="3133"/>
      <c r="R112" s="3133"/>
      <c r="S112" s="3133"/>
      <c r="T112" s="3133"/>
      <c r="U112" s="3133"/>
      <c r="V112" s="3133"/>
      <c r="W112" s="3133"/>
      <c r="X112" s="3133"/>
      <c r="Y112" s="3133"/>
      <c r="Z112" s="3133"/>
      <c r="AA112" s="3133"/>
      <c r="AB112" s="3133"/>
      <c r="AC112" s="3123">
        <f t="shared" si="38"/>
        <v>0</v>
      </c>
      <c r="AD112" s="3143"/>
      <c r="AE112" s="3143"/>
      <c r="AF112" s="3143"/>
      <c r="AG112" s="3143"/>
      <c r="AH112" s="3143"/>
      <c r="AI112" s="3143"/>
      <c r="AJ112" s="3143"/>
      <c r="AK112" s="3143"/>
      <c r="AL112" s="3143"/>
      <c r="AM112" s="3143"/>
      <c r="AN112" s="3143"/>
      <c r="AO112" s="3143"/>
      <c r="AP112" s="3143"/>
      <c r="AQ112" s="3143"/>
      <c r="AR112" s="3143"/>
      <c r="AS112" s="3143"/>
      <c r="AT112" s="3143"/>
      <c r="AU112" s="3178"/>
      <c r="AV112" s="270">
        <f t="shared" si="11"/>
        <v>0</v>
      </c>
      <c r="AW112" s="270">
        <f t="shared" si="12"/>
        <v>0</v>
      </c>
      <c r="AX112" s="270">
        <f t="shared" si="13"/>
        <v>0</v>
      </c>
      <c r="AY112" s="3168">
        <f t="shared" si="39"/>
        <v>0</v>
      </c>
      <c r="AZ112" s="3123">
        <f t="shared" si="40"/>
        <v>0</v>
      </c>
      <c r="BA112" s="3123">
        <f t="shared" si="41"/>
        <v>0</v>
      </c>
      <c r="BB112" s="3123">
        <f t="shared" si="42"/>
        <v>0</v>
      </c>
      <c r="BC112" s="3123">
        <f t="shared" si="43"/>
        <v>0</v>
      </c>
      <c r="BD112" s="3123">
        <f t="shared" si="44"/>
        <v>0</v>
      </c>
      <c r="BE112" s="3123">
        <f t="shared" si="45"/>
        <v>0</v>
      </c>
      <c r="BF112" s="3123">
        <f t="shared" si="46"/>
        <v>0</v>
      </c>
      <c r="BG112" s="3123">
        <f t="shared" si="47"/>
        <v>0</v>
      </c>
      <c r="BH112" s="3123">
        <f t="shared" si="48"/>
        <v>0</v>
      </c>
      <c r="BI112" s="3123">
        <f t="shared" si="49"/>
        <v>0</v>
      </c>
      <c r="BJ112" s="3123">
        <f t="shared" si="50"/>
        <v>0</v>
      </c>
      <c r="BK112" s="3123">
        <f t="shared" si="51"/>
        <v>0</v>
      </c>
      <c r="BL112" s="3123">
        <f t="shared" si="52"/>
        <v>0</v>
      </c>
      <c r="BM112" s="3123">
        <f t="shared" si="53"/>
        <v>0</v>
      </c>
      <c r="BN112" s="3123">
        <f t="shared" si="54"/>
        <v>0</v>
      </c>
      <c r="BO112" s="3123">
        <f t="shared" si="55"/>
        <v>0</v>
      </c>
      <c r="BP112" s="3123">
        <f t="shared" si="56"/>
        <v>0</v>
      </c>
      <c r="BQ112" s="3123">
        <f t="shared" si="57"/>
        <v>0</v>
      </c>
      <c r="BR112" s="3123">
        <f t="shared" si="58"/>
        <v>0</v>
      </c>
      <c r="BS112" s="3123">
        <f t="shared" si="59"/>
        <v>0</v>
      </c>
      <c r="BT112" s="3175">
        <f t="shared" si="60"/>
        <v>0</v>
      </c>
    </row>
    <row r="113" spans="1:72">
      <c r="A113" s="3120"/>
      <c r="B113" s="3121"/>
      <c r="C113" s="3121"/>
      <c r="D113" s="3122"/>
      <c r="E113" s="3123">
        <f t="shared" ref="E113:E144" si="61">IF($C$3="是",ROUND($A$3*G113/$B$3,2),ROUND($A$3*(G113-AT113)/$B$3,2))</f>
        <v>0</v>
      </c>
      <c r="F113" s="3124"/>
      <c r="G113" s="3125">
        <f t="shared" si="36"/>
        <v>0</v>
      </c>
      <c r="H113" s="3126">
        <f t="shared" si="37"/>
        <v>0</v>
      </c>
      <c r="I113" s="3133"/>
      <c r="J113" s="3133"/>
      <c r="K113" s="3133"/>
      <c r="L113" s="3133"/>
      <c r="M113" s="3133"/>
      <c r="N113" s="3133"/>
      <c r="O113" s="3133"/>
      <c r="P113" s="3133"/>
      <c r="Q113" s="3133"/>
      <c r="R113" s="3133"/>
      <c r="S113" s="3133"/>
      <c r="T113" s="3133"/>
      <c r="U113" s="3133"/>
      <c r="V113" s="3133"/>
      <c r="W113" s="3133"/>
      <c r="X113" s="3133"/>
      <c r="Y113" s="3133"/>
      <c r="Z113" s="3133"/>
      <c r="AA113" s="3133"/>
      <c r="AB113" s="3133"/>
      <c r="AC113" s="3123">
        <f t="shared" si="38"/>
        <v>0</v>
      </c>
      <c r="AD113" s="3143"/>
      <c r="AE113" s="3143"/>
      <c r="AF113" s="3143"/>
      <c r="AG113" s="3143"/>
      <c r="AH113" s="3143"/>
      <c r="AI113" s="3143"/>
      <c r="AJ113" s="3143"/>
      <c r="AK113" s="3143"/>
      <c r="AL113" s="3143"/>
      <c r="AM113" s="3143"/>
      <c r="AN113" s="3143"/>
      <c r="AO113" s="3143"/>
      <c r="AP113" s="3143"/>
      <c r="AQ113" s="3143"/>
      <c r="AR113" s="3143"/>
      <c r="AS113" s="3143"/>
      <c r="AT113" s="3153"/>
      <c r="AU113" s="3154"/>
      <c r="AV113" s="270">
        <f t="shared" ref="AV113:AV144" si="62">A113</f>
        <v>0</v>
      </c>
      <c r="AW113" s="270">
        <f t="shared" ref="AW113:AW144" si="63">B113</f>
        <v>0</v>
      </c>
      <c r="AX113" s="270">
        <f t="shared" ref="AX113:AX144" si="64">C113</f>
        <v>0</v>
      </c>
      <c r="AY113" s="3168">
        <f t="shared" si="39"/>
        <v>0</v>
      </c>
      <c r="AZ113" s="3123">
        <f t="shared" si="40"/>
        <v>0</v>
      </c>
      <c r="BA113" s="3123">
        <f t="shared" si="41"/>
        <v>0</v>
      </c>
      <c r="BB113" s="3123">
        <f t="shared" si="42"/>
        <v>0</v>
      </c>
      <c r="BC113" s="3123">
        <f t="shared" si="43"/>
        <v>0</v>
      </c>
      <c r="BD113" s="3123">
        <f t="shared" si="44"/>
        <v>0</v>
      </c>
      <c r="BE113" s="3123">
        <f t="shared" si="45"/>
        <v>0</v>
      </c>
      <c r="BF113" s="3123">
        <f t="shared" si="46"/>
        <v>0</v>
      </c>
      <c r="BG113" s="3123">
        <f t="shared" si="47"/>
        <v>0</v>
      </c>
      <c r="BH113" s="3123">
        <f t="shared" si="48"/>
        <v>0</v>
      </c>
      <c r="BI113" s="3123">
        <f t="shared" si="49"/>
        <v>0</v>
      </c>
      <c r="BJ113" s="3123">
        <f t="shared" si="50"/>
        <v>0</v>
      </c>
      <c r="BK113" s="3123">
        <f t="shared" si="51"/>
        <v>0</v>
      </c>
      <c r="BL113" s="3123">
        <f t="shared" si="52"/>
        <v>0</v>
      </c>
      <c r="BM113" s="3123">
        <f t="shared" si="53"/>
        <v>0</v>
      </c>
      <c r="BN113" s="3123">
        <f t="shared" si="54"/>
        <v>0</v>
      </c>
      <c r="BO113" s="3123">
        <f t="shared" si="55"/>
        <v>0</v>
      </c>
      <c r="BP113" s="3123">
        <f t="shared" si="56"/>
        <v>0</v>
      </c>
      <c r="BQ113" s="3123">
        <f t="shared" si="57"/>
        <v>0</v>
      </c>
      <c r="BR113" s="3123">
        <f t="shared" si="58"/>
        <v>0</v>
      </c>
      <c r="BS113" s="3123">
        <f t="shared" si="59"/>
        <v>0</v>
      </c>
      <c r="BT113" s="3175">
        <f t="shared" si="60"/>
        <v>0</v>
      </c>
    </row>
    <row r="114" spans="1:72">
      <c r="A114" s="3120"/>
      <c r="B114" s="3121"/>
      <c r="C114" s="3121"/>
      <c r="D114" s="3122"/>
      <c r="E114" s="3123">
        <f t="shared" si="61"/>
        <v>0</v>
      </c>
      <c r="F114" s="3124"/>
      <c r="G114" s="3125">
        <f t="shared" si="36"/>
        <v>0</v>
      </c>
      <c r="H114" s="3126">
        <f t="shared" si="37"/>
        <v>0</v>
      </c>
      <c r="I114" s="3133"/>
      <c r="J114" s="3133"/>
      <c r="K114" s="3133"/>
      <c r="L114" s="3133"/>
      <c r="M114" s="3133"/>
      <c r="N114" s="3133"/>
      <c r="O114" s="3133"/>
      <c r="P114" s="3133"/>
      <c r="Q114" s="3133"/>
      <c r="R114" s="3133"/>
      <c r="S114" s="3133"/>
      <c r="T114" s="3133"/>
      <c r="U114" s="3133"/>
      <c r="V114" s="3133"/>
      <c r="W114" s="3133"/>
      <c r="X114" s="3133"/>
      <c r="Y114" s="3133"/>
      <c r="Z114" s="3133"/>
      <c r="AA114" s="3133"/>
      <c r="AB114" s="3133"/>
      <c r="AC114" s="3123">
        <f t="shared" si="38"/>
        <v>0</v>
      </c>
      <c r="AD114" s="3143"/>
      <c r="AE114" s="3143"/>
      <c r="AF114" s="3143"/>
      <c r="AG114" s="3143"/>
      <c r="AH114" s="3143"/>
      <c r="AI114" s="3143"/>
      <c r="AJ114" s="3143"/>
      <c r="AK114" s="3143"/>
      <c r="AL114" s="3143"/>
      <c r="AM114" s="3143"/>
      <c r="AN114" s="3143"/>
      <c r="AO114" s="3143"/>
      <c r="AP114" s="3143"/>
      <c r="AQ114" s="3143"/>
      <c r="AR114" s="3143"/>
      <c r="AS114" s="3143"/>
      <c r="AT114" s="3153"/>
      <c r="AU114" s="3154"/>
      <c r="AV114" s="270">
        <f t="shared" si="62"/>
        <v>0</v>
      </c>
      <c r="AW114" s="270">
        <f t="shared" si="63"/>
        <v>0</v>
      </c>
      <c r="AX114" s="270">
        <f t="shared" si="64"/>
        <v>0</v>
      </c>
      <c r="AY114" s="3168">
        <f t="shared" si="39"/>
        <v>0</v>
      </c>
      <c r="AZ114" s="3123">
        <f t="shared" si="40"/>
        <v>0</v>
      </c>
      <c r="BA114" s="3123">
        <f t="shared" si="41"/>
        <v>0</v>
      </c>
      <c r="BB114" s="3123">
        <f t="shared" si="42"/>
        <v>0</v>
      </c>
      <c r="BC114" s="3123">
        <f t="shared" si="43"/>
        <v>0</v>
      </c>
      <c r="BD114" s="3123">
        <f t="shared" si="44"/>
        <v>0</v>
      </c>
      <c r="BE114" s="3123">
        <f t="shared" si="45"/>
        <v>0</v>
      </c>
      <c r="BF114" s="3123">
        <f t="shared" si="46"/>
        <v>0</v>
      </c>
      <c r="BG114" s="3123">
        <f t="shared" si="47"/>
        <v>0</v>
      </c>
      <c r="BH114" s="3123">
        <f t="shared" si="48"/>
        <v>0</v>
      </c>
      <c r="BI114" s="3123">
        <f t="shared" si="49"/>
        <v>0</v>
      </c>
      <c r="BJ114" s="3123">
        <f t="shared" si="50"/>
        <v>0</v>
      </c>
      <c r="BK114" s="3123">
        <f t="shared" si="51"/>
        <v>0</v>
      </c>
      <c r="BL114" s="3123">
        <f t="shared" si="52"/>
        <v>0</v>
      </c>
      <c r="BM114" s="3123">
        <f t="shared" si="53"/>
        <v>0</v>
      </c>
      <c r="BN114" s="3123">
        <f t="shared" si="54"/>
        <v>0</v>
      </c>
      <c r="BO114" s="3123">
        <f t="shared" si="55"/>
        <v>0</v>
      </c>
      <c r="BP114" s="3123">
        <f t="shared" si="56"/>
        <v>0</v>
      </c>
      <c r="BQ114" s="3123">
        <f t="shared" si="57"/>
        <v>0</v>
      </c>
      <c r="BR114" s="3123">
        <f t="shared" si="58"/>
        <v>0</v>
      </c>
      <c r="BS114" s="3123">
        <f t="shared" si="59"/>
        <v>0</v>
      </c>
      <c r="BT114" s="3175">
        <f t="shared" si="60"/>
        <v>0</v>
      </c>
    </row>
    <row r="115" spans="1:72">
      <c r="A115" s="3120"/>
      <c r="B115" s="3121"/>
      <c r="C115" s="3121"/>
      <c r="D115" s="3122"/>
      <c r="E115" s="3123">
        <f t="shared" si="61"/>
        <v>0</v>
      </c>
      <c r="F115" s="3124"/>
      <c r="G115" s="3125">
        <f t="shared" si="36"/>
        <v>0</v>
      </c>
      <c r="H115" s="3126">
        <f t="shared" si="37"/>
        <v>0</v>
      </c>
      <c r="I115" s="3133"/>
      <c r="J115" s="3133"/>
      <c r="K115" s="3133"/>
      <c r="L115" s="3133"/>
      <c r="M115" s="3133"/>
      <c r="N115" s="3133"/>
      <c r="O115" s="3133"/>
      <c r="P115" s="3133"/>
      <c r="Q115" s="3133"/>
      <c r="R115" s="3133"/>
      <c r="S115" s="3133"/>
      <c r="T115" s="3133"/>
      <c r="U115" s="3133"/>
      <c r="V115" s="3133"/>
      <c r="W115" s="3133"/>
      <c r="X115" s="3133"/>
      <c r="Y115" s="3133"/>
      <c r="Z115" s="3133"/>
      <c r="AA115" s="3133"/>
      <c r="AB115" s="3133"/>
      <c r="AC115" s="3123">
        <f t="shared" si="38"/>
        <v>0</v>
      </c>
      <c r="AD115" s="3143"/>
      <c r="AE115" s="3143"/>
      <c r="AF115" s="3143"/>
      <c r="AG115" s="3143"/>
      <c r="AH115" s="3143"/>
      <c r="AI115" s="3143"/>
      <c r="AJ115" s="3143"/>
      <c r="AK115" s="3143"/>
      <c r="AL115" s="3143"/>
      <c r="AM115" s="3143"/>
      <c r="AN115" s="3143"/>
      <c r="AO115" s="3143"/>
      <c r="AP115" s="3143"/>
      <c r="AQ115" s="3143"/>
      <c r="AR115" s="3143"/>
      <c r="AS115" s="3143"/>
      <c r="AT115" s="3153"/>
      <c r="AU115" s="3154"/>
      <c r="AV115" s="270">
        <f t="shared" si="62"/>
        <v>0</v>
      </c>
      <c r="AW115" s="270">
        <f t="shared" si="63"/>
        <v>0</v>
      </c>
      <c r="AX115" s="270">
        <f t="shared" si="64"/>
        <v>0</v>
      </c>
      <c r="AY115" s="3168">
        <f t="shared" si="39"/>
        <v>0</v>
      </c>
      <c r="AZ115" s="3123">
        <f t="shared" si="40"/>
        <v>0</v>
      </c>
      <c r="BA115" s="3123">
        <f t="shared" si="41"/>
        <v>0</v>
      </c>
      <c r="BB115" s="3123">
        <f t="shared" si="42"/>
        <v>0</v>
      </c>
      <c r="BC115" s="3123">
        <f t="shared" si="43"/>
        <v>0</v>
      </c>
      <c r="BD115" s="3123">
        <f t="shared" si="44"/>
        <v>0</v>
      </c>
      <c r="BE115" s="3123">
        <f t="shared" si="45"/>
        <v>0</v>
      </c>
      <c r="BF115" s="3123">
        <f t="shared" si="46"/>
        <v>0</v>
      </c>
      <c r="BG115" s="3123">
        <f t="shared" si="47"/>
        <v>0</v>
      </c>
      <c r="BH115" s="3123">
        <f t="shared" si="48"/>
        <v>0</v>
      </c>
      <c r="BI115" s="3123">
        <f t="shared" si="49"/>
        <v>0</v>
      </c>
      <c r="BJ115" s="3123">
        <f t="shared" si="50"/>
        <v>0</v>
      </c>
      <c r="BK115" s="3123">
        <f t="shared" si="51"/>
        <v>0</v>
      </c>
      <c r="BL115" s="3123">
        <f t="shared" si="52"/>
        <v>0</v>
      </c>
      <c r="BM115" s="3123">
        <f t="shared" si="53"/>
        <v>0</v>
      </c>
      <c r="BN115" s="3123">
        <f t="shared" si="54"/>
        <v>0</v>
      </c>
      <c r="BO115" s="3123">
        <f t="shared" si="55"/>
        <v>0</v>
      </c>
      <c r="BP115" s="3123">
        <f t="shared" si="56"/>
        <v>0</v>
      </c>
      <c r="BQ115" s="3123">
        <f t="shared" si="57"/>
        <v>0</v>
      </c>
      <c r="BR115" s="3123">
        <f t="shared" si="58"/>
        <v>0</v>
      </c>
      <c r="BS115" s="3123">
        <f t="shared" si="59"/>
        <v>0</v>
      </c>
      <c r="BT115" s="3175">
        <f t="shared" si="60"/>
        <v>0</v>
      </c>
    </row>
    <row r="116" spans="1:72">
      <c r="A116" s="3120"/>
      <c r="B116" s="3121"/>
      <c r="C116" s="3121"/>
      <c r="D116" s="3122"/>
      <c r="E116" s="3123">
        <f t="shared" si="61"/>
        <v>0</v>
      </c>
      <c r="F116" s="3124"/>
      <c r="G116" s="3125">
        <f t="shared" si="36"/>
        <v>0</v>
      </c>
      <c r="H116" s="3126">
        <f t="shared" si="37"/>
        <v>0</v>
      </c>
      <c r="I116" s="3133"/>
      <c r="J116" s="3133"/>
      <c r="K116" s="3133"/>
      <c r="L116" s="3133"/>
      <c r="M116" s="3133"/>
      <c r="N116" s="3133"/>
      <c r="O116" s="3133"/>
      <c r="P116" s="3133"/>
      <c r="Q116" s="3133"/>
      <c r="R116" s="3133"/>
      <c r="S116" s="3133"/>
      <c r="T116" s="3133"/>
      <c r="U116" s="3133"/>
      <c r="V116" s="3133"/>
      <c r="W116" s="3133"/>
      <c r="X116" s="3133"/>
      <c r="Y116" s="3133"/>
      <c r="Z116" s="3133"/>
      <c r="AA116" s="3133"/>
      <c r="AB116" s="3133"/>
      <c r="AC116" s="3123">
        <f t="shared" si="38"/>
        <v>0</v>
      </c>
      <c r="AD116" s="3143"/>
      <c r="AE116" s="3143"/>
      <c r="AF116" s="3143"/>
      <c r="AG116" s="3143"/>
      <c r="AH116" s="3143"/>
      <c r="AI116" s="3143"/>
      <c r="AJ116" s="3143"/>
      <c r="AK116" s="3143"/>
      <c r="AL116" s="3143"/>
      <c r="AM116" s="3143"/>
      <c r="AN116" s="3143"/>
      <c r="AO116" s="3143"/>
      <c r="AP116" s="3143"/>
      <c r="AQ116" s="3143"/>
      <c r="AR116" s="3143"/>
      <c r="AS116" s="3143"/>
      <c r="AT116" s="3153"/>
      <c r="AU116" s="3154"/>
      <c r="AV116" s="270">
        <f t="shared" si="62"/>
        <v>0</v>
      </c>
      <c r="AW116" s="270">
        <f t="shared" si="63"/>
        <v>0</v>
      </c>
      <c r="AX116" s="270">
        <f t="shared" si="64"/>
        <v>0</v>
      </c>
      <c r="AY116" s="3168">
        <f t="shared" si="39"/>
        <v>0</v>
      </c>
      <c r="AZ116" s="3123">
        <f t="shared" si="40"/>
        <v>0</v>
      </c>
      <c r="BA116" s="3123">
        <f t="shared" si="41"/>
        <v>0</v>
      </c>
      <c r="BB116" s="3123">
        <f t="shared" si="42"/>
        <v>0</v>
      </c>
      <c r="BC116" s="3123">
        <f t="shared" si="43"/>
        <v>0</v>
      </c>
      <c r="BD116" s="3123">
        <f t="shared" si="44"/>
        <v>0</v>
      </c>
      <c r="BE116" s="3123">
        <f t="shared" si="45"/>
        <v>0</v>
      </c>
      <c r="BF116" s="3123">
        <f t="shared" si="46"/>
        <v>0</v>
      </c>
      <c r="BG116" s="3123">
        <f t="shared" si="47"/>
        <v>0</v>
      </c>
      <c r="BH116" s="3123">
        <f t="shared" si="48"/>
        <v>0</v>
      </c>
      <c r="BI116" s="3123">
        <f t="shared" si="49"/>
        <v>0</v>
      </c>
      <c r="BJ116" s="3123">
        <f t="shared" si="50"/>
        <v>0</v>
      </c>
      <c r="BK116" s="3123">
        <f t="shared" si="51"/>
        <v>0</v>
      </c>
      <c r="BL116" s="3123">
        <f t="shared" si="52"/>
        <v>0</v>
      </c>
      <c r="BM116" s="3123">
        <f t="shared" si="53"/>
        <v>0</v>
      </c>
      <c r="BN116" s="3123">
        <f t="shared" si="54"/>
        <v>0</v>
      </c>
      <c r="BO116" s="3123">
        <f t="shared" si="55"/>
        <v>0</v>
      </c>
      <c r="BP116" s="3123">
        <f t="shared" si="56"/>
        <v>0</v>
      </c>
      <c r="BQ116" s="3123">
        <f t="shared" si="57"/>
        <v>0</v>
      </c>
      <c r="BR116" s="3123">
        <f t="shared" si="58"/>
        <v>0</v>
      </c>
      <c r="BS116" s="3123">
        <f t="shared" si="59"/>
        <v>0</v>
      </c>
      <c r="BT116" s="3175">
        <f t="shared" si="60"/>
        <v>0</v>
      </c>
    </row>
    <row r="117" spans="1:72">
      <c r="A117" s="3120"/>
      <c r="B117" s="3121"/>
      <c r="C117" s="3121"/>
      <c r="D117" s="3122"/>
      <c r="E117" s="3123">
        <f t="shared" si="61"/>
        <v>0</v>
      </c>
      <c r="F117" s="3124"/>
      <c r="G117" s="3125">
        <f t="shared" si="36"/>
        <v>0</v>
      </c>
      <c r="H117" s="3126">
        <f t="shared" si="37"/>
        <v>0</v>
      </c>
      <c r="I117" s="3133"/>
      <c r="J117" s="3133"/>
      <c r="K117" s="3133"/>
      <c r="L117" s="3133"/>
      <c r="M117" s="3133"/>
      <c r="N117" s="3133"/>
      <c r="O117" s="3133"/>
      <c r="P117" s="3133"/>
      <c r="Q117" s="3133"/>
      <c r="R117" s="3133"/>
      <c r="S117" s="3133"/>
      <c r="T117" s="3133"/>
      <c r="U117" s="3133"/>
      <c r="V117" s="3133"/>
      <c r="W117" s="3133"/>
      <c r="X117" s="3133"/>
      <c r="Y117" s="3133"/>
      <c r="Z117" s="3133"/>
      <c r="AA117" s="3133"/>
      <c r="AB117" s="3133"/>
      <c r="AC117" s="3123">
        <f t="shared" si="38"/>
        <v>0</v>
      </c>
      <c r="AD117" s="3143"/>
      <c r="AE117" s="3143"/>
      <c r="AF117" s="3143"/>
      <c r="AG117" s="3143"/>
      <c r="AH117" s="3143"/>
      <c r="AI117" s="3143"/>
      <c r="AJ117" s="3143"/>
      <c r="AK117" s="3143"/>
      <c r="AL117" s="3143"/>
      <c r="AM117" s="3143"/>
      <c r="AN117" s="3143"/>
      <c r="AO117" s="3143"/>
      <c r="AP117" s="3143"/>
      <c r="AQ117" s="3143"/>
      <c r="AR117" s="3143"/>
      <c r="AS117" s="3143"/>
      <c r="AT117" s="3153"/>
      <c r="AU117" s="3154"/>
      <c r="AV117" s="270">
        <f t="shared" si="62"/>
        <v>0</v>
      </c>
      <c r="AW117" s="270">
        <f t="shared" si="63"/>
        <v>0</v>
      </c>
      <c r="AX117" s="270">
        <f t="shared" si="64"/>
        <v>0</v>
      </c>
      <c r="AY117" s="3168">
        <f t="shared" si="39"/>
        <v>0</v>
      </c>
      <c r="AZ117" s="3123">
        <f t="shared" si="40"/>
        <v>0</v>
      </c>
      <c r="BA117" s="3123">
        <f t="shared" si="41"/>
        <v>0</v>
      </c>
      <c r="BB117" s="3123">
        <f t="shared" si="42"/>
        <v>0</v>
      </c>
      <c r="BC117" s="3123">
        <f t="shared" si="43"/>
        <v>0</v>
      </c>
      <c r="BD117" s="3123">
        <f t="shared" si="44"/>
        <v>0</v>
      </c>
      <c r="BE117" s="3123">
        <f t="shared" si="45"/>
        <v>0</v>
      </c>
      <c r="BF117" s="3123">
        <f t="shared" si="46"/>
        <v>0</v>
      </c>
      <c r="BG117" s="3123">
        <f t="shared" si="47"/>
        <v>0</v>
      </c>
      <c r="BH117" s="3123">
        <f t="shared" si="48"/>
        <v>0</v>
      </c>
      <c r="BI117" s="3123">
        <f t="shared" si="49"/>
        <v>0</v>
      </c>
      <c r="BJ117" s="3123">
        <f t="shared" si="50"/>
        <v>0</v>
      </c>
      <c r="BK117" s="3123">
        <f t="shared" si="51"/>
        <v>0</v>
      </c>
      <c r="BL117" s="3123">
        <f t="shared" si="52"/>
        <v>0</v>
      </c>
      <c r="BM117" s="3123">
        <f t="shared" si="53"/>
        <v>0</v>
      </c>
      <c r="BN117" s="3123">
        <f t="shared" si="54"/>
        <v>0</v>
      </c>
      <c r="BO117" s="3123">
        <f t="shared" si="55"/>
        <v>0</v>
      </c>
      <c r="BP117" s="3123">
        <f t="shared" si="56"/>
        <v>0</v>
      </c>
      <c r="BQ117" s="3123">
        <f t="shared" si="57"/>
        <v>0</v>
      </c>
      <c r="BR117" s="3123">
        <f t="shared" si="58"/>
        <v>0</v>
      </c>
      <c r="BS117" s="3123">
        <f t="shared" si="59"/>
        <v>0</v>
      </c>
      <c r="BT117" s="3175">
        <f t="shared" si="60"/>
        <v>0</v>
      </c>
    </row>
    <row r="118" spans="1:72">
      <c r="A118" s="3120"/>
      <c r="B118" s="3121"/>
      <c r="C118" s="3121"/>
      <c r="D118" s="3122"/>
      <c r="E118" s="3123">
        <f t="shared" si="61"/>
        <v>0</v>
      </c>
      <c r="F118" s="3124"/>
      <c r="G118" s="3125">
        <f t="shared" si="36"/>
        <v>0</v>
      </c>
      <c r="H118" s="3126">
        <f t="shared" si="37"/>
        <v>0</v>
      </c>
      <c r="I118" s="3133"/>
      <c r="J118" s="3133"/>
      <c r="K118" s="3133"/>
      <c r="L118" s="3133"/>
      <c r="M118" s="3133"/>
      <c r="N118" s="3133"/>
      <c r="O118" s="3133"/>
      <c r="P118" s="3133"/>
      <c r="Q118" s="3133"/>
      <c r="R118" s="3133"/>
      <c r="S118" s="3133"/>
      <c r="T118" s="3133"/>
      <c r="U118" s="3133"/>
      <c r="V118" s="3133"/>
      <c r="W118" s="3133"/>
      <c r="X118" s="3133"/>
      <c r="Y118" s="3133"/>
      <c r="Z118" s="3133"/>
      <c r="AA118" s="3133"/>
      <c r="AB118" s="3133"/>
      <c r="AC118" s="3123">
        <f t="shared" si="38"/>
        <v>0</v>
      </c>
      <c r="AD118" s="3143"/>
      <c r="AE118" s="3143"/>
      <c r="AF118" s="3143"/>
      <c r="AG118" s="3143"/>
      <c r="AH118" s="3143"/>
      <c r="AI118" s="3143"/>
      <c r="AJ118" s="3143"/>
      <c r="AK118" s="3143"/>
      <c r="AL118" s="3143"/>
      <c r="AM118" s="3143"/>
      <c r="AN118" s="3143"/>
      <c r="AO118" s="3143"/>
      <c r="AP118" s="3143"/>
      <c r="AQ118" s="3143"/>
      <c r="AR118" s="3143"/>
      <c r="AS118" s="3143"/>
      <c r="AT118" s="3153"/>
      <c r="AU118" s="3154"/>
      <c r="AV118" s="270">
        <f t="shared" si="62"/>
        <v>0</v>
      </c>
      <c r="AW118" s="270">
        <f t="shared" si="63"/>
        <v>0</v>
      </c>
      <c r="AX118" s="270">
        <f t="shared" si="64"/>
        <v>0</v>
      </c>
      <c r="AY118" s="3168">
        <f t="shared" si="39"/>
        <v>0</v>
      </c>
      <c r="AZ118" s="3123">
        <f t="shared" si="40"/>
        <v>0</v>
      </c>
      <c r="BA118" s="3123">
        <f t="shared" si="41"/>
        <v>0</v>
      </c>
      <c r="BB118" s="3123">
        <f t="shared" si="42"/>
        <v>0</v>
      </c>
      <c r="BC118" s="3123">
        <f t="shared" si="43"/>
        <v>0</v>
      </c>
      <c r="BD118" s="3123">
        <f t="shared" si="44"/>
        <v>0</v>
      </c>
      <c r="BE118" s="3123">
        <f t="shared" si="45"/>
        <v>0</v>
      </c>
      <c r="BF118" s="3123">
        <f t="shared" si="46"/>
        <v>0</v>
      </c>
      <c r="BG118" s="3123">
        <f t="shared" si="47"/>
        <v>0</v>
      </c>
      <c r="BH118" s="3123">
        <f t="shared" si="48"/>
        <v>0</v>
      </c>
      <c r="BI118" s="3123">
        <f t="shared" si="49"/>
        <v>0</v>
      </c>
      <c r="BJ118" s="3123">
        <f t="shared" si="50"/>
        <v>0</v>
      </c>
      <c r="BK118" s="3123">
        <f t="shared" si="51"/>
        <v>0</v>
      </c>
      <c r="BL118" s="3123">
        <f t="shared" si="52"/>
        <v>0</v>
      </c>
      <c r="BM118" s="3123">
        <f t="shared" si="53"/>
        <v>0</v>
      </c>
      <c r="BN118" s="3123">
        <f t="shared" si="54"/>
        <v>0</v>
      </c>
      <c r="BO118" s="3123">
        <f t="shared" si="55"/>
        <v>0</v>
      </c>
      <c r="BP118" s="3123">
        <f t="shared" si="56"/>
        <v>0</v>
      </c>
      <c r="BQ118" s="3123">
        <f t="shared" si="57"/>
        <v>0</v>
      </c>
      <c r="BR118" s="3123">
        <f t="shared" si="58"/>
        <v>0</v>
      </c>
      <c r="BS118" s="3123">
        <f t="shared" si="59"/>
        <v>0</v>
      </c>
      <c r="BT118" s="3175">
        <f t="shared" si="60"/>
        <v>0</v>
      </c>
    </row>
    <row r="119" spans="1:72">
      <c r="A119" s="3120"/>
      <c r="B119" s="3121"/>
      <c r="C119" s="3121"/>
      <c r="D119" s="3122"/>
      <c r="E119" s="3123">
        <f t="shared" si="61"/>
        <v>0</v>
      </c>
      <c r="F119" s="3124"/>
      <c r="G119" s="3125">
        <f t="shared" si="36"/>
        <v>0</v>
      </c>
      <c r="H119" s="3126">
        <f t="shared" si="37"/>
        <v>0</v>
      </c>
      <c r="I119" s="3133"/>
      <c r="J119" s="3133"/>
      <c r="K119" s="3133"/>
      <c r="L119" s="3133"/>
      <c r="M119" s="3133"/>
      <c r="N119" s="3133"/>
      <c r="O119" s="3133"/>
      <c r="P119" s="3133"/>
      <c r="Q119" s="3133"/>
      <c r="R119" s="3133"/>
      <c r="S119" s="3133"/>
      <c r="T119" s="3133"/>
      <c r="U119" s="3133"/>
      <c r="V119" s="3133"/>
      <c r="W119" s="3133"/>
      <c r="X119" s="3133"/>
      <c r="Y119" s="3133"/>
      <c r="Z119" s="3133"/>
      <c r="AA119" s="3133"/>
      <c r="AB119" s="3133"/>
      <c r="AC119" s="3123">
        <f t="shared" si="38"/>
        <v>0</v>
      </c>
      <c r="AD119" s="3143"/>
      <c r="AE119" s="3143"/>
      <c r="AF119" s="3143"/>
      <c r="AG119" s="3143"/>
      <c r="AH119" s="3143"/>
      <c r="AI119" s="3143"/>
      <c r="AJ119" s="3143"/>
      <c r="AK119" s="3143"/>
      <c r="AL119" s="3143"/>
      <c r="AM119" s="3143"/>
      <c r="AN119" s="3143"/>
      <c r="AO119" s="3143"/>
      <c r="AP119" s="3143"/>
      <c r="AQ119" s="3143"/>
      <c r="AR119" s="3143"/>
      <c r="AS119" s="3143"/>
      <c r="AT119" s="3153"/>
      <c r="AU119" s="3154"/>
      <c r="AV119" s="270">
        <f t="shared" si="62"/>
        <v>0</v>
      </c>
      <c r="AW119" s="270">
        <f t="shared" si="63"/>
        <v>0</v>
      </c>
      <c r="AX119" s="270">
        <f t="shared" si="64"/>
        <v>0</v>
      </c>
      <c r="AY119" s="3168">
        <f t="shared" si="39"/>
        <v>0</v>
      </c>
      <c r="AZ119" s="3123">
        <f t="shared" si="40"/>
        <v>0</v>
      </c>
      <c r="BA119" s="3123">
        <f t="shared" si="41"/>
        <v>0</v>
      </c>
      <c r="BB119" s="3123">
        <f t="shared" si="42"/>
        <v>0</v>
      </c>
      <c r="BC119" s="3123">
        <f t="shared" si="43"/>
        <v>0</v>
      </c>
      <c r="BD119" s="3123">
        <f t="shared" si="44"/>
        <v>0</v>
      </c>
      <c r="BE119" s="3123">
        <f t="shared" si="45"/>
        <v>0</v>
      </c>
      <c r="BF119" s="3123">
        <f t="shared" si="46"/>
        <v>0</v>
      </c>
      <c r="BG119" s="3123">
        <f t="shared" si="47"/>
        <v>0</v>
      </c>
      <c r="BH119" s="3123">
        <f t="shared" si="48"/>
        <v>0</v>
      </c>
      <c r="BI119" s="3123">
        <f t="shared" si="49"/>
        <v>0</v>
      </c>
      <c r="BJ119" s="3123">
        <f t="shared" si="50"/>
        <v>0</v>
      </c>
      <c r="BK119" s="3123">
        <f t="shared" si="51"/>
        <v>0</v>
      </c>
      <c r="BL119" s="3123">
        <f t="shared" si="52"/>
        <v>0</v>
      </c>
      <c r="BM119" s="3123">
        <f t="shared" si="53"/>
        <v>0</v>
      </c>
      <c r="BN119" s="3123">
        <f t="shared" si="54"/>
        <v>0</v>
      </c>
      <c r="BO119" s="3123">
        <f t="shared" si="55"/>
        <v>0</v>
      </c>
      <c r="BP119" s="3123">
        <f t="shared" si="56"/>
        <v>0</v>
      </c>
      <c r="BQ119" s="3123">
        <f t="shared" si="57"/>
        <v>0</v>
      </c>
      <c r="BR119" s="3123">
        <f t="shared" si="58"/>
        <v>0</v>
      </c>
      <c r="BS119" s="3123">
        <f t="shared" si="59"/>
        <v>0</v>
      </c>
      <c r="BT119" s="3175">
        <f t="shared" si="60"/>
        <v>0</v>
      </c>
    </row>
    <row r="120" spans="1:72">
      <c r="A120" s="3120"/>
      <c r="B120" s="3121"/>
      <c r="C120" s="3121"/>
      <c r="D120" s="3122"/>
      <c r="E120" s="3123">
        <f t="shared" si="61"/>
        <v>0</v>
      </c>
      <c r="F120" s="3124"/>
      <c r="G120" s="3125">
        <f t="shared" si="36"/>
        <v>0</v>
      </c>
      <c r="H120" s="3126">
        <f t="shared" si="37"/>
        <v>0</v>
      </c>
      <c r="I120" s="3133"/>
      <c r="J120" s="3133"/>
      <c r="K120" s="3133"/>
      <c r="L120" s="3133"/>
      <c r="M120" s="3133"/>
      <c r="N120" s="3133"/>
      <c r="O120" s="3133"/>
      <c r="P120" s="3133"/>
      <c r="Q120" s="3133"/>
      <c r="R120" s="3133"/>
      <c r="S120" s="3133"/>
      <c r="T120" s="3133"/>
      <c r="U120" s="3133"/>
      <c r="V120" s="3133"/>
      <c r="W120" s="3133"/>
      <c r="X120" s="3133"/>
      <c r="Y120" s="3133"/>
      <c r="Z120" s="3133"/>
      <c r="AA120" s="3133"/>
      <c r="AB120" s="3133"/>
      <c r="AC120" s="3123">
        <f t="shared" si="38"/>
        <v>0</v>
      </c>
      <c r="AD120" s="3143"/>
      <c r="AE120" s="3143"/>
      <c r="AF120" s="3143"/>
      <c r="AG120" s="3143"/>
      <c r="AH120" s="3143"/>
      <c r="AI120" s="3143"/>
      <c r="AJ120" s="3143"/>
      <c r="AK120" s="3143"/>
      <c r="AL120" s="3143"/>
      <c r="AM120" s="3143"/>
      <c r="AN120" s="3143"/>
      <c r="AO120" s="3143"/>
      <c r="AP120" s="3143"/>
      <c r="AQ120" s="3143"/>
      <c r="AR120" s="3143"/>
      <c r="AS120" s="3143"/>
      <c r="AT120" s="3153"/>
      <c r="AU120" s="3154"/>
      <c r="AV120" s="270">
        <f t="shared" si="62"/>
        <v>0</v>
      </c>
      <c r="AW120" s="270">
        <f t="shared" si="63"/>
        <v>0</v>
      </c>
      <c r="AX120" s="270">
        <f t="shared" si="64"/>
        <v>0</v>
      </c>
      <c r="AY120" s="3168">
        <f t="shared" si="39"/>
        <v>0</v>
      </c>
      <c r="AZ120" s="3123">
        <f t="shared" si="40"/>
        <v>0</v>
      </c>
      <c r="BA120" s="3123">
        <f t="shared" si="41"/>
        <v>0</v>
      </c>
      <c r="BB120" s="3123">
        <f t="shared" si="42"/>
        <v>0</v>
      </c>
      <c r="BC120" s="3123">
        <f t="shared" si="43"/>
        <v>0</v>
      </c>
      <c r="BD120" s="3123">
        <f t="shared" si="44"/>
        <v>0</v>
      </c>
      <c r="BE120" s="3123">
        <f t="shared" si="45"/>
        <v>0</v>
      </c>
      <c r="BF120" s="3123">
        <f t="shared" si="46"/>
        <v>0</v>
      </c>
      <c r="BG120" s="3123">
        <f t="shared" si="47"/>
        <v>0</v>
      </c>
      <c r="BH120" s="3123">
        <f t="shared" si="48"/>
        <v>0</v>
      </c>
      <c r="BI120" s="3123">
        <f t="shared" si="49"/>
        <v>0</v>
      </c>
      <c r="BJ120" s="3123">
        <f t="shared" si="50"/>
        <v>0</v>
      </c>
      <c r="BK120" s="3123">
        <f t="shared" si="51"/>
        <v>0</v>
      </c>
      <c r="BL120" s="3123">
        <f t="shared" si="52"/>
        <v>0</v>
      </c>
      <c r="BM120" s="3123">
        <f t="shared" si="53"/>
        <v>0</v>
      </c>
      <c r="BN120" s="3123">
        <f t="shared" si="54"/>
        <v>0</v>
      </c>
      <c r="BO120" s="3123">
        <f t="shared" si="55"/>
        <v>0</v>
      </c>
      <c r="BP120" s="3123">
        <f t="shared" si="56"/>
        <v>0</v>
      </c>
      <c r="BQ120" s="3123">
        <f t="shared" si="57"/>
        <v>0</v>
      </c>
      <c r="BR120" s="3123">
        <f t="shared" si="58"/>
        <v>0</v>
      </c>
      <c r="BS120" s="3123">
        <f t="shared" si="59"/>
        <v>0</v>
      </c>
      <c r="BT120" s="3175">
        <f t="shared" si="60"/>
        <v>0</v>
      </c>
    </row>
    <row r="121" spans="1:72">
      <c r="A121" s="3120"/>
      <c r="B121" s="3121"/>
      <c r="C121" s="3121"/>
      <c r="D121" s="3122"/>
      <c r="E121" s="3123">
        <f t="shared" si="61"/>
        <v>0</v>
      </c>
      <c r="F121" s="3124"/>
      <c r="G121" s="3125">
        <f t="shared" si="36"/>
        <v>0</v>
      </c>
      <c r="H121" s="3126">
        <f t="shared" si="37"/>
        <v>0</v>
      </c>
      <c r="I121" s="3133"/>
      <c r="J121" s="3133"/>
      <c r="K121" s="3133"/>
      <c r="L121" s="3133"/>
      <c r="M121" s="3133"/>
      <c r="N121" s="3133"/>
      <c r="O121" s="3133"/>
      <c r="P121" s="3133"/>
      <c r="Q121" s="3133"/>
      <c r="R121" s="3133"/>
      <c r="S121" s="3133"/>
      <c r="T121" s="3133"/>
      <c r="U121" s="3133"/>
      <c r="V121" s="3133"/>
      <c r="W121" s="3133"/>
      <c r="X121" s="3133"/>
      <c r="Y121" s="3133"/>
      <c r="Z121" s="3133"/>
      <c r="AA121" s="3133"/>
      <c r="AB121" s="3133"/>
      <c r="AC121" s="3123">
        <f t="shared" si="38"/>
        <v>0</v>
      </c>
      <c r="AD121" s="3143"/>
      <c r="AE121" s="3143"/>
      <c r="AF121" s="3143"/>
      <c r="AG121" s="3143"/>
      <c r="AH121" s="3143"/>
      <c r="AI121" s="3143"/>
      <c r="AJ121" s="3143"/>
      <c r="AK121" s="3143"/>
      <c r="AL121" s="3143"/>
      <c r="AM121" s="3143"/>
      <c r="AN121" s="3143"/>
      <c r="AO121" s="3143"/>
      <c r="AP121" s="3143"/>
      <c r="AQ121" s="3143"/>
      <c r="AR121" s="3143"/>
      <c r="AS121" s="3143"/>
      <c r="AT121" s="3153"/>
      <c r="AU121" s="3154"/>
      <c r="AV121" s="270">
        <f t="shared" si="62"/>
        <v>0</v>
      </c>
      <c r="AW121" s="270">
        <f t="shared" si="63"/>
        <v>0</v>
      </c>
      <c r="AX121" s="270">
        <f t="shared" si="64"/>
        <v>0</v>
      </c>
      <c r="AY121" s="3168">
        <f t="shared" si="39"/>
        <v>0</v>
      </c>
      <c r="AZ121" s="3123">
        <f t="shared" si="40"/>
        <v>0</v>
      </c>
      <c r="BA121" s="3123">
        <f t="shared" si="41"/>
        <v>0</v>
      </c>
      <c r="BB121" s="3123">
        <f t="shared" si="42"/>
        <v>0</v>
      </c>
      <c r="BC121" s="3123">
        <f t="shared" si="43"/>
        <v>0</v>
      </c>
      <c r="BD121" s="3123">
        <f t="shared" si="44"/>
        <v>0</v>
      </c>
      <c r="BE121" s="3123">
        <f t="shared" si="45"/>
        <v>0</v>
      </c>
      <c r="BF121" s="3123">
        <f t="shared" si="46"/>
        <v>0</v>
      </c>
      <c r="BG121" s="3123">
        <f t="shared" si="47"/>
        <v>0</v>
      </c>
      <c r="BH121" s="3123">
        <f t="shared" si="48"/>
        <v>0</v>
      </c>
      <c r="BI121" s="3123">
        <f t="shared" si="49"/>
        <v>0</v>
      </c>
      <c r="BJ121" s="3123">
        <f t="shared" si="50"/>
        <v>0</v>
      </c>
      <c r="BK121" s="3123">
        <f t="shared" si="51"/>
        <v>0</v>
      </c>
      <c r="BL121" s="3123">
        <f t="shared" si="52"/>
        <v>0</v>
      </c>
      <c r="BM121" s="3123">
        <f t="shared" si="53"/>
        <v>0</v>
      </c>
      <c r="BN121" s="3123">
        <f t="shared" si="54"/>
        <v>0</v>
      </c>
      <c r="BO121" s="3123">
        <f t="shared" si="55"/>
        <v>0</v>
      </c>
      <c r="BP121" s="3123">
        <f t="shared" si="56"/>
        <v>0</v>
      </c>
      <c r="BQ121" s="3123">
        <f t="shared" si="57"/>
        <v>0</v>
      </c>
      <c r="BR121" s="3123">
        <f t="shared" si="58"/>
        <v>0</v>
      </c>
      <c r="BS121" s="3123">
        <f t="shared" si="59"/>
        <v>0</v>
      </c>
      <c r="BT121" s="3175">
        <f t="shared" si="60"/>
        <v>0</v>
      </c>
    </row>
    <row r="122" spans="1:72">
      <c r="A122" s="3120"/>
      <c r="B122" s="3121"/>
      <c r="C122" s="3121"/>
      <c r="D122" s="3122"/>
      <c r="E122" s="3123">
        <f t="shared" si="61"/>
        <v>0</v>
      </c>
      <c r="F122" s="3124"/>
      <c r="G122" s="3125">
        <f t="shared" si="36"/>
        <v>0</v>
      </c>
      <c r="H122" s="3126">
        <f t="shared" si="37"/>
        <v>0</v>
      </c>
      <c r="I122" s="3133"/>
      <c r="J122" s="3133"/>
      <c r="K122" s="3133"/>
      <c r="L122" s="3133"/>
      <c r="M122" s="3133"/>
      <c r="N122" s="3133"/>
      <c r="O122" s="3133"/>
      <c r="P122" s="3133"/>
      <c r="Q122" s="3133"/>
      <c r="R122" s="3133"/>
      <c r="S122" s="3133"/>
      <c r="T122" s="3133"/>
      <c r="U122" s="3133"/>
      <c r="V122" s="3133"/>
      <c r="W122" s="3133"/>
      <c r="X122" s="3133"/>
      <c r="Y122" s="3133"/>
      <c r="Z122" s="3133"/>
      <c r="AA122" s="3133"/>
      <c r="AB122" s="3133"/>
      <c r="AC122" s="3123">
        <f t="shared" si="38"/>
        <v>0</v>
      </c>
      <c r="AD122" s="3143"/>
      <c r="AE122" s="3143"/>
      <c r="AF122" s="3143"/>
      <c r="AG122" s="3143"/>
      <c r="AH122" s="3143"/>
      <c r="AI122" s="3143"/>
      <c r="AJ122" s="3143"/>
      <c r="AK122" s="3143"/>
      <c r="AL122" s="3143"/>
      <c r="AM122" s="3143"/>
      <c r="AN122" s="3143"/>
      <c r="AO122" s="3143"/>
      <c r="AP122" s="3143"/>
      <c r="AQ122" s="3143"/>
      <c r="AR122" s="3143"/>
      <c r="AS122" s="3143"/>
      <c r="AT122" s="3153"/>
      <c r="AU122" s="3154"/>
      <c r="AV122" s="270">
        <f t="shared" si="62"/>
        <v>0</v>
      </c>
      <c r="AW122" s="270">
        <f t="shared" si="63"/>
        <v>0</v>
      </c>
      <c r="AX122" s="270">
        <f t="shared" si="64"/>
        <v>0</v>
      </c>
      <c r="AY122" s="3168">
        <f t="shared" si="39"/>
        <v>0</v>
      </c>
      <c r="AZ122" s="3123">
        <f t="shared" si="40"/>
        <v>0</v>
      </c>
      <c r="BA122" s="3123">
        <f t="shared" si="41"/>
        <v>0</v>
      </c>
      <c r="BB122" s="3123">
        <f t="shared" si="42"/>
        <v>0</v>
      </c>
      <c r="BC122" s="3123">
        <f t="shared" si="43"/>
        <v>0</v>
      </c>
      <c r="BD122" s="3123">
        <f t="shared" si="44"/>
        <v>0</v>
      </c>
      <c r="BE122" s="3123">
        <f t="shared" si="45"/>
        <v>0</v>
      </c>
      <c r="BF122" s="3123">
        <f t="shared" si="46"/>
        <v>0</v>
      </c>
      <c r="BG122" s="3123">
        <f t="shared" si="47"/>
        <v>0</v>
      </c>
      <c r="BH122" s="3123">
        <f t="shared" si="48"/>
        <v>0</v>
      </c>
      <c r="BI122" s="3123">
        <f t="shared" si="49"/>
        <v>0</v>
      </c>
      <c r="BJ122" s="3123">
        <f t="shared" si="50"/>
        <v>0</v>
      </c>
      <c r="BK122" s="3123">
        <f t="shared" si="51"/>
        <v>0</v>
      </c>
      <c r="BL122" s="3123">
        <f t="shared" si="52"/>
        <v>0</v>
      </c>
      <c r="BM122" s="3123">
        <f t="shared" si="53"/>
        <v>0</v>
      </c>
      <c r="BN122" s="3123">
        <f t="shared" si="54"/>
        <v>0</v>
      </c>
      <c r="BO122" s="3123">
        <f t="shared" si="55"/>
        <v>0</v>
      </c>
      <c r="BP122" s="3123">
        <f t="shared" si="56"/>
        <v>0</v>
      </c>
      <c r="BQ122" s="3123">
        <f t="shared" si="57"/>
        <v>0</v>
      </c>
      <c r="BR122" s="3123">
        <f t="shared" si="58"/>
        <v>0</v>
      </c>
      <c r="BS122" s="3123">
        <f t="shared" si="59"/>
        <v>0</v>
      </c>
      <c r="BT122" s="3175">
        <f t="shared" si="60"/>
        <v>0</v>
      </c>
    </row>
    <row r="123" spans="1:72">
      <c r="A123" s="3120"/>
      <c r="B123" s="3121"/>
      <c r="C123" s="3121"/>
      <c r="D123" s="3122"/>
      <c r="E123" s="3123">
        <f t="shared" si="61"/>
        <v>0</v>
      </c>
      <c r="F123" s="3124"/>
      <c r="G123" s="3125">
        <f t="shared" si="36"/>
        <v>0</v>
      </c>
      <c r="H123" s="3126">
        <f t="shared" si="37"/>
        <v>0</v>
      </c>
      <c r="I123" s="3133"/>
      <c r="J123" s="3133"/>
      <c r="K123" s="3133"/>
      <c r="L123" s="3133"/>
      <c r="M123" s="3133"/>
      <c r="N123" s="3133"/>
      <c r="O123" s="3133"/>
      <c r="P123" s="3133"/>
      <c r="Q123" s="3133"/>
      <c r="R123" s="3133"/>
      <c r="S123" s="3133"/>
      <c r="T123" s="3133"/>
      <c r="U123" s="3133"/>
      <c r="V123" s="3133"/>
      <c r="W123" s="3133"/>
      <c r="X123" s="3133"/>
      <c r="Y123" s="3133"/>
      <c r="Z123" s="3133"/>
      <c r="AA123" s="3133"/>
      <c r="AB123" s="3133"/>
      <c r="AC123" s="3123">
        <f t="shared" si="38"/>
        <v>0</v>
      </c>
      <c r="AD123" s="3143"/>
      <c r="AE123" s="3143"/>
      <c r="AF123" s="3143"/>
      <c r="AG123" s="3143"/>
      <c r="AH123" s="3143"/>
      <c r="AI123" s="3143"/>
      <c r="AJ123" s="3143"/>
      <c r="AK123" s="3143"/>
      <c r="AL123" s="3143"/>
      <c r="AM123" s="3143"/>
      <c r="AN123" s="3143"/>
      <c r="AO123" s="3143"/>
      <c r="AP123" s="3143"/>
      <c r="AQ123" s="3143"/>
      <c r="AR123" s="3143"/>
      <c r="AS123" s="3143"/>
      <c r="AT123" s="3153"/>
      <c r="AU123" s="3154"/>
      <c r="AV123" s="270">
        <f t="shared" si="62"/>
        <v>0</v>
      </c>
      <c r="AW123" s="270">
        <f t="shared" si="63"/>
        <v>0</v>
      </c>
      <c r="AX123" s="270">
        <f t="shared" si="64"/>
        <v>0</v>
      </c>
      <c r="AY123" s="3168">
        <f t="shared" si="39"/>
        <v>0</v>
      </c>
      <c r="AZ123" s="3123">
        <f t="shared" si="40"/>
        <v>0</v>
      </c>
      <c r="BA123" s="3123">
        <f t="shared" si="41"/>
        <v>0</v>
      </c>
      <c r="BB123" s="3123">
        <f t="shared" si="42"/>
        <v>0</v>
      </c>
      <c r="BC123" s="3123">
        <f t="shared" si="43"/>
        <v>0</v>
      </c>
      <c r="BD123" s="3123">
        <f t="shared" si="44"/>
        <v>0</v>
      </c>
      <c r="BE123" s="3123">
        <f t="shared" si="45"/>
        <v>0</v>
      </c>
      <c r="BF123" s="3123">
        <f t="shared" si="46"/>
        <v>0</v>
      </c>
      <c r="BG123" s="3123">
        <f t="shared" si="47"/>
        <v>0</v>
      </c>
      <c r="BH123" s="3123">
        <f t="shared" si="48"/>
        <v>0</v>
      </c>
      <c r="BI123" s="3123">
        <f t="shared" si="49"/>
        <v>0</v>
      </c>
      <c r="BJ123" s="3123">
        <f t="shared" si="50"/>
        <v>0</v>
      </c>
      <c r="BK123" s="3123">
        <f t="shared" si="51"/>
        <v>0</v>
      </c>
      <c r="BL123" s="3123">
        <f t="shared" si="52"/>
        <v>0</v>
      </c>
      <c r="BM123" s="3123">
        <f t="shared" si="53"/>
        <v>0</v>
      </c>
      <c r="BN123" s="3123">
        <f t="shared" si="54"/>
        <v>0</v>
      </c>
      <c r="BO123" s="3123">
        <f t="shared" si="55"/>
        <v>0</v>
      </c>
      <c r="BP123" s="3123">
        <f t="shared" si="56"/>
        <v>0</v>
      </c>
      <c r="BQ123" s="3123">
        <f t="shared" si="57"/>
        <v>0</v>
      </c>
      <c r="BR123" s="3123">
        <f t="shared" si="58"/>
        <v>0</v>
      </c>
      <c r="BS123" s="3123">
        <f t="shared" si="59"/>
        <v>0</v>
      </c>
      <c r="BT123" s="3175">
        <f t="shared" si="60"/>
        <v>0</v>
      </c>
    </row>
    <row r="124" spans="1:72">
      <c r="A124" s="3120"/>
      <c r="B124" s="3121"/>
      <c r="C124" s="3121"/>
      <c r="D124" s="3122"/>
      <c r="E124" s="3123">
        <f t="shared" si="61"/>
        <v>0</v>
      </c>
      <c r="F124" s="3124"/>
      <c r="G124" s="3125">
        <f t="shared" si="36"/>
        <v>0</v>
      </c>
      <c r="H124" s="3126">
        <f t="shared" si="37"/>
        <v>0</v>
      </c>
      <c r="I124" s="3133"/>
      <c r="J124" s="3133"/>
      <c r="K124" s="3133"/>
      <c r="L124" s="3133"/>
      <c r="M124" s="3133"/>
      <c r="N124" s="3133"/>
      <c r="O124" s="3133"/>
      <c r="P124" s="3133"/>
      <c r="Q124" s="3133"/>
      <c r="R124" s="3133"/>
      <c r="S124" s="3133"/>
      <c r="T124" s="3133"/>
      <c r="U124" s="3133"/>
      <c r="V124" s="3133"/>
      <c r="W124" s="3133"/>
      <c r="X124" s="3133"/>
      <c r="Y124" s="3133"/>
      <c r="Z124" s="3133"/>
      <c r="AA124" s="3133"/>
      <c r="AB124" s="3133"/>
      <c r="AC124" s="3123">
        <f t="shared" si="38"/>
        <v>0</v>
      </c>
      <c r="AD124" s="3143"/>
      <c r="AE124" s="3143"/>
      <c r="AF124" s="3143"/>
      <c r="AG124" s="3143"/>
      <c r="AH124" s="3143"/>
      <c r="AI124" s="3143"/>
      <c r="AJ124" s="3143"/>
      <c r="AK124" s="3143"/>
      <c r="AL124" s="3143"/>
      <c r="AM124" s="3143"/>
      <c r="AN124" s="3143"/>
      <c r="AO124" s="3143"/>
      <c r="AP124" s="3143"/>
      <c r="AQ124" s="3143"/>
      <c r="AR124" s="3143"/>
      <c r="AS124" s="3143"/>
      <c r="AT124" s="3153"/>
      <c r="AU124" s="3154"/>
      <c r="AV124" s="270">
        <f t="shared" si="62"/>
        <v>0</v>
      </c>
      <c r="AW124" s="270">
        <f t="shared" si="63"/>
        <v>0</v>
      </c>
      <c r="AX124" s="270">
        <f t="shared" si="64"/>
        <v>0</v>
      </c>
      <c r="AY124" s="3168">
        <f t="shared" si="39"/>
        <v>0</v>
      </c>
      <c r="AZ124" s="3123">
        <f t="shared" si="40"/>
        <v>0</v>
      </c>
      <c r="BA124" s="3123">
        <f t="shared" si="41"/>
        <v>0</v>
      </c>
      <c r="BB124" s="3123">
        <f t="shared" si="42"/>
        <v>0</v>
      </c>
      <c r="BC124" s="3123">
        <f t="shared" si="43"/>
        <v>0</v>
      </c>
      <c r="BD124" s="3123">
        <f t="shared" si="44"/>
        <v>0</v>
      </c>
      <c r="BE124" s="3123">
        <f t="shared" si="45"/>
        <v>0</v>
      </c>
      <c r="BF124" s="3123">
        <f t="shared" si="46"/>
        <v>0</v>
      </c>
      <c r="BG124" s="3123">
        <f t="shared" si="47"/>
        <v>0</v>
      </c>
      <c r="BH124" s="3123">
        <f t="shared" si="48"/>
        <v>0</v>
      </c>
      <c r="BI124" s="3123">
        <f t="shared" si="49"/>
        <v>0</v>
      </c>
      <c r="BJ124" s="3123">
        <f t="shared" si="50"/>
        <v>0</v>
      </c>
      <c r="BK124" s="3123">
        <f t="shared" si="51"/>
        <v>0</v>
      </c>
      <c r="BL124" s="3123">
        <f t="shared" si="52"/>
        <v>0</v>
      </c>
      <c r="BM124" s="3123">
        <f t="shared" si="53"/>
        <v>0</v>
      </c>
      <c r="BN124" s="3123">
        <f t="shared" si="54"/>
        <v>0</v>
      </c>
      <c r="BO124" s="3123">
        <f t="shared" si="55"/>
        <v>0</v>
      </c>
      <c r="BP124" s="3123">
        <f t="shared" si="56"/>
        <v>0</v>
      </c>
      <c r="BQ124" s="3123">
        <f t="shared" si="57"/>
        <v>0</v>
      </c>
      <c r="BR124" s="3123">
        <f t="shared" si="58"/>
        <v>0</v>
      </c>
      <c r="BS124" s="3123">
        <f t="shared" si="59"/>
        <v>0</v>
      </c>
      <c r="BT124" s="3175">
        <f t="shared" si="60"/>
        <v>0</v>
      </c>
    </row>
    <row r="125" spans="1:72">
      <c r="A125" s="3120"/>
      <c r="B125" s="3121"/>
      <c r="C125" s="3121"/>
      <c r="D125" s="3122"/>
      <c r="E125" s="3123">
        <f t="shared" si="61"/>
        <v>0</v>
      </c>
      <c r="F125" s="3124"/>
      <c r="G125" s="3125">
        <f t="shared" si="36"/>
        <v>0</v>
      </c>
      <c r="H125" s="3126">
        <f t="shared" si="37"/>
        <v>0</v>
      </c>
      <c r="I125" s="3133"/>
      <c r="J125" s="3133"/>
      <c r="K125" s="3133"/>
      <c r="L125" s="3133"/>
      <c r="M125" s="3133"/>
      <c r="N125" s="3133"/>
      <c r="O125" s="3133"/>
      <c r="P125" s="3133"/>
      <c r="Q125" s="3133"/>
      <c r="R125" s="3133"/>
      <c r="S125" s="3133"/>
      <c r="T125" s="3133"/>
      <c r="U125" s="3133"/>
      <c r="V125" s="3133"/>
      <c r="W125" s="3133"/>
      <c r="X125" s="3133"/>
      <c r="Y125" s="3133"/>
      <c r="Z125" s="3133"/>
      <c r="AA125" s="3133"/>
      <c r="AB125" s="3133"/>
      <c r="AC125" s="3123">
        <f t="shared" si="38"/>
        <v>0</v>
      </c>
      <c r="AD125" s="3143"/>
      <c r="AE125" s="3143"/>
      <c r="AF125" s="3143"/>
      <c r="AG125" s="3143"/>
      <c r="AH125" s="3143"/>
      <c r="AI125" s="3143"/>
      <c r="AJ125" s="3143"/>
      <c r="AK125" s="3143"/>
      <c r="AL125" s="3143"/>
      <c r="AM125" s="3143"/>
      <c r="AN125" s="3143"/>
      <c r="AO125" s="3143"/>
      <c r="AP125" s="3143"/>
      <c r="AQ125" s="3143"/>
      <c r="AR125" s="3143"/>
      <c r="AS125" s="3143"/>
      <c r="AT125" s="3153"/>
      <c r="AU125" s="3154"/>
      <c r="AV125" s="270">
        <f t="shared" si="62"/>
        <v>0</v>
      </c>
      <c r="AW125" s="270">
        <f t="shared" si="63"/>
        <v>0</v>
      </c>
      <c r="AX125" s="270">
        <f t="shared" si="64"/>
        <v>0</v>
      </c>
      <c r="AY125" s="3168">
        <f t="shared" si="39"/>
        <v>0</v>
      </c>
      <c r="AZ125" s="3123">
        <f t="shared" si="40"/>
        <v>0</v>
      </c>
      <c r="BA125" s="3123">
        <f t="shared" si="41"/>
        <v>0</v>
      </c>
      <c r="BB125" s="3123">
        <f t="shared" si="42"/>
        <v>0</v>
      </c>
      <c r="BC125" s="3123">
        <f t="shared" si="43"/>
        <v>0</v>
      </c>
      <c r="BD125" s="3123">
        <f t="shared" si="44"/>
        <v>0</v>
      </c>
      <c r="BE125" s="3123">
        <f t="shared" si="45"/>
        <v>0</v>
      </c>
      <c r="BF125" s="3123">
        <f t="shared" si="46"/>
        <v>0</v>
      </c>
      <c r="BG125" s="3123">
        <f t="shared" si="47"/>
        <v>0</v>
      </c>
      <c r="BH125" s="3123">
        <f t="shared" si="48"/>
        <v>0</v>
      </c>
      <c r="BI125" s="3123">
        <f t="shared" si="49"/>
        <v>0</v>
      </c>
      <c r="BJ125" s="3123">
        <f t="shared" si="50"/>
        <v>0</v>
      </c>
      <c r="BK125" s="3123">
        <f t="shared" si="51"/>
        <v>0</v>
      </c>
      <c r="BL125" s="3123">
        <f t="shared" si="52"/>
        <v>0</v>
      </c>
      <c r="BM125" s="3123">
        <f t="shared" si="53"/>
        <v>0</v>
      </c>
      <c r="BN125" s="3123">
        <f t="shared" si="54"/>
        <v>0</v>
      </c>
      <c r="BO125" s="3123">
        <f t="shared" si="55"/>
        <v>0</v>
      </c>
      <c r="BP125" s="3123">
        <f t="shared" si="56"/>
        <v>0</v>
      </c>
      <c r="BQ125" s="3123">
        <f t="shared" si="57"/>
        <v>0</v>
      </c>
      <c r="BR125" s="3123">
        <f t="shared" si="58"/>
        <v>0</v>
      </c>
      <c r="BS125" s="3123">
        <f t="shared" si="59"/>
        <v>0</v>
      </c>
      <c r="BT125" s="3175">
        <f t="shared" si="60"/>
        <v>0</v>
      </c>
    </row>
    <row r="126" spans="1:72">
      <c r="A126" s="3120"/>
      <c r="B126" s="3121"/>
      <c r="C126" s="3121"/>
      <c r="D126" s="3122"/>
      <c r="E126" s="3123">
        <f t="shared" si="61"/>
        <v>0</v>
      </c>
      <c r="F126" s="3124"/>
      <c r="G126" s="3125">
        <f t="shared" si="36"/>
        <v>0</v>
      </c>
      <c r="H126" s="3126">
        <f t="shared" si="37"/>
        <v>0</v>
      </c>
      <c r="I126" s="3133"/>
      <c r="J126" s="3133"/>
      <c r="K126" s="3133"/>
      <c r="L126" s="3133"/>
      <c r="M126" s="3133"/>
      <c r="N126" s="3133"/>
      <c r="O126" s="3133"/>
      <c r="P126" s="3133"/>
      <c r="Q126" s="3133"/>
      <c r="R126" s="3133"/>
      <c r="S126" s="3133"/>
      <c r="T126" s="3133"/>
      <c r="U126" s="3133"/>
      <c r="V126" s="3133"/>
      <c r="W126" s="3133"/>
      <c r="X126" s="3133"/>
      <c r="Y126" s="3133"/>
      <c r="Z126" s="3133"/>
      <c r="AA126" s="3133"/>
      <c r="AB126" s="3133"/>
      <c r="AC126" s="3123">
        <f t="shared" si="38"/>
        <v>0</v>
      </c>
      <c r="AD126" s="3143"/>
      <c r="AE126" s="3143"/>
      <c r="AF126" s="3143"/>
      <c r="AG126" s="3143"/>
      <c r="AH126" s="3143"/>
      <c r="AI126" s="3143"/>
      <c r="AJ126" s="3143"/>
      <c r="AK126" s="3143"/>
      <c r="AL126" s="3143"/>
      <c r="AM126" s="3143"/>
      <c r="AN126" s="3143"/>
      <c r="AO126" s="3143"/>
      <c r="AP126" s="3143"/>
      <c r="AQ126" s="3143"/>
      <c r="AR126" s="3143"/>
      <c r="AS126" s="3143"/>
      <c r="AT126" s="3153"/>
      <c r="AU126" s="3154"/>
      <c r="AV126" s="270">
        <f t="shared" si="62"/>
        <v>0</v>
      </c>
      <c r="AW126" s="270">
        <f t="shared" si="63"/>
        <v>0</v>
      </c>
      <c r="AX126" s="270">
        <f t="shared" si="64"/>
        <v>0</v>
      </c>
      <c r="AY126" s="3168">
        <f t="shared" si="39"/>
        <v>0</v>
      </c>
      <c r="AZ126" s="3123">
        <f t="shared" si="40"/>
        <v>0</v>
      </c>
      <c r="BA126" s="3123">
        <f t="shared" si="41"/>
        <v>0</v>
      </c>
      <c r="BB126" s="3123">
        <f t="shared" si="42"/>
        <v>0</v>
      </c>
      <c r="BC126" s="3123">
        <f t="shared" si="43"/>
        <v>0</v>
      </c>
      <c r="BD126" s="3123">
        <f t="shared" si="44"/>
        <v>0</v>
      </c>
      <c r="BE126" s="3123">
        <f t="shared" si="45"/>
        <v>0</v>
      </c>
      <c r="BF126" s="3123">
        <f t="shared" si="46"/>
        <v>0</v>
      </c>
      <c r="BG126" s="3123">
        <f t="shared" si="47"/>
        <v>0</v>
      </c>
      <c r="BH126" s="3123">
        <f t="shared" si="48"/>
        <v>0</v>
      </c>
      <c r="BI126" s="3123">
        <f t="shared" si="49"/>
        <v>0</v>
      </c>
      <c r="BJ126" s="3123">
        <f t="shared" si="50"/>
        <v>0</v>
      </c>
      <c r="BK126" s="3123">
        <f t="shared" si="51"/>
        <v>0</v>
      </c>
      <c r="BL126" s="3123">
        <f t="shared" si="52"/>
        <v>0</v>
      </c>
      <c r="BM126" s="3123">
        <f t="shared" si="53"/>
        <v>0</v>
      </c>
      <c r="BN126" s="3123">
        <f t="shared" si="54"/>
        <v>0</v>
      </c>
      <c r="BO126" s="3123">
        <f t="shared" si="55"/>
        <v>0</v>
      </c>
      <c r="BP126" s="3123">
        <f t="shared" si="56"/>
        <v>0</v>
      </c>
      <c r="BQ126" s="3123">
        <f t="shared" si="57"/>
        <v>0</v>
      </c>
      <c r="BR126" s="3123">
        <f t="shared" si="58"/>
        <v>0</v>
      </c>
      <c r="BS126" s="3123">
        <f t="shared" si="59"/>
        <v>0</v>
      </c>
      <c r="BT126" s="3175">
        <f t="shared" si="60"/>
        <v>0</v>
      </c>
    </row>
    <row r="127" spans="1:72">
      <c r="A127" s="3120"/>
      <c r="B127" s="3121"/>
      <c r="C127" s="3121"/>
      <c r="D127" s="3122"/>
      <c r="E127" s="3123">
        <f t="shared" si="61"/>
        <v>0</v>
      </c>
      <c r="F127" s="3124"/>
      <c r="G127" s="3125">
        <f t="shared" si="36"/>
        <v>0</v>
      </c>
      <c r="H127" s="3126">
        <f t="shared" si="37"/>
        <v>0</v>
      </c>
      <c r="I127" s="3133"/>
      <c r="J127" s="3133"/>
      <c r="K127" s="3133"/>
      <c r="L127" s="3133"/>
      <c r="M127" s="3133"/>
      <c r="N127" s="3133"/>
      <c r="O127" s="3133"/>
      <c r="P127" s="3133"/>
      <c r="Q127" s="3133"/>
      <c r="R127" s="3133"/>
      <c r="S127" s="3133"/>
      <c r="T127" s="3133"/>
      <c r="U127" s="3133"/>
      <c r="V127" s="3133"/>
      <c r="W127" s="3133"/>
      <c r="X127" s="3133"/>
      <c r="Y127" s="3133"/>
      <c r="Z127" s="3133"/>
      <c r="AA127" s="3133"/>
      <c r="AB127" s="3133"/>
      <c r="AC127" s="3123">
        <f t="shared" si="38"/>
        <v>0</v>
      </c>
      <c r="AD127" s="3143"/>
      <c r="AE127" s="3143"/>
      <c r="AF127" s="3143"/>
      <c r="AG127" s="3143"/>
      <c r="AH127" s="3143"/>
      <c r="AI127" s="3143"/>
      <c r="AJ127" s="3143"/>
      <c r="AK127" s="3143"/>
      <c r="AL127" s="3143"/>
      <c r="AM127" s="3143"/>
      <c r="AN127" s="3143"/>
      <c r="AO127" s="3143"/>
      <c r="AP127" s="3143"/>
      <c r="AQ127" s="3143"/>
      <c r="AR127" s="3143"/>
      <c r="AS127" s="3143"/>
      <c r="AT127" s="3153"/>
      <c r="AU127" s="3154"/>
      <c r="AV127" s="270">
        <f t="shared" si="62"/>
        <v>0</v>
      </c>
      <c r="AW127" s="270">
        <f t="shared" si="63"/>
        <v>0</v>
      </c>
      <c r="AX127" s="270">
        <f t="shared" si="64"/>
        <v>0</v>
      </c>
      <c r="AY127" s="3168">
        <f t="shared" si="39"/>
        <v>0</v>
      </c>
      <c r="AZ127" s="3123">
        <f t="shared" si="40"/>
        <v>0</v>
      </c>
      <c r="BA127" s="3123">
        <f t="shared" si="41"/>
        <v>0</v>
      </c>
      <c r="BB127" s="3123">
        <f t="shared" si="42"/>
        <v>0</v>
      </c>
      <c r="BC127" s="3123">
        <f t="shared" si="43"/>
        <v>0</v>
      </c>
      <c r="BD127" s="3123">
        <f t="shared" si="44"/>
        <v>0</v>
      </c>
      <c r="BE127" s="3123">
        <f t="shared" si="45"/>
        <v>0</v>
      </c>
      <c r="BF127" s="3123">
        <f t="shared" si="46"/>
        <v>0</v>
      </c>
      <c r="BG127" s="3123">
        <f t="shared" si="47"/>
        <v>0</v>
      </c>
      <c r="BH127" s="3123">
        <f t="shared" si="48"/>
        <v>0</v>
      </c>
      <c r="BI127" s="3123">
        <f t="shared" si="49"/>
        <v>0</v>
      </c>
      <c r="BJ127" s="3123">
        <f t="shared" si="50"/>
        <v>0</v>
      </c>
      <c r="BK127" s="3123">
        <f t="shared" si="51"/>
        <v>0</v>
      </c>
      <c r="BL127" s="3123">
        <f t="shared" si="52"/>
        <v>0</v>
      </c>
      <c r="BM127" s="3123">
        <f t="shared" si="53"/>
        <v>0</v>
      </c>
      <c r="BN127" s="3123">
        <f t="shared" si="54"/>
        <v>0</v>
      </c>
      <c r="BO127" s="3123">
        <f t="shared" si="55"/>
        <v>0</v>
      </c>
      <c r="BP127" s="3123">
        <f t="shared" si="56"/>
        <v>0</v>
      </c>
      <c r="BQ127" s="3123">
        <f t="shared" si="57"/>
        <v>0</v>
      </c>
      <c r="BR127" s="3123">
        <f t="shared" si="58"/>
        <v>0</v>
      </c>
      <c r="BS127" s="3123">
        <f t="shared" si="59"/>
        <v>0</v>
      </c>
      <c r="BT127" s="3175">
        <f t="shared" si="60"/>
        <v>0</v>
      </c>
    </row>
    <row r="128" spans="1:72">
      <c r="A128" s="3120"/>
      <c r="B128" s="3121"/>
      <c r="C128" s="3121"/>
      <c r="D128" s="3122"/>
      <c r="E128" s="3123">
        <f t="shared" si="61"/>
        <v>0</v>
      </c>
      <c r="F128" s="3124"/>
      <c r="G128" s="3125">
        <f t="shared" si="36"/>
        <v>0</v>
      </c>
      <c r="H128" s="3126">
        <f t="shared" si="37"/>
        <v>0</v>
      </c>
      <c r="I128" s="3133"/>
      <c r="J128" s="3133"/>
      <c r="K128" s="3133"/>
      <c r="L128" s="3133"/>
      <c r="M128" s="3133"/>
      <c r="N128" s="3133"/>
      <c r="O128" s="3133"/>
      <c r="P128" s="3133"/>
      <c r="Q128" s="3133"/>
      <c r="R128" s="3133"/>
      <c r="S128" s="3133"/>
      <c r="T128" s="3133"/>
      <c r="U128" s="3133"/>
      <c r="V128" s="3133"/>
      <c r="W128" s="3133"/>
      <c r="X128" s="3133"/>
      <c r="Y128" s="3133"/>
      <c r="Z128" s="3133"/>
      <c r="AA128" s="3133"/>
      <c r="AB128" s="3133"/>
      <c r="AC128" s="3123">
        <f t="shared" si="38"/>
        <v>0</v>
      </c>
      <c r="AD128" s="3143"/>
      <c r="AE128" s="3143"/>
      <c r="AF128" s="3143"/>
      <c r="AG128" s="3143"/>
      <c r="AH128" s="3143"/>
      <c r="AI128" s="3143"/>
      <c r="AJ128" s="3143"/>
      <c r="AK128" s="3143"/>
      <c r="AL128" s="3143"/>
      <c r="AM128" s="3143"/>
      <c r="AN128" s="3143"/>
      <c r="AO128" s="3143"/>
      <c r="AP128" s="3143"/>
      <c r="AQ128" s="3143"/>
      <c r="AR128" s="3143"/>
      <c r="AS128" s="3143"/>
      <c r="AT128" s="3153"/>
      <c r="AU128" s="3154"/>
      <c r="AV128" s="270">
        <f t="shared" si="62"/>
        <v>0</v>
      </c>
      <c r="AW128" s="270">
        <f t="shared" si="63"/>
        <v>0</v>
      </c>
      <c r="AX128" s="270">
        <f t="shared" si="64"/>
        <v>0</v>
      </c>
      <c r="AY128" s="3168">
        <f t="shared" si="39"/>
        <v>0</v>
      </c>
      <c r="AZ128" s="3123">
        <f t="shared" si="40"/>
        <v>0</v>
      </c>
      <c r="BA128" s="3123">
        <f t="shared" si="41"/>
        <v>0</v>
      </c>
      <c r="BB128" s="3123">
        <f t="shared" si="42"/>
        <v>0</v>
      </c>
      <c r="BC128" s="3123">
        <f t="shared" si="43"/>
        <v>0</v>
      </c>
      <c r="BD128" s="3123">
        <f t="shared" si="44"/>
        <v>0</v>
      </c>
      <c r="BE128" s="3123">
        <f t="shared" si="45"/>
        <v>0</v>
      </c>
      <c r="BF128" s="3123">
        <f t="shared" si="46"/>
        <v>0</v>
      </c>
      <c r="BG128" s="3123">
        <f t="shared" si="47"/>
        <v>0</v>
      </c>
      <c r="BH128" s="3123">
        <f t="shared" si="48"/>
        <v>0</v>
      </c>
      <c r="BI128" s="3123">
        <f t="shared" si="49"/>
        <v>0</v>
      </c>
      <c r="BJ128" s="3123">
        <f t="shared" si="50"/>
        <v>0</v>
      </c>
      <c r="BK128" s="3123">
        <f t="shared" si="51"/>
        <v>0</v>
      </c>
      <c r="BL128" s="3123">
        <f t="shared" si="52"/>
        <v>0</v>
      </c>
      <c r="BM128" s="3123">
        <f t="shared" si="53"/>
        <v>0</v>
      </c>
      <c r="BN128" s="3123">
        <f t="shared" si="54"/>
        <v>0</v>
      </c>
      <c r="BO128" s="3123">
        <f t="shared" si="55"/>
        <v>0</v>
      </c>
      <c r="BP128" s="3123">
        <f t="shared" si="56"/>
        <v>0</v>
      </c>
      <c r="BQ128" s="3123">
        <f t="shared" si="57"/>
        <v>0</v>
      </c>
      <c r="BR128" s="3123">
        <f t="shared" si="58"/>
        <v>0</v>
      </c>
      <c r="BS128" s="3123">
        <f t="shared" si="59"/>
        <v>0</v>
      </c>
      <c r="BT128" s="3175">
        <f t="shared" si="60"/>
        <v>0</v>
      </c>
    </row>
    <row r="129" spans="1:72">
      <c r="A129" s="3120"/>
      <c r="B129" s="3121"/>
      <c r="C129" s="3121"/>
      <c r="D129" s="3122"/>
      <c r="E129" s="3123">
        <f t="shared" si="61"/>
        <v>0</v>
      </c>
      <c r="F129" s="3124"/>
      <c r="G129" s="3125">
        <f t="shared" si="36"/>
        <v>0</v>
      </c>
      <c r="H129" s="3126">
        <f t="shared" si="37"/>
        <v>0</v>
      </c>
      <c r="I129" s="3133"/>
      <c r="J129" s="3133"/>
      <c r="K129" s="3133"/>
      <c r="L129" s="3133"/>
      <c r="M129" s="3133"/>
      <c r="N129" s="3133"/>
      <c r="O129" s="3133"/>
      <c r="P129" s="3133"/>
      <c r="Q129" s="3133"/>
      <c r="R129" s="3133"/>
      <c r="S129" s="3133"/>
      <c r="T129" s="3133"/>
      <c r="U129" s="3133"/>
      <c r="V129" s="3133"/>
      <c r="W129" s="3133"/>
      <c r="X129" s="3133"/>
      <c r="Y129" s="3133"/>
      <c r="Z129" s="3133"/>
      <c r="AA129" s="3133"/>
      <c r="AB129" s="3133"/>
      <c r="AC129" s="3123">
        <f t="shared" si="38"/>
        <v>0</v>
      </c>
      <c r="AD129" s="3143"/>
      <c r="AE129" s="3143"/>
      <c r="AF129" s="3143"/>
      <c r="AG129" s="3143"/>
      <c r="AH129" s="3143"/>
      <c r="AI129" s="3143"/>
      <c r="AJ129" s="3143"/>
      <c r="AK129" s="3143"/>
      <c r="AL129" s="3143"/>
      <c r="AM129" s="3143"/>
      <c r="AN129" s="3143"/>
      <c r="AO129" s="3143"/>
      <c r="AP129" s="3143"/>
      <c r="AQ129" s="3143"/>
      <c r="AR129" s="3143"/>
      <c r="AS129" s="3143"/>
      <c r="AT129" s="3153"/>
      <c r="AU129" s="3154"/>
      <c r="AV129" s="270">
        <f t="shared" si="62"/>
        <v>0</v>
      </c>
      <c r="AW129" s="270">
        <f t="shared" si="63"/>
        <v>0</v>
      </c>
      <c r="AX129" s="270">
        <f t="shared" si="64"/>
        <v>0</v>
      </c>
      <c r="AY129" s="3168">
        <f t="shared" si="39"/>
        <v>0</v>
      </c>
      <c r="AZ129" s="3123">
        <f t="shared" si="40"/>
        <v>0</v>
      </c>
      <c r="BA129" s="3123">
        <f t="shared" si="41"/>
        <v>0</v>
      </c>
      <c r="BB129" s="3123">
        <f t="shared" si="42"/>
        <v>0</v>
      </c>
      <c r="BC129" s="3123">
        <f t="shared" si="43"/>
        <v>0</v>
      </c>
      <c r="BD129" s="3123">
        <f t="shared" si="44"/>
        <v>0</v>
      </c>
      <c r="BE129" s="3123">
        <f t="shared" si="45"/>
        <v>0</v>
      </c>
      <c r="BF129" s="3123">
        <f t="shared" si="46"/>
        <v>0</v>
      </c>
      <c r="BG129" s="3123">
        <f t="shared" si="47"/>
        <v>0</v>
      </c>
      <c r="BH129" s="3123">
        <f t="shared" si="48"/>
        <v>0</v>
      </c>
      <c r="BI129" s="3123">
        <f t="shared" si="49"/>
        <v>0</v>
      </c>
      <c r="BJ129" s="3123">
        <f t="shared" si="50"/>
        <v>0</v>
      </c>
      <c r="BK129" s="3123">
        <f t="shared" si="51"/>
        <v>0</v>
      </c>
      <c r="BL129" s="3123">
        <f t="shared" si="52"/>
        <v>0</v>
      </c>
      <c r="BM129" s="3123">
        <f t="shared" si="53"/>
        <v>0</v>
      </c>
      <c r="BN129" s="3123">
        <f t="shared" si="54"/>
        <v>0</v>
      </c>
      <c r="BO129" s="3123">
        <f t="shared" si="55"/>
        <v>0</v>
      </c>
      <c r="BP129" s="3123">
        <f t="shared" si="56"/>
        <v>0</v>
      </c>
      <c r="BQ129" s="3123">
        <f t="shared" si="57"/>
        <v>0</v>
      </c>
      <c r="BR129" s="3123">
        <f t="shared" si="58"/>
        <v>0</v>
      </c>
      <c r="BS129" s="3123">
        <f t="shared" si="59"/>
        <v>0</v>
      </c>
      <c r="BT129" s="3175">
        <f t="shared" si="60"/>
        <v>0</v>
      </c>
    </row>
    <row r="130" spans="1:72">
      <c r="A130" s="3120"/>
      <c r="B130" s="3121"/>
      <c r="C130" s="3121"/>
      <c r="D130" s="3122"/>
      <c r="E130" s="3123">
        <f t="shared" si="61"/>
        <v>0</v>
      </c>
      <c r="F130" s="3124"/>
      <c r="G130" s="3125">
        <f t="shared" si="36"/>
        <v>0</v>
      </c>
      <c r="H130" s="3126">
        <f t="shared" si="37"/>
        <v>0</v>
      </c>
      <c r="I130" s="3133"/>
      <c r="J130" s="3133"/>
      <c r="K130" s="3133"/>
      <c r="L130" s="3133"/>
      <c r="M130" s="3133"/>
      <c r="N130" s="3133"/>
      <c r="O130" s="3133"/>
      <c r="P130" s="3133"/>
      <c r="Q130" s="3133"/>
      <c r="R130" s="3133"/>
      <c r="S130" s="3133"/>
      <c r="T130" s="3133"/>
      <c r="U130" s="3133"/>
      <c r="V130" s="3133"/>
      <c r="W130" s="3133"/>
      <c r="X130" s="3133"/>
      <c r="Y130" s="3133"/>
      <c r="Z130" s="3133"/>
      <c r="AA130" s="3133"/>
      <c r="AB130" s="3133"/>
      <c r="AC130" s="3123">
        <f t="shared" si="38"/>
        <v>0</v>
      </c>
      <c r="AD130" s="3143"/>
      <c r="AE130" s="3143"/>
      <c r="AF130" s="3143"/>
      <c r="AG130" s="3143"/>
      <c r="AH130" s="3143"/>
      <c r="AI130" s="3143"/>
      <c r="AJ130" s="3143"/>
      <c r="AK130" s="3143"/>
      <c r="AL130" s="3143"/>
      <c r="AM130" s="3143"/>
      <c r="AN130" s="3143"/>
      <c r="AO130" s="3143"/>
      <c r="AP130" s="3143"/>
      <c r="AQ130" s="3143"/>
      <c r="AR130" s="3143"/>
      <c r="AS130" s="3143"/>
      <c r="AT130" s="3153"/>
      <c r="AU130" s="3154"/>
      <c r="AV130" s="270">
        <f t="shared" si="62"/>
        <v>0</v>
      </c>
      <c r="AW130" s="270">
        <f t="shared" si="63"/>
        <v>0</v>
      </c>
      <c r="AX130" s="270">
        <f t="shared" si="64"/>
        <v>0</v>
      </c>
      <c r="AY130" s="3168">
        <f t="shared" si="39"/>
        <v>0</v>
      </c>
      <c r="AZ130" s="3123">
        <f t="shared" si="40"/>
        <v>0</v>
      </c>
      <c r="BA130" s="3123">
        <f t="shared" si="41"/>
        <v>0</v>
      </c>
      <c r="BB130" s="3123">
        <f t="shared" si="42"/>
        <v>0</v>
      </c>
      <c r="BC130" s="3123">
        <f t="shared" si="43"/>
        <v>0</v>
      </c>
      <c r="BD130" s="3123">
        <f t="shared" si="44"/>
        <v>0</v>
      </c>
      <c r="BE130" s="3123">
        <f t="shared" si="45"/>
        <v>0</v>
      </c>
      <c r="BF130" s="3123">
        <f t="shared" si="46"/>
        <v>0</v>
      </c>
      <c r="BG130" s="3123">
        <f t="shared" si="47"/>
        <v>0</v>
      </c>
      <c r="BH130" s="3123">
        <f t="shared" si="48"/>
        <v>0</v>
      </c>
      <c r="BI130" s="3123">
        <f t="shared" si="49"/>
        <v>0</v>
      </c>
      <c r="BJ130" s="3123">
        <f t="shared" si="50"/>
        <v>0</v>
      </c>
      <c r="BK130" s="3123">
        <f t="shared" si="51"/>
        <v>0</v>
      </c>
      <c r="BL130" s="3123">
        <f t="shared" si="52"/>
        <v>0</v>
      </c>
      <c r="BM130" s="3123">
        <f t="shared" si="53"/>
        <v>0</v>
      </c>
      <c r="BN130" s="3123">
        <f t="shared" si="54"/>
        <v>0</v>
      </c>
      <c r="BO130" s="3123">
        <f t="shared" si="55"/>
        <v>0</v>
      </c>
      <c r="BP130" s="3123">
        <f t="shared" si="56"/>
        <v>0</v>
      </c>
      <c r="BQ130" s="3123">
        <f t="shared" si="57"/>
        <v>0</v>
      </c>
      <c r="BR130" s="3123">
        <f t="shared" si="58"/>
        <v>0</v>
      </c>
      <c r="BS130" s="3123">
        <f t="shared" si="59"/>
        <v>0</v>
      </c>
      <c r="BT130" s="3175">
        <f t="shared" si="60"/>
        <v>0</v>
      </c>
    </row>
    <row r="131" spans="1:72">
      <c r="A131" s="3120"/>
      <c r="B131" s="3121"/>
      <c r="C131" s="3121"/>
      <c r="D131" s="3122"/>
      <c r="E131" s="3123">
        <f t="shared" si="61"/>
        <v>0</v>
      </c>
      <c r="F131" s="3124"/>
      <c r="G131" s="3125">
        <f t="shared" si="36"/>
        <v>0</v>
      </c>
      <c r="H131" s="3126">
        <f t="shared" si="37"/>
        <v>0</v>
      </c>
      <c r="I131" s="3133"/>
      <c r="J131" s="3133"/>
      <c r="K131" s="3133"/>
      <c r="L131" s="3133"/>
      <c r="M131" s="3133"/>
      <c r="N131" s="3133"/>
      <c r="O131" s="3133"/>
      <c r="P131" s="3133"/>
      <c r="Q131" s="3133"/>
      <c r="R131" s="3133"/>
      <c r="S131" s="3133"/>
      <c r="T131" s="3133"/>
      <c r="U131" s="3133"/>
      <c r="V131" s="3133"/>
      <c r="W131" s="3133"/>
      <c r="X131" s="3133"/>
      <c r="Y131" s="3133"/>
      <c r="Z131" s="3133"/>
      <c r="AA131" s="3133"/>
      <c r="AB131" s="3133"/>
      <c r="AC131" s="3123">
        <f t="shared" si="38"/>
        <v>0</v>
      </c>
      <c r="AD131" s="3143"/>
      <c r="AE131" s="3143"/>
      <c r="AF131" s="3143"/>
      <c r="AG131" s="3143"/>
      <c r="AH131" s="3143"/>
      <c r="AI131" s="3143"/>
      <c r="AJ131" s="3143"/>
      <c r="AK131" s="3143"/>
      <c r="AL131" s="3143"/>
      <c r="AM131" s="3143"/>
      <c r="AN131" s="3143"/>
      <c r="AO131" s="3143"/>
      <c r="AP131" s="3143"/>
      <c r="AQ131" s="3143"/>
      <c r="AR131" s="3143"/>
      <c r="AS131" s="3143"/>
      <c r="AT131" s="3153"/>
      <c r="AU131" s="3154"/>
      <c r="AV131" s="270">
        <f t="shared" si="62"/>
        <v>0</v>
      </c>
      <c r="AW131" s="270">
        <f t="shared" si="63"/>
        <v>0</v>
      </c>
      <c r="AX131" s="270">
        <f t="shared" si="64"/>
        <v>0</v>
      </c>
      <c r="AY131" s="3168">
        <f t="shared" si="39"/>
        <v>0</v>
      </c>
      <c r="AZ131" s="3123">
        <f t="shared" si="40"/>
        <v>0</v>
      </c>
      <c r="BA131" s="3123">
        <f t="shared" si="41"/>
        <v>0</v>
      </c>
      <c r="BB131" s="3123">
        <f t="shared" si="42"/>
        <v>0</v>
      </c>
      <c r="BC131" s="3123">
        <f t="shared" si="43"/>
        <v>0</v>
      </c>
      <c r="BD131" s="3123">
        <f t="shared" si="44"/>
        <v>0</v>
      </c>
      <c r="BE131" s="3123">
        <f t="shared" si="45"/>
        <v>0</v>
      </c>
      <c r="BF131" s="3123">
        <f t="shared" si="46"/>
        <v>0</v>
      </c>
      <c r="BG131" s="3123">
        <f t="shared" si="47"/>
        <v>0</v>
      </c>
      <c r="BH131" s="3123">
        <f t="shared" si="48"/>
        <v>0</v>
      </c>
      <c r="BI131" s="3123">
        <f t="shared" si="49"/>
        <v>0</v>
      </c>
      <c r="BJ131" s="3123">
        <f t="shared" si="50"/>
        <v>0</v>
      </c>
      <c r="BK131" s="3123">
        <f t="shared" si="51"/>
        <v>0</v>
      </c>
      <c r="BL131" s="3123">
        <f t="shared" si="52"/>
        <v>0</v>
      </c>
      <c r="BM131" s="3123">
        <f t="shared" si="53"/>
        <v>0</v>
      </c>
      <c r="BN131" s="3123">
        <f t="shared" si="54"/>
        <v>0</v>
      </c>
      <c r="BO131" s="3123">
        <f t="shared" si="55"/>
        <v>0</v>
      </c>
      <c r="BP131" s="3123">
        <f t="shared" si="56"/>
        <v>0</v>
      </c>
      <c r="BQ131" s="3123">
        <f t="shared" si="57"/>
        <v>0</v>
      </c>
      <c r="BR131" s="3123">
        <f t="shared" si="58"/>
        <v>0</v>
      </c>
      <c r="BS131" s="3123">
        <f t="shared" si="59"/>
        <v>0</v>
      </c>
      <c r="BT131" s="3175">
        <f t="shared" si="60"/>
        <v>0</v>
      </c>
    </row>
    <row r="132" spans="1:72">
      <c r="A132" s="3120"/>
      <c r="B132" s="3121"/>
      <c r="C132" s="3121"/>
      <c r="D132" s="3122"/>
      <c r="E132" s="3123">
        <f t="shared" si="61"/>
        <v>0</v>
      </c>
      <c r="F132" s="3124"/>
      <c r="G132" s="3125">
        <f t="shared" si="36"/>
        <v>0</v>
      </c>
      <c r="H132" s="3126">
        <f t="shared" si="37"/>
        <v>0</v>
      </c>
      <c r="I132" s="3133"/>
      <c r="J132" s="3133"/>
      <c r="K132" s="3133"/>
      <c r="L132" s="3133"/>
      <c r="M132" s="3133"/>
      <c r="N132" s="3133"/>
      <c r="O132" s="3133"/>
      <c r="P132" s="3133"/>
      <c r="Q132" s="3133"/>
      <c r="R132" s="3133"/>
      <c r="S132" s="3133"/>
      <c r="T132" s="3133"/>
      <c r="U132" s="3133"/>
      <c r="V132" s="3133"/>
      <c r="W132" s="3133"/>
      <c r="X132" s="3133"/>
      <c r="Y132" s="3133"/>
      <c r="Z132" s="3133"/>
      <c r="AA132" s="3133"/>
      <c r="AB132" s="3133"/>
      <c r="AC132" s="3123">
        <f t="shared" si="38"/>
        <v>0</v>
      </c>
      <c r="AD132" s="3143"/>
      <c r="AE132" s="3143"/>
      <c r="AF132" s="3143"/>
      <c r="AG132" s="3143"/>
      <c r="AH132" s="3143"/>
      <c r="AI132" s="3143"/>
      <c r="AJ132" s="3143"/>
      <c r="AK132" s="3143"/>
      <c r="AL132" s="3143"/>
      <c r="AM132" s="3143"/>
      <c r="AN132" s="3143"/>
      <c r="AO132" s="3143"/>
      <c r="AP132" s="3143"/>
      <c r="AQ132" s="3143"/>
      <c r="AR132" s="3143"/>
      <c r="AS132" s="3143"/>
      <c r="AT132" s="3153"/>
      <c r="AU132" s="3154"/>
      <c r="AV132" s="270">
        <f t="shared" si="62"/>
        <v>0</v>
      </c>
      <c r="AW132" s="270">
        <f t="shared" si="63"/>
        <v>0</v>
      </c>
      <c r="AX132" s="270">
        <f t="shared" si="64"/>
        <v>0</v>
      </c>
      <c r="AY132" s="3168">
        <f t="shared" si="39"/>
        <v>0</v>
      </c>
      <c r="AZ132" s="3123">
        <f t="shared" si="40"/>
        <v>0</v>
      </c>
      <c r="BA132" s="3123">
        <f t="shared" si="41"/>
        <v>0</v>
      </c>
      <c r="BB132" s="3123">
        <f t="shared" si="42"/>
        <v>0</v>
      </c>
      <c r="BC132" s="3123">
        <f t="shared" si="43"/>
        <v>0</v>
      </c>
      <c r="BD132" s="3123">
        <f t="shared" si="44"/>
        <v>0</v>
      </c>
      <c r="BE132" s="3123">
        <f t="shared" si="45"/>
        <v>0</v>
      </c>
      <c r="BF132" s="3123">
        <f t="shared" si="46"/>
        <v>0</v>
      </c>
      <c r="BG132" s="3123">
        <f t="shared" si="47"/>
        <v>0</v>
      </c>
      <c r="BH132" s="3123">
        <f t="shared" si="48"/>
        <v>0</v>
      </c>
      <c r="BI132" s="3123">
        <f t="shared" si="49"/>
        <v>0</v>
      </c>
      <c r="BJ132" s="3123">
        <f t="shared" si="50"/>
        <v>0</v>
      </c>
      <c r="BK132" s="3123">
        <f t="shared" si="51"/>
        <v>0</v>
      </c>
      <c r="BL132" s="3123">
        <f t="shared" si="52"/>
        <v>0</v>
      </c>
      <c r="BM132" s="3123">
        <f t="shared" si="53"/>
        <v>0</v>
      </c>
      <c r="BN132" s="3123">
        <f t="shared" si="54"/>
        <v>0</v>
      </c>
      <c r="BO132" s="3123">
        <f t="shared" si="55"/>
        <v>0</v>
      </c>
      <c r="BP132" s="3123">
        <f t="shared" si="56"/>
        <v>0</v>
      </c>
      <c r="BQ132" s="3123">
        <f t="shared" si="57"/>
        <v>0</v>
      </c>
      <c r="BR132" s="3123">
        <f t="shared" si="58"/>
        <v>0</v>
      </c>
      <c r="BS132" s="3123">
        <f t="shared" si="59"/>
        <v>0</v>
      </c>
      <c r="BT132" s="3175">
        <f t="shared" si="60"/>
        <v>0</v>
      </c>
    </row>
    <row r="133" spans="1:72">
      <c r="A133" s="3120"/>
      <c r="B133" s="3121"/>
      <c r="C133" s="3121"/>
      <c r="D133" s="3122"/>
      <c r="E133" s="3123">
        <f t="shared" si="61"/>
        <v>0</v>
      </c>
      <c r="F133" s="3124"/>
      <c r="G133" s="3125">
        <f t="shared" si="36"/>
        <v>0</v>
      </c>
      <c r="H133" s="3126">
        <f t="shared" si="37"/>
        <v>0</v>
      </c>
      <c r="I133" s="3133"/>
      <c r="J133" s="3133"/>
      <c r="K133" s="3133"/>
      <c r="L133" s="3133"/>
      <c r="M133" s="3133"/>
      <c r="N133" s="3133"/>
      <c r="O133" s="3133"/>
      <c r="P133" s="3133"/>
      <c r="Q133" s="3133"/>
      <c r="R133" s="3133"/>
      <c r="S133" s="3133"/>
      <c r="T133" s="3133"/>
      <c r="U133" s="3133"/>
      <c r="V133" s="3133"/>
      <c r="W133" s="3133"/>
      <c r="X133" s="3133"/>
      <c r="Y133" s="3133"/>
      <c r="Z133" s="3133"/>
      <c r="AA133" s="3133"/>
      <c r="AB133" s="3133"/>
      <c r="AC133" s="3123">
        <f t="shared" si="38"/>
        <v>0</v>
      </c>
      <c r="AD133" s="3143"/>
      <c r="AE133" s="3143"/>
      <c r="AF133" s="3143"/>
      <c r="AG133" s="3143"/>
      <c r="AH133" s="3143"/>
      <c r="AI133" s="3143"/>
      <c r="AJ133" s="3143"/>
      <c r="AK133" s="3143"/>
      <c r="AL133" s="3143"/>
      <c r="AM133" s="3143"/>
      <c r="AN133" s="3143"/>
      <c r="AO133" s="3143"/>
      <c r="AP133" s="3143"/>
      <c r="AQ133" s="3143"/>
      <c r="AR133" s="3143"/>
      <c r="AS133" s="3143"/>
      <c r="AT133" s="3153"/>
      <c r="AU133" s="3154"/>
      <c r="AV133" s="270">
        <f t="shared" si="62"/>
        <v>0</v>
      </c>
      <c r="AW133" s="270">
        <f t="shared" si="63"/>
        <v>0</v>
      </c>
      <c r="AX133" s="270">
        <f t="shared" si="64"/>
        <v>0</v>
      </c>
      <c r="AY133" s="3168">
        <f t="shared" si="39"/>
        <v>0</v>
      </c>
      <c r="AZ133" s="3123">
        <f t="shared" si="40"/>
        <v>0</v>
      </c>
      <c r="BA133" s="3123">
        <f t="shared" si="41"/>
        <v>0</v>
      </c>
      <c r="BB133" s="3123">
        <f t="shared" si="42"/>
        <v>0</v>
      </c>
      <c r="BC133" s="3123">
        <f t="shared" si="43"/>
        <v>0</v>
      </c>
      <c r="BD133" s="3123">
        <f t="shared" si="44"/>
        <v>0</v>
      </c>
      <c r="BE133" s="3123">
        <f t="shared" si="45"/>
        <v>0</v>
      </c>
      <c r="BF133" s="3123">
        <f t="shared" si="46"/>
        <v>0</v>
      </c>
      <c r="BG133" s="3123">
        <f t="shared" si="47"/>
        <v>0</v>
      </c>
      <c r="BH133" s="3123">
        <f t="shared" si="48"/>
        <v>0</v>
      </c>
      <c r="BI133" s="3123">
        <f t="shared" si="49"/>
        <v>0</v>
      </c>
      <c r="BJ133" s="3123">
        <f t="shared" si="50"/>
        <v>0</v>
      </c>
      <c r="BK133" s="3123">
        <f t="shared" si="51"/>
        <v>0</v>
      </c>
      <c r="BL133" s="3123">
        <f t="shared" si="52"/>
        <v>0</v>
      </c>
      <c r="BM133" s="3123">
        <f t="shared" si="53"/>
        <v>0</v>
      </c>
      <c r="BN133" s="3123">
        <f t="shared" si="54"/>
        <v>0</v>
      </c>
      <c r="BO133" s="3123">
        <f t="shared" si="55"/>
        <v>0</v>
      </c>
      <c r="BP133" s="3123">
        <f t="shared" si="56"/>
        <v>0</v>
      </c>
      <c r="BQ133" s="3123">
        <f t="shared" si="57"/>
        <v>0</v>
      </c>
      <c r="BR133" s="3123">
        <f t="shared" si="58"/>
        <v>0</v>
      </c>
      <c r="BS133" s="3123">
        <f t="shared" si="59"/>
        <v>0</v>
      </c>
      <c r="BT133" s="3175">
        <f t="shared" si="60"/>
        <v>0</v>
      </c>
    </row>
    <row r="134" spans="1:72">
      <c r="A134" s="3120"/>
      <c r="B134" s="3121"/>
      <c r="C134" s="3121"/>
      <c r="D134" s="3122"/>
      <c r="E134" s="3123">
        <f t="shared" si="61"/>
        <v>0</v>
      </c>
      <c r="F134" s="3124"/>
      <c r="G134" s="3125">
        <f t="shared" si="36"/>
        <v>0</v>
      </c>
      <c r="H134" s="3126">
        <f t="shared" si="37"/>
        <v>0</v>
      </c>
      <c r="I134" s="3133"/>
      <c r="J134" s="3133"/>
      <c r="K134" s="3133"/>
      <c r="L134" s="3133"/>
      <c r="M134" s="3133"/>
      <c r="N134" s="3133"/>
      <c r="O134" s="3133"/>
      <c r="P134" s="3133"/>
      <c r="Q134" s="3133"/>
      <c r="R134" s="3133"/>
      <c r="S134" s="3133"/>
      <c r="T134" s="3133"/>
      <c r="U134" s="3133"/>
      <c r="V134" s="3133"/>
      <c r="W134" s="3133"/>
      <c r="X134" s="3133"/>
      <c r="Y134" s="3133"/>
      <c r="Z134" s="3133"/>
      <c r="AA134" s="3133"/>
      <c r="AB134" s="3133"/>
      <c r="AC134" s="3123">
        <f t="shared" si="38"/>
        <v>0</v>
      </c>
      <c r="AD134" s="3143"/>
      <c r="AE134" s="3143"/>
      <c r="AF134" s="3143"/>
      <c r="AG134" s="3143"/>
      <c r="AH134" s="3143"/>
      <c r="AI134" s="3143"/>
      <c r="AJ134" s="3143"/>
      <c r="AK134" s="3143"/>
      <c r="AL134" s="3143"/>
      <c r="AM134" s="3143"/>
      <c r="AN134" s="3143"/>
      <c r="AO134" s="3143"/>
      <c r="AP134" s="3143"/>
      <c r="AQ134" s="3143"/>
      <c r="AR134" s="3143"/>
      <c r="AS134" s="3143"/>
      <c r="AT134" s="3153"/>
      <c r="AU134" s="3154"/>
      <c r="AV134" s="270">
        <f t="shared" si="62"/>
        <v>0</v>
      </c>
      <c r="AW134" s="270">
        <f t="shared" si="63"/>
        <v>0</v>
      </c>
      <c r="AX134" s="270">
        <f t="shared" si="64"/>
        <v>0</v>
      </c>
      <c r="AY134" s="3168">
        <f t="shared" si="39"/>
        <v>0</v>
      </c>
      <c r="AZ134" s="3123">
        <f t="shared" si="40"/>
        <v>0</v>
      </c>
      <c r="BA134" s="3123">
        <f t="shared" si="41"/>
        <v>0</v>
      </c>
      <c r="BB134" s="3123">
        <f t="shared" si="42"/>
        <v>0</v>
      </c>
      <c r="BC134" s="3123">
        <f t="shared" si="43"/>
        <v>0</v>
      </c>
      <c r="BD134" s="3123">
        <f t="shared" si="44"/>
        <v>0</v>
      </c>
      <c r="BE134" s="3123">
        <f t="shared" si="45"/>
        <v>0</v>
      </c>
      <c r="BF134" s="3123">
        <f t="shared" si="46"/>
        <v>0</v>
      </c>
      <c r="BG134" s="3123">
        <f t="shared" si="47"/>
        <v>0</v>
      </c>
      <c r="BH134" s="3123">
        <f t="shared" si="48"/>
        <v>0</v>
      </c>
      <c r="BI134" s="3123">
        <f t="shared" si="49"/>
        <v>0</v>
      </c>
      <c r="BJ134" s="3123">
        <f t="shared" si="50"/>
        <v>0</v>
      </c>
      <c r="BK134" s="3123">
        <f t="shared" si="51"/>
        <v>0</v>
      </c>
      <c r="BL134" s="3123">
        <f t="shared" si="52"/>
        <v>0</v>
      </c>
      <c r="BM134" s="3123">
        <f t="shared" si="53"/>
        <v>0</v>
      </c>
      <c r="BN134" s="3123">
        <f t="shared" si="54"/>
        <v>0</v>
      </c>
      <c r="BO134" s="3123">
        <f t="shared" si="55"/>
        <v>0</v>
      </c>
      <c r="BP134" s="3123">
        <f t="shared" si="56"/>
        <v>0</v>
      </c>
      <c r="BQ134" s="3123">
        <f t="shared" si="57"/>
        <v>0</v>
      </c>
      <c r="BR134" s="3123">
        <f t="shared" si="58"/>
        <v>0</v>
      </c>
      <c r="BS134" s="3123">
        <f t="shared" si="59"/>
        <v>0</v>
      </c>
      <c r="BT134" s="3175">
        <f t="shared" si="60"/>
        <v>0</v>
      </c>
    </row>
    <row r="135" spans="1:72">
      <c r="A135" s="3120"/>
      <c r="B135" s="3121"/>
      <c r="C135" s="3121"/>
      <c r="D135" s="3122"/>
      <c r="E135" s="3123">
        <f t="shared" si="61"/>
        <v>0</v>
      </c>
      <c r="F135" s="3124"/>
      <c r="G135" s="3125">
        <f t="shared" si="36"/>
        <v>0</v>
      </c>
      <c r="H135" s="3126">
        <f t="shared" si="37"/>
        <v>0</v>
      </c>
      <c r="I135" s="3133"/>
      <c r="J135" s="3133"/>
      <c r="K135" s="3133"/>
      <c r="L135" s="3133"/>
      <c r="M135" s="3133"/>
      <c r="N135" s="3133"/>
      <c r="O135" s="3133"/>
      <c r="P135" s="3133"/>
      <c r="Q135" s="3133"/>
      <c r="R135" s="3133"/>
      <c r="S135" s="3133"/>
      <c r="T135" s="3133"/>
      <c r="U135" s="3133"/>
      <c r="V135" s="3133"/>
      <c r="W135" s="3133"/>
      <c r="X135" s="3133"/>
      <c r="Y135" s="3133"/>
      <c r="Z135" s="3133"/>
      <c r="AA135" s="3133"/>
      <c r="AB135" s="3133"/>
      <c r="AC135" s="3123">
        <f t="shared" si="38"/>
        <v>0</v>
      </c>
      <c r="AD135" s="3143"/>
      <c r="AE135" s="3143"/>
      <c r="AF135" s="3143"/>
      <c r="AG135" s="3143"/>
      <c r="AH135" s="3143"/>
      <c r="AI135" s="3143"/>
      <c r="AJ135" s="3143"/>
      <c r="AK135" s="3143"/>
      <c r="AL135" s="3143"/>
      <c r="AM135" s="3143"/>
      <c r="AN135" s="3143"/>
      <c r="AO135" s="3143"/>
      <c r="AP135" s="3143"/>
      <c r="AQ135" s="3143"/>
      <c r="AR135" s="3143"/>
      <c r="AS135" s="3143"/>
      <c r="AT135" s="3153"/>
      <c r="AU135" s="3154"/>
      <c r="AV135" s="270">
        <f t="shared" si="62"/>
        <v>0</v>
      </c>
      <c r="AW135" s="270">
        <f t="shared" si="63"/>
        <v>0</v>
      </c>
      <c r="AX135" s="270">
        <f t="shared" si="64"/>
        <v>0</v>
      </c>
      <c r="AY135" s="3168">
        <f t="shared" si="39"/>
        <v>0</v>
      </c>
      <c r="AZ135" s="3123">
        <f t="shared" si="40"/>
        <v>0</v>
      </c>
      <c r="BA135" s="3123">
        <f t="shared" si="41"/>
        <v>0</v>
      </c>
      <c r="BB135" s="3123">
        <f t="shared" si="42"/>
        <v>0</v>
      </c>
      <c r="BC135" s="3123">
        <f t="shared" si="43"/>
        <v>0</v>
      </c>
      <c r="BD135" s="3123">
        <f t="shared" si="44"/>
        <v>0</v>
      </c>
      <c r="BE135" s="3123">
        <f t="shared" si="45"/>
        <v>0</v>
      </c>
      <c r="BF135" s="3123">
        <f t="shared" si="46"/>
        <v>0</v>
      </c>
      <c r="BG135" s="3123">
        <f t="shared" si="47"/>
        <v>0</v>
      </c>
      <c r="BH135" s="3123">
        <f t="shared" si="48"/>
        <v>0</v>
      </c>
      <c r="BI135" s="3123">
        <f t="shared" si="49"/>
        <v>0</v>
      </c>
      <c r="BJ135" s="3123">
        <f t="shared" si="50"/>
        <v>0</v>
      </c>
      <c r="BK135" s="3123">
        <f t="shared" si="51"/>
        <v>0</v>
      </c>
      <c r="BL135" s="3123">
        <f t="shared" si="52"/>
        <v>0</v>
      </c>
      <c r="BM135" s="3123">
        <f t="shared" si="53"/>
        <v>0</v>
      </c>
      <c r="BN135" s="3123">
        <f t="shared" si="54"/>
        <v>0</v>
      </c>
      <c r="BO135" s="3123">
        <f t="shared" si="55"/>
        <v>0</v>
      </c>
      <c r="BP135" s="3123">
        <f t="shared" si="56"/>
        <v>0</v>
      </c>
      <c r="BQ135" s="3123">
        <f t="shared" si="57"/>
        <v>0</v>
      </c>
      <c r="BR135" s="3123">
        <f t="shared" si="58"/>
        <v>0</v>
      </c>
      <c r="BS135" s="3123">
        <f t="shared" si="59"/>
        <v>0</v>
      </c>
      <c r="BT135" s="3175">
        <f t="shared" si="60"/>
        <v>0</v>
      </c>
    </row>
    <row r="136" spans="1:72">
      <c r="A136" s="3120"/>
      <c r="B136" s="3121"/>
      <c r="C136" s="3121"/>
      <c r="D136" s="3122"/>
      <c r="E136" s="3123">
        <f t="shared" si="61"/>
        <v>0</v>
      </c>
      <c r="F136" s="3124"/>
      <c r="G136" s="3125">
        <f t="shared" si="36"/>
        <v>0</v>
      </c>
      <c r="H136" s="3126">
        <f t="shared" si="37"/>
        <v>0</v>
      </c>
      <c r="I136" s="3133"/>
      <c r="J136" s="3133"/>
      <c r="K136" s="3133"/>
      <c r="L136" s="3133"/>
      <c r="M136" s="3133"/>
      <c r="N136" s="3133"/>
      <c r="O136" s="3133"/>
      <c r="P136" s="3133"/>
      <c r="Q136" s="3133"/>
      <c r="R136" s="3133"/>
      <c r="S136" s="3133"/>
      <c r="T136" s="3133"/>
      <c r="U136" s="3133"/>
      <c r="V136" s="3133"/>
      <c r="W136" s="3133"/>
      <c r="X136" s="3133"/>
      <c r="Y136" s="3133"/>
      <c r="Z136" s="3133"/>
      <c r="AA136" s="3133"/>
      <c r="AB136" s="3133"/>
      <c r="AC136" s="3123">
        <f t="shared" si="38"/>
        <v>0</v>
      </c>
      <c r="AD136" s="3143"/>
      <c r="AE136" s="3143"/>
      <c r="AF136" s="3143"/>
      <c r="AG136" s="3143"/>
      <c r="AH136" s="3143"/>
      <c r="AI136" s="3143"/>
      <c r="AJ136" s="3143"/>
      <c r="AK136" s="3143"/>
      <c r="AL136" s="3143"/>
      <c r="AM136" s="3143"/>
      <c r="AN136" s="3143"/>
      <c r="AO136" s="3143"/>
      <c r="AP136" s="3143"/>
      <c r="AQ136" s="3143"/>
      <c r="AR136" s="3143"/>
      <c r="AS136" s="3143"/>
      <c r="AT136" s="3153"/>
      <c r="AU136" s="3154"/>
      <c r="AV136" s="270">
        <f t="shared" si="62"/>
        <v>0</v>
      </c>
      <c r="AW136" s="270">
        <f t="shared" si="63"/>
        <v>0</v>
      </c>
      <c r="AX136" s="270">
        <f t="shared" si="64"/>
        <v>0</v>
      </c>
      <c r="AY136" s="3168">
        <f t="shared" si="39"/>
        <v>0</v>
      </c>
      <c r="AZ136" s="3123">
        <f t="shared" si="40"/>
        <v>0</v>
      </c>
      <c r="BA136" s="3123">
        <f t="shared" si="41"/>
        <v>0</v>
      </c>
      <c r="BB136" s="3123">
        <f t="shared" si="42"/>
        <v>0</v>
      </c>
      <c r="BC136" s="3123">
        <f t="shared" si="43"/>
        <v>0</v>
      </c>
      <c r="BD136" s="3123">
        <f t="shared" si="44"/>
        <v>0</v>
      </c>
      <c r="BE136" s="3123">
        <f t="shared" si="45"/>
        <v>0</v>
      </c>
      <c r="BF136" s="3123">
        <f t="shared" si="46"/>
        <v>0</v>
      </c>
      <c r="BG136" s="3123">
        <f t="shared" si="47"/>
        <v>0</v>
      </c>
      <c r="BH136" s="3123">
        <f t="shared" si="48"/>
        <v>0</v>
      </c>
      <c r="BI136" s="3123">
        <f t="shared" si="49"/>
        <v>0</v>
      </c>
      <c r="BJ136" s="3123">
        <f t="shared" si="50"/>
        <v>0</v>
      </c>
      <c r="BK136" s="3123">
        <f t="shared" si="51"/>
        <v>0</v>
      </c>
      <c r="BL136" s="3123">
        <f t="shared" si="52"/>
        <v>0</v>
      </c>
      <c r="BM136" s="3123">
        <f t="shared" si="53"/>
        <v>0</v>
      </c>
      <c r="BN136" s="3123">
        <f t="shared" si="54"/>
        <v>0</v>
      </c>
      <c r="BO136" s="3123">
        <f t="shared" si="55"/>
        <v>0</v>
      </c>
      <c r="BP136" s="3123">
        <f t="shared" si="56"/>
        <v>0</v>
      </c>
      <c r="BQ136" s="3123">
        <f t="shared" si="57"/>
        <v>0</v>
      </c>
      <c r="BR136" s="3123">
        <f t="shared" si="58"/>
        <v>0</v>
      </c>
      <c r="BS136" s="3123">
        <f t="shared" si="59"/>
        <v>0</v>
      </c>
      <c r="BT136" s="3175">
        <f t="shared" si="60"/>
        <v>0</v>
      </c>
    </row>
    <row r="137" spans="1:72">
      <c r="A137" s="3120"/>
      <c r="B137" s="3121"/>
      <c r="C137" s="3121"/>
      <c r="D137" s="3122"/>
      <c r="E137" s="3123">
        <f t="shared" si="61"/>
        <v>0</v>
      </c>
      <c r="F137" s="3124"/>
      <c r="G137" s="3125">
        <f t="shared" si="36"/>
        <v>0</v>
      </c>
      <c r="H137" s="3126">
        <f t="shared" si="37"/>
        <v>0</v>
      </c>
      <c r="I137" s="3133"/>
      <c r="J137" s="3133"/>
      <c r="K137" s="3133"/>
      <c r="L137" s="3133"/>
      <c r="M137" s="3133"/>
      <c r="N137" s="3133"/>
      <c r="O137" s="3133"/>
      <c r="P137" s="3133"/>
      <c r="Q137" s="3133"/>
      <c r="R137" s="3133"/>
      <c r="S137" s="3133"/>
      <c r="T137" s="3133"/>
      <c r="U137" s="3133"/>
      <c r="V137" s="3133"/>
      <c r="W137" s="3133"/>
      <c r="X137" s="3133"/>
      <c r="Y137" s="3133"/>
      <c r="Z137" s="3133"/>
      <c r="AA137" s="3133"/>
      <c r="AB137" s="3133"/>
      <c r="AC137" s="3123">
        <f t="shared" si="38"/>
        <v>0</v>
      </c>
      <c r="AD137" s="3143"/>
      <c r="AE137" s="3143"/>
      <c r="AF137" s="3143"/>
      <c r="AG137" s="3143"/>
      <c r="AH137" s="3143"/>
      <c r="AI137" s="3143"/>
      <c r="AJ137" s="3143"/>
      <c r="AK137" s="3143"/>
      <c r="AL137" s="3143"/>
      <c r="AM137" s="3143"/>
      <c r="AN137" s="3143"/>
      <c r="AO137" s="3143"/>
      <c r="AP137" s="3143"/>
      <c r="AQ137" s="3143"/>
      <c r="AR137" s="3143"/>
      <c r="AS137" s="3143"/>
      <c r="AT137" s="3153"/>
      <c r="AU137" s="3154"/>
      <c r="AV137" s="270">
        <f t="shared" si="62"/>
        <v>0</v>
      </c>
      <c r="AW137" s="270">
        <f t="shared" si="63"/>
        <v>0</v>
      </c>
      <c r="AX137" s="270">
        <f t="shared" si="64"/>
        <v>0</v>
      </c>
      <c r="AY137" s="3168">
        <f t="shared" si="39"/>
        <v>0</v>
      </c>
      <c r="AZ137" s="3123">
        <f t="shared" si="40"/>
        <v>0</v>
      </c>
      <c r="BA137" s="3123">
        <f t="shared" si="41"/>
        <v>0</v>
      </c>
      <c r="BB137" s="3123">
        <f t="shared" si="42"/>
        <v>0</v>
      </c>
      <c r="BC137" s="3123">
        <f t="shared" si="43"/>
        <v>0</v>
      </c>
      <c r="BD137" s="3123">
        <f t="shared" si="44"/>
        <v>0</v>
      </c>
      <c r="BE137" s="3123">
        <f t="shared" si="45"/>
        <v>0</v>
      </c>
      <c r="BF137" s="3123">
        <f t="shared" si="46"/>
        <v>0</v>
      </c>
      <c r="BG137" s="3123">
        <f t="shared" si="47"/>
        <v>0</v>
      </c>
      <c r="BH137" s="3123">
        <f t="shared" si="48"/>
        <v>0</v>
      </c>
      <c r="BI137" s="3123">
        <f t="shared" si="49"/>
        <v>0</v>
      </c>
      <c r="BJ137" s="3123">
        <f t="shared" si="50"/>
        <v>0</v>
      </c>
      <c r="BK137" s="3123">
        <f t="shared" si="51"/>
        <v>0</v>
      </c>
      <c r="BL137" s="3123">
        <f t="shared" si="52"/>
        <v>0</v>
      </c>
      <c r="BM137" s="3123">
        <f t="shared" si="53"/>
        <v>0</v>
      </c>
      <c r="BN137" s="3123">
        <f t="shared" si="54"/>
        <v>0</v>
      </c>
      <c r="BO137" s="3123">
        <f t="shared" si="55"/>
        <v>0</v>
      </c>
      <c r="BP137" s="3123">
        <f t="shared" si="56"/>
        <v>0</v>
      </c>
      <c r="BQ137" s="3123">
        <f t="shared" si="57"/>
        <v>0</v>
      </c>
      <c r="BR137" s="3123">
        <f t="shared" si="58"/>
        <v>0</v>
      </c>
      <c r="BS137" s="3123">
        <f t="shared" si="59"/>
        <v>0</v>
      </c>
      <c r="BT137" s="3175">
        <f t="shared" si="60"/>
        <v>0</v>
      </c>
    </row>
    <row r="138" spans="1:72">
      <c r="A138" s="3120"/>
      <c r="B138" s="3121"/>
      <c r="C138" s="3121"/>
      <c r="D138" s="3122"/>
      <c r="E138" s="3123">
        <f t="shared" si="61"/>
        <v>0</v>
      </c>
      <c r="F138" s="3124"/>
      <c r="G138" s="3125">
        <f t="shared" si="36"/>
        <v>0</v>
      </c>
      <c r="H138" s="3126">
        <f t="shared" si="37"/>
        <v>0</v>
      </c>
      <c r="I138" s="3133"/>
      <c r="J138" s="3133"/>
      <c r="K138" s="3133"/>
      <c r="L138" s="3133"/>
      <c r="M138" s="3133"/>
      <c r="N138" s="3133"/>
      <c r="O138" s="3133"/>
      <c r="P138" s="3133"/>
      <c r="Q138" s="3133"/>
      <c r="R138" s="3133"/>
      <c r="S138" s="3133"/>
      <c r="T138" s="3133"/>
      <c r="U138" s="3133"/>
      <c r="V138" s="3133"/>
      <c r="W138" s="3133"/>
      <c r="X138" s="3133"/>
      <c r="Y138" s="3133"/>
      <c r="Z138" s="3133"/>
      <c r="AA138" s="3133"/>
      <c r="AB138" s="3133"/>
      <c r="AC138" s="3123">
        <f t="shared" si="38"/>
        <v>0</v>
      </c>
      <c r="AD138" s="3143"/>
      <c r="AE138" s="3143"/>
      <c r="AF138" s="3143"/>
      <c r="AG138" s="3143"/>
      <c r="AH138" s="3143"/>
      <c r="AI138" s="3143"/>
      <c r="AJ138" s="3143"/>
      <c r="AK138" s="3143"/>
      <c r="AL138" s="3143"/>
      <c r="AM138" s="3143"/>
      <c r="AN138" s="3143"/>
      <c r="AO138" s="3143"/>
      <c r="AP138" s="3143"/>
      <c r="AQ138" s="3143"/>
      <c r="AR138" s="3143"/>
      <c r="AS138" s="3143"/>
      <c r="AT138" s="3153"/>
      <c r="AU138" s="3154"/>
      <c r="AV138" s="270">
        <f t="shared" si="62"/>
        <v>0</v>
      </c>
      <c r="AW138" s="270">
        <f t="shared" si="63"/>
        <v>0</v>
      </c>
      <c r="AX138" s="270">
        <f t="shared" si="64"/>
        <v>0</v>
      </c>
      <c r="AY138" s="3168">
        <f t="shared" si="39"/>
        <v>0</v>
      </c>
      <c r="AZ138" s="3123">
        <f t="shared" si="40"/>
        <v>0</v>
      </c>
      <c r="BA138" s="3123">
        <f t="shared" si="41"/>
        <v>0</v>
      </c>
      <c r="BB138" s="3123">
        <f t="shared" si="42"/>
        <v>0</v>
      </c>
      <c r="BC138" s="3123">
        <f t="shared" si="43"/>
        <v>0</v>
      </c>
      <c r="BD138" s="3123">
        <f t="shared" si="44"/>
        <v>0</v>
      </c>
      <c r="BE138" s="3123">
        <f t="shared" si="45"/>
        <v>0</v>
      </c>
      <c r="BF138" s="3123">
        <f t="shared" si="46"/>
        <v>0</v>
      </c>
      <c r="BG138" s="3123">
        <f t="shared" si="47"/>
        <v>0</v>
      </c>
      <c r="BH138" s="3123">
        <f t="shared" si="48"/>
        <v>0</v>
      </c>
      <c r="BI138" s="3123">
        <f t="shared" si="49"/>
        <v>0</v>
      </c>
      <c r="BJ138" s="3123">
        <f t="shared" si="50"/>
        <v>0</v>
      </c>
      <c r="BK138" s="3123">
        <f t="shared" si="51"/>
        <v>0</v>
      </c>
      <c r="BL138" s="3123">
        <f t="shared" si="52"/>
        <v>0</v>
      </c>
      <c r="BM138" s="3123">
        <f t="shared" si="53"/>
        <v>0</v>
      </c>
      <c r="BN138" s="3123">
        <f t="shared" si="54"/>
        <v>0</v>
      </c>
      <c r="BO138" s="3123">
        <f t="shared" si="55"/>
        <v>0</v>
      </c>
      <c r="BP138" s="3123">
        <f t="shared" si="56"/>
        <v>0</v>
      </c>
      <c r="BQ138" s="3123">
        <f t="shared" si="57"/>
        <v>0</v>
      </c>
      <c r="BR138" s="3123">
        <f t="shared" si="58"/>
        <v>0</v>
      </c>
      <c r="BS138" s="3123">
        <f t="shared" si="59"/>
        <v>0</v>
      </c>
      <c r="BT138" s="3175">
        <f t="shared" si="60"/>
        <v>0</v>
      </c>
    </row>
    <row r="139" spans="1:72">
      <c r="A139" s="3120"/>
      <c r="B139" s="3121"/>
      <c r="C139" s="3121"/>
      <c r="D139" s="3122"/>
      <c r="E139" s="3123">
        <f t="shared" si="61"/>
        <v>0</v>
      </c>
      <c r="F139" s="3124"/>
      <c r="G139" s="3125">
        <f t="shared" si="36"/>
        <v>0</v>
      </c>
      <c r="H139" s="3126">
        <f t="shared" si="37"/>
        <v>0</v>
      </c>
      <c r="I139" s="3133"/>
      <c r="J139" s="3133"/>
      <c r="K139" s="3133"/>
      <c r="L139" s="3133"/>
      <c r="M139" s="3133"/>
      <c r="N139" s="3133"/>
      <c r="O139" s="3133"/>
      <c r="P139" s="3133"/>
      <c r="Q139" s="3133"/>
      <c r="R139" s="3133"/>
      <c r="S139" s="3133"/>
      <c r="T139" s="3133"/>
      <c r="U139" s="3133"/>
      <c r="V139" s="3133"/>
      <c r="W139" s="3133"/>
      <c r="X139" s="3133"/>
      <c r="Y139" s="3133"/>
      <c r="Z139" s="3133"/>
      <c r="AA139" s="3133"/>
      <c r="AB139" s="3133"/>
      <c r="AC139" s="3123">
        <f t="shared" si="38"/>
        <v>0</v>
      </c>
      <c r="AD139" s="3143"/>
      <c r="AE139" s="3143"/>
      <c r="AF139" s="3143"/>
      <c r="AG139" s="3143"/>
      <c r="AH139" s="3143"/>
      <c r="AI139" s="3143"/>
      <c r="AJ139" s="3143"/>
      <c r="AK139" s="3143"/>
      <c r="AL139" s="3143"/>
      <c r="AM139" s="3143"/>
      <c r="AN139" s="3143"/>
      <c r="AO139" s="3143"/>
      <c r="AP139" s="3143"/>
      <c r="AQ139" s="3143"/>
      <c r="AR139" s="3143"/>
      <c r="AS139" s="3143"/>
      <c r="AT139" s="3153"/>
      <c r="AU139" s="3154"/>
      <c r="AV139" s="270">
        <f t="shared" si="62"/>
        <v>0</v>
      </c>
      <c r="AW139" s="270">
        <f t="shared" si="63"/>
        <v>0</v>
      </c>
      <c r="AX139" s="270">
        <f t="shared" si="64"/>
        <v>0</v>
      </c>
      <c r="AY139" s="3168">
        <f t="shared" si="39"/>
        <v>0</v>
      </c>
      <c r="AZ139" s="3123">
        <f t="shared" si="40"/>
        <v>0</v>
      </c>
      <c r="BA139" s="3123">
        <f t="shared" si="41"/>
        <v>0</v>
      </c>
      <c r="BB139" s="3123">
        <f t="shared" si="42"/>
        <v>0</v>
      </c>
      <c r="BC139" s="3123">
        <f t="shared" si="43"/>
        <v>0</v>
      </c>
      <c r="BD139" s="3123">
        <f t="shared" si="44"/>
        <v>0</v>
      </c>
      <c r="BE139" s="3123">
        <f t="shared" si="45"/>
        <v>0</v>
      </c>
      <c r="BF139" s="3123">
        <f t="shared" si="46"/>
        <v>0</v>
      </c>
      <c r="BG139" s="3123">
        <f t="shared" si="47"/>
        <v>0</v>
      </c>
      <c r="BH139" s="3123">
        <f t="shared" si="48"/>
        <v>0</v>
      </c>
      <c r="BI139" s="3123">
        <f t="shared" si="49"/>
        <v>0</v>
      </c>
      <c r="BJ139" s="3123">
        <f t="shared" si="50"/>
        <v>0</v>
      </c>
      <c r="BK139" s="3123">
        <f t="shared" si="51"/>
        <v>0</v>
      </c>
      <c r="BL139" s="3123">
        <f t="shared" si="52"/>
        <v>0</v>
      </c>
      <c r="BM139" s="3123">
        <f t="shared" si="53"/>
        <v>0</v>
      </c>
      <c r="BN139" s="3123">
        <f t="shared" si="54"/>
        <v>0</v>
      </c>
      <c r="BO139" s="3123">
        <f t="shared" si="55"/>
        <v>0</v>
      </c>
      <c r="BP139" s="3123">
        <f t="shared" si="56"/>
        <v>0</v>
      </c>
      <c r="BQ139" s="3123">
        <f t="shared" si="57"/>
        <v>0</v>
      </c>
      <c r="BR139" s="3123">
        <f t="shared" si="58"/>
        <v>0</v>
      </c>
      <c r="BS139" s="3123">
        <f t="shared" si="59"/>
        <v>0</v>
      </c>
      <c r="BT139" s="3175">
        <f t="shared" si="60"/>
        <v>0</v>
      </c>
    </row>
    <row r="140" spans="1:72">
      <c r="A140" s="3120"/>
      <c r="B140" s="3121"/>
      <c r="C140" s="3121"/>
      <c r="D140" s="3122"/>
      <c r="E140" s="3123">
        <f t="shared" si="61"/>
        <v>0</v>
      </c>
      <c r="F140" s="3124"/>
      <c r="G140" s="3125">
        <f t="shared" si="36"/>
        <v>0</v>
      </c>
      <c r="H140" s="3126">
        <f t="shared" si="37"/>
        <v>0</v>
      </c>
      <c r="I140" s="3133"/>
      <c r="J140" s="3133"/>
      <c r="K140" s="3133"/>
      <c r="L140" s="3133"/>
      <c r="M140" s="3133"/>
      <c r="N140" s="3133"/>
      <c r="O140" s="3133"/>
      <c r="P140" s="3133"/>
      <c r="Q140" s="3133"/>
      <c r="R140" s="3133"/>
      <c r="S140" s="3133"/>
      <c r="T140" s="3133"/>
      <c r="U140" s="3133"/>
      <c r="V140" s="3133"/>
      <c r="W140" s="3133"/>
      <c r="X140" s="3133"/>
      <c r="Y140" s="3133"/>
      <c r="Z140" s="3133"/>
      <c r="AA140" s="3133"/>
      <c r="AB140" s="3133"/>
      <c r="AC140" s="3123">
        <f t="shared" si="38"/>
        <v>0</v>
      </c>
      <c r="AD140" s="3143"/>
      <c r="AE140" s="3143"/>
      <c r="AF140" s="3143"/>
      <c r="AG140" s="3143"/>
      <c r="AH140" s="3143"/>
      <c r="AI140" s="3143"/>
      <c r="AJ140" s="3143"/>
      <c r="AK140" s="3143"/>
      <c r="AL140" s="3143"/>
      <c r="AM140" s="3143"/>
      <c r="AN140" s="3143"/>
      <c r="AO140" s="3143"/>
      <c r="AP140" s="3143"/>
      <c r="AQ140" s="3143"/>
      <c r="AR140" s="3143"/>
      <c r="AS140" s="3143"/>
      <c r="AT140" s="3153"/>
      <c r="AU140" s="3154"/>
      <c r="AV140" s="270">
        <f t="shared" si="62"/>
        <v>0</v>
      </c>
      <c r="AW140" s="270">
        <f t="shared" si="63"/>
        <v>0</v>
      </c>
      <c r="AX140" s="270">
        <f t="shared" si="64"/>
        <v>0</v>
      </c>
      <c r="AY140" s="3168">
        <f t="shared" si="39"/>
        <v>0</v>
      </c>
      <c r="AZ140" s="3123">
        <f t="shared" si="40"/>
        <v>0</v>
      </c>
      <c r="BA140" s="3123">
        <f t="shared" si="41"/>
        <v>0</v>
      </c>
      <c r="BB140" s="3123">
        <f t="shared" si="42"/>
        <v>0</v>
      </c>
      <c r="BC140" s="3123">
        <f t="shared" si="43"/>
        <v>0</v>
      </c>
      <c r="BD140" s="3123">
        <f t="shared" si="44"/>
        <v>0</v>
      </c>
      <c r="BE140" s="3123">
        <f t="shared" si="45"/>
        <v>0</v>
      </c>
      <c r="BF140" s="3123">
        <f t="shared" si="46"/>
        <v>0</v>
      </c>
      <c r="BG140" s="3123">
        <f t="shared" si="47"/>
        <v>0</v>
      </c>
      <c r="BH140" s="3123">
        <f t="shared" si="48"/>
        <v>0</v>
      </c>
      <c r="BI140" s="3123">
        <f t="shared" si="49"/>
        <v>0</v>
      </c>
      <c r="BJ140" s="3123">
        <f t="shared" si="50"/>
        <v>0</v>
      </c>
      <c r="BK140" s="3123">
        <f t="shared" si="51"/>
        <v>0</v>
      </c>
      <c r="BL140" s="3123">
        <f t="shared" si="52"/>
        <v>0</v>
      </c>
      <c r="BM140" s="3123">
        <f t="shared" si="53"/>
        <v>0</v>
      </c>
      <c r="BN140" s="3123">
        <f t="shared" si="54"/>
        <v>0</v>
      </c>
      <c r="BO140" s="3123">
        <f t="shared" si="55"/>
        <v>0</v>
      </c>
      <c r="BP140" s="3123">
        <f t="shared" si="56"/>
        <v>0</v>
      </c>
      <c r="BQ140" s="3123">
        <f t="shared" si="57"/>
        <v>0</v>
      </c>
      <c r="BR140" s="3123">
        <f t="shared" si="58"/>
        <v>0</v>
      </c>
      <c r="BS140" s="3123">
        <f t="shared" si="59"/>
        <v>0</v>
      </c>
      <c r="BT140" s="3175">
        <f t="shared" si="60"/>
        <v>0</v>
      </c>
    </row>
    <row r="141" spans="1:72">
      <c r="A141" s="3120"/>
      <c r="B141" s="3121"/>
      <c r="C141" s="3121"/>
      <c r="D141" s="3122"/>
      <c r="E141" s="3123">
        <f t="shared" si="61"/>
        <v>0</v>
      </c>
      <c r="F141" s="3124"/>
      <c r="G141" s="3125">
        <f t="shared" si="36"/>
        <v>0</v>
      </c>
      <c r="H141" s="3126">
        <f t="shared" si="37"/>
        <v>0</v>
      </c>
      <c r="I141" s="3133"/>
      <c r="J141" s="3133"/>
      <c r="K141" s="3133"/>
      <c r="L141" s="3133"/>
      <c r="M141" s="3133"/>
      <c r="N141" s="3133"/>
      <c r="O141" s="3133"/>
      <c r="P141" s="3133"/>
      <c r="Q141" s="3133"/>
      <c r="R141" s="3133"/>
      <c r="S141" s="3133"/>
      <c r="T141" s="3133"/>
      <c r="U141" s="3133"/>
      <c r="V141" s="3133"/>
      <c r="W141" s="3133"/>
      <c r="X141" s="3133"/>
      <c r="Y141" s="3133"/>
      <c r="Z141" s="3133"/>
      <c r="AA141" s="3133"/>
      <c r="AB141" s="3133"/>
      <c r="AC141" s="3123">
        <f t="shared" si="38"/>
        <v>0</v>
      </c>
      <c r="AD141" s="3143"/>
      <c r="AE141" s="3143"/>
      <c r="AF141" s="3143"/>
      <c r="AG141" s="3143"/>
      <c r="AH141" s="3143"/>
      <c r="AI141" s="3143"/>
      <c r="AJ141" s="3143"/>
      <c r="AK141" s="3143"/>
      <c r="AL141" s="3143"/>
      <c r="AM141" s="3143"/>
      <c r="AN141" s="3143"/>
      <c r="AO141" s="3143"/>
      <c r="AP141" s="3143"/>
      <c r="AQ141" s="3143"/>
      <c r="AR141" s="3143"/>
      <c r="AS141" s="3143"/>
      <c r="AT141" s="3153"/>
      <c r="AU141" s="3154"/>
      <c r="AV141" s="270">
        <f t="shared" si="62"/>
        <v>0</v>
      </c>
      <c r="AW141" s="270">
        <f t="shared" si="63"/>
        <v>0</v>
      </c>
      <c r="AX141" s="270">
        <f t="shared" si="64"/>
        <v>0</v>
      </c>
      <c r="AY141" s="3168">
        <f t="shared" si="39"/>
        <v>0</v>
      </c>
      <c r="AZ141" s="3123">
        <f t="shared" si="40"/>
        <v>0</v>
      </c>
      <c r="BA141" s="3123">
        <f t="shared" si="41"/>
        <v>0</v>
      </c>
      <c r="BB141" s="3123">
        <f t="shared" si="42"/>
        <v>0</v>
      </c>
      <c r="BC141" s="3123">
        <f t="shared" si="43"/>
        <v>0</v>
      </c>
      <c r="BD141" s="3123">
        <f t="shared" si="44"/>
        <v>0</v>
      </c>
      <c r="BE141" s="3123">
        <f t="shared" si="45"/>
        <v>0</v>
      </c>
      <c r="BF141" s="3123">
        <f t="shared" si="46"/>
        <v>0</v>
      </c>
      <c r="BG141" s="3123">
        <f t="shared" si="47"/>
        <v>0</v>
      </c>
      <c r="BH141" s="3123">
        <f t="shared" si="48"/>
        <v>0</v>
      </c>
      <c r="BI141" s="3123">
        <f t="shared" si="49"/>
        <v>0</v>
      </c>
      <c r="BJ141" s="3123">
        <f t="shared" si="50"/>
        <v>0</v>
      </c>
      <c r="BK141" s="3123">
        <f t="shared" si="51"/>
        <v>0</v>
      </c>
      <c r="BL141" s="3123">
        <f t="shared" si="52"/>
        <v>0</v>
      </c>
      <c r="BM141" s="3123">
        <f t="shared" si="53"/>
        <v>0</v>
      </c>
      <c r="BN141" s="3123">
        <f t="shared" si="54"/>
        <v>0</v>
      </c>
      <c r="BO141" s="3123">
        <f t="shared" si="55"/>
        <v>0</v>
      </c>
      <c r="BP141" s="3123">
        <f t="shared" si="56"/>
        <v>0</v>
      </c>
      <c r="BQ141" s="3123">
        <f t="shared" si="57"/>
        <v>0</v>
      </c>
      <c r="BR141" s="3123">
        <f t="shared" si="58"/>
        <v>0</v>
      </c>
      <c r="BS141" s="3123">
        <f t="shared" si="59"/>
        <v>0</v>
      </c>
      <c r="BT141" s="3175">
        <f t="shared" si="60"/>
        <v>0</v>
      </c>
    </row>
    <row r="142" spans="1:72">
      <c r="A142" s="3120"/>
      <c r="B142" s="3121"/>
      <c r="C142" s="3121"/>
      <c r="D142" s="3122"/>
      <c r="E142" s="3123">
        <f t="shared" si="61"/>
        <v>0</v>
      </c>
      <c r="F142" s="3124"/>
      <c r="G142" s="3125">
        <f t="shared" ref="G142:G173" si="65">H142+AC142+AT142</f>
        <v>0</v>
      </c>
      <c r="H142" s="3126">
        <f t="shared" ref="H142:H173" si="66">SUMIF(I$12:AB$12,"总值",I142:AB142)</f>
        <v>0</v>
      </c>
      <c r="I142" s="3133"/>
      <c r="J142" s="3133"/>
      <c r="K142" s="3133"/>
      <c r="L142" s="3133"/>
      <c r="M142" s="3133"/>
      <c r="N142" s="3133"/>
      <c r="O142" s="3133"/>
      <c r="P142" s="3133"/>
      <c r="Q142" s="3133"/>
      <c r="R142" s="3133"/>
      <c r="S142" s="3133"/>
      <c r="T142" s="3133"/>
      <c r="U142" s="3133"/>
      <c r="V142" s="3133"/>
      <c r="W142" s="3133"/>
      <c r="X142" s="3133"/>
      <c r="Y142" s="3133"/>
      <c r="Z142" s="3133"/>
      <c r="AA142" s="3133"/>
      <c r="AB142" s="3133"/>
      <c r="AC142" s="3123">
        <f t="shared" ref="AC142:AC173" si="67">SUMIF(AD$12:AS$12,"总值",AD142:AS142)</f>
        <v>0</v>
      </c>
      <c r="AD142" s="3143"/>
      <c r="AE142" s="3143"/>
      <c r="AF142" s="3143"/>
      <c r="AG142" s="3143"/>
      <c r="AH142" s="3143"/>
      <c r="AI142" s="3143"/>
      <c r="AJ142" s="3143"/>
      <c r="AK142" s="3143"/>
      <c r="AL142" s="3143"/>
      <c r="AM142" s="3143"/>
      <c r="AN142" s="3143"/>
      <c r="AO142" s="3143"/>
      <c r="AP142" s="3143"/>
      <c r="AQ142" s="3143"/>
      <c r="AR142" s="3143"/>
      <c r="AS142" s="3143"/>
      <c r="AT142" s="3153"/>
      <c r="AU142" s="3154"/>
      <c r="AV142" s="270">
        <f t="shared" si="62"/>
        <v>0</v>
      </c>
      <c r="AW142" s="270">
        <f t="shared" si="63"/>
        <v>0</v>
      </c>
      <c r="AX142" s="270">
        <f t="shared" si="64"/>
        <v>0</v>
      </c>
      <c r="AY142" s="3168">
        <f t="shared" ref="AY142:AY173" si="68">ROUND($AY$6*AZ142/$AZ$5,2)</f>
        <v>0</v>
      </c>
      <c r="AZ142" s="3123">
        <f t="shared" ref="AZ142:AZ173" si="69">BA142+BL142</f>
        <v>0</v>
      </c>
      <c r="BA142" s="3123">
        <f t="shared" ref="BA142:BA173" si="70">SUM(BB142:BK142)</f>
        <v>0</v>
      </c>
      <c r="BB142" s="3123">
        <f t="shared" ref="BB142:BB173" si="71">IF($D142="是",I142-J142,0)</f>
        <v>0</v>
      </c>
      <c r="BC142" s="3123">
        <f t="shared" ref="BC142:BC173" si="72">IF($D142="是",K142-L142,0)</f>
        <v>0</v>
      </c>
      <c r="BD142" s="3123">
        <f t="shared" ref="BD142:BD173" si="73">IF($D142="是",M142-N142,0)</f>
        <v>0</v>
      </c>
      <c r="BE142" s="3123">
        <f t="shared" ref="BE142:BE173" si="74">IF($D142="是",O142-P142,0)</f>
        <v>0</v>
      </c>
      <c r="BF142" s="3123">
        <f t="shared" ref="BF142:BF173" si="75">IF($D142="是",Q142-R142,0)</f>
        <v>0</v>
      </c>
      <c r="BG142" s="3123">
        <f t="shared" ref="BG142:BG173" si="76">IF($D142="是",S142-T142,0)</f>
        <v>0</v>
      </c>
      <c r="BH142" s="3123">
        <f t="shared" ref="BH142:BH173" si="77">IF($D142="是",U142-V142,0)</f>
        <v>0</v>
      </c>
      <c r="BI142" s="3123">
        <f t="shared" ref="BI142:BI173" si="78">IF($D142="是",W142-X142,0)</f>
        <v>0</v>
      </c>
      <c r="BJ142" s="3123">
        <f t="shared" ref="BJ142:BJ173" si="79">IF($D142="是",Y142-Z142,0)</f>
        <v>0</v>
      </c>
      <c r="BK142" s="3123">
        <f t="shared" ref="BK142:BK173" si="80">IF($D142="是",AA142-AB142,0)</f>
        <v>0</v>
      </c>
      <c r="BL142" s="3123">
        <f t="shared" ref="BL142:BL173" si="81">SUM(BM142:BT142)</f>
        <v>0</v>
      </c>
      <c r="BM142" s="3123">
        <f t="shared" ref="BM142:BM173" si="82">IF($D142="是",AD142-AE142,0)</f>
        <v>0</v>
      </c>
      <c r="BN142" s="3123">
        <f t="shared" ref="BN142:BN173" si="83">IF($D142="是",AF142-AG142,0)</f>
        <v>0</v>
      </c>
      <c r="BO142" s="3123">
        <f t="shared" ref="BO142:BO173" si="84">IF($D142="是",AH142-AI142,0)</f>
        <v>0</v>
      </c>
      <c r="BP142" s="3123">
        <f t="shared" ref="BP142:BP173" si="85">IF($D142="是",AJ142-AK142,0)</f>
        <v>0</v>
      </c>
      <c r="BQ142" s="3123">
        <f t="shared" ref="BQ142:BQ173" si="86">IF($D142="是",AL142-AM142,0)</f>
        <v>0</v>
      </c>
      <c r="BR142" s="3123">
        <f t="shared" ref="BR142:BR173" si="87">IF($D142="是",AN142-AO142,0)</f>
        <v>0</v>
      </c>
      <c r="BS142" s="3123">
        <f t="shared" ref="BS142:BS173" si="88">IF($D142="是",AP142-AQ142,0)</f>
        <v>0</v>
      </c>
      <c r="BT142" s="3175">
        <f t="shared" ref="BT142:BT173" si="89">IF($D142="是",AR142-AS142,0)</f>
        <v>0</v>
      </c>
    </row>
    <row r="143" spans="1:72">
      <c r="A143" s="3120"/>
      <c r="B143" s="3121"/>
      <c r="C143" s="3121"/>
      <c r="D143" s="3122"/>
      <c r="E143" s="3123">
        <f t="shared" si="61"/>
        <v>0</v>
      </c>
      <c r="F143" s="3124"/>
      <c r="G143" s="3125">
        <f t="shared" si="65"/>
        <v>0</v>
      </c>
      <c r="H143" s="3126">
        <f t="shared" si="66"/>
        <v>0</v>
      </c>
      <c r="I143" s="3133"/>
      <c r="J143" s="3133"/>
      <c r="K143" s="3133"/>
      <c r="L143" s="3133"/>
      <c r="M143" s="3133"/>
      <c r="N143" s="3133"/>
      <c r="O143" s="3133"/>
      <c r="P143" s="3133"/>
      <c r="Q143" s="3133"/>
      <c r="R143" s="3133"/>
      <c r="S143" s="3133"/>
      <c r="T143" s="3133"/>
      <c r="U143" s="3133"/>
      <c r="V143" s="3133"/>
      <c r="W143" s="3133"/>
      <c r="X143" s="3133"/>
      <c r="Y143" s="3133"/>
      <c r="Z143" s="3133"/>
      <c r="AA143" s="3133"/>
      <c r="AB143" s="3133"/>
      <c r="AC143" s="3123">
        <f t="shared" si="67"/>
        <v>0</v>
      </c>
      <c r="AD143" s="3143"/>
      <c r="AE143" s="3143"/>
      <c r="AF143" s="3143"/>
      <c r="AG143" s="3143"/>
      <c r="AH143" s="3143"/>
      <c r="AI143" s="3143"/>
      <c r="AJ143" s="3143"/>
      <c r="AK143" s="3143"/>
      <c r="AL143" s="3143"/>
      <c r="AM143" s="3143"/>
      <c r="AN143" s="3143"/>
      <c r="AO143" s="3143"/>
      <c r="AP143" s="3143"/>
      <c r="AQ143" s="3143"/>
      <c r="AR143" s="3143"/>
      <c r="AS143" s="3143"/>
      <c r="AT143" s="3153"/>
      <c r="AU143" s="3154"/>
      <c r="AV143" s="270">
        <f t="shared" si="62"/>
        <v>0</v>
      </c>
      <c r="AW143" s="270">
        <f t="shared" si="63"/>
        <v>0</v>
      </c>
      <c r="AX143" s="270">
        <f t="shared" si="64"/>
        <v>0</v>
      </c>
      <c r="AY143" s="3168">
        <f t="shared" si="68"/>
        <v>0</v>
      </c>
      <c r="AZ143" s="3123">
        <f t="shared" si="69"/>
        <v>0</v>
      </c>
      <c r="BA143" s="3123">
        <f t="shared" si="70"/>
        <v>0</v>
      </c>
      <c r="BB143" s="3123">
        <f t="shared" si="71"/>
        <v>0</v>
      </c>
      <c r="BC143" s="3123">
        <f t="shared" si="72"/>
        <v>0</v>
      </c>
      <c r="BD143" s="3123">
        <f t="shared" si="73"/>
        <v>0</v>
      </c>
      <c r="BE143" s="3123">
        <f t="shared" si="74"/>
        <v>0</v>
      </c>
      <c r="BF143" s="3123">
        <f t="shared" si="75"/>
        <v>0</v>
      </c>
      <c r="BG143" s="3123">
        <f t="shared" si="76"/>
        <v>0</v>
      </c>
      <c r="BH143" s="3123">
        <f t="shared" si="77"/>
        <v>0</v>
      </c>
      <c r="BI143" s="3123">
        <f t="shared" si="78"/>
        <v>0</v>
      </c>
      <c r="BJ143" s="3123">
        <f t="shared" si="79"/>
        <v>0</v>
      </c>
      <c r="BK143" s="3123">
        <f t="shared" si="80"/>
        <v>0</v>
      </c>
      <c r="BL143" s="3123">
        <f t="shared" si="81"/>
        <v>0</v>
      </c>
      <c r="BM143" s="3123">
        <f t="shared" si="82"/>
        <v>0</v>
      </c>
      <c r="BN143" s="3123">
        <f t="shared" si="83"/>
        <v>0</v>
      </c>
      <c r="BO143" s="3123">
        <f t="shared" si="84"/>
        <v>0</v>
      </c>
      <c r="BP143" s="3123">
        <f t="shared" si="85"/>
        <v>0</v>
      </c>
      <c r="BQ143" s="3123">
        <f t="shared" si="86"/>
        <v>0</v>
      </c>
      <c r="BR143" s="3123">
        <f t="shared" si="87"/>
        <v>0</v>
      </c>
      <c r="BS143" s="3123">
        <f t="shared" si="88"/>
        <v>0</v>
      </c>
      <c r="BT143" s="3175">
        <f t="shared" si="89"/>
        <v>0</v>
      </c>
    </row>
    <row r="144" spans="1:72">
      <c r="A144" s="3120"/>
      <c r="B144" s="3121"/>
      <c r="C144" s="3121"/>
      <c r="D144" s="3122"/>
      <c r="E144" s="3123">
        <f t="shared" si="61"/>
        <v>0</v>
      </c>
      <c r="F144" s="3124"/>
      <c r="G144" s="3125">
        <f t="shared" si="65"/>
        <v>0</v>
      </c>
      <c r="H144" s="3126">
        <f t="shared" si="66"/>
        <v>0</v>
      </c>
      <c r="I144" s="3133"/>
      <c r="J144" s="3133"/>
      <c r="K144" s="3133"/>
      <c r="L144" s="3133"/>
      <c r="M144" s="3133"/>
      <c r="N144" s="3133"/>
      <c r="O144" s="3133"/>
      <c r="P144" s="3133"/>
      <c r="Q144" s="3133"/>
      <c r="R144" s="3133"/>
      <c r="S144" s="3133"/>
      <c r="T144" s="3133"/>
      <c r="U144" s="3133"/>
      <c r="V144" s="3133"/>
      <c r="W144" s="3133"/>
      <c r="X144" s="3133"/>
      <c r="Y144" s="3133"/>
      <c r="Z144" s="3133"/>
      <c r="AA144" s="3133"/>
      <c r="AB144" s="3133"/>
      <c r="AC144" s="3123">
        <f t="shared" si="67"/>
        <v>0</v>
      </c>
      <c r="AD144" s="3143"/>
      <c r="AE144" s="3143"/>
      <c r="AF144" s="3143"/>
      <c r="AG144" s="3143"/>
      <c r="AH144" s="3143"/>
      <c r="AI144" s="3143"/>
      <c r="AJ144" s="3143"/>
      <c r="AK144" s="3143"/>
      <c r="AL144" s="3143"/>
      <c r="AM144" s="3143"/>
      <c r="AN144" s="3143"/>
      <c r="AO144" s="3143"/>
      <c r="AP144" s="3143"/>
      <c r="AQ144" s="3143"/>
      <c r="AR144" s="3143"/>
      <c r="AS144" s="3143"/>
      <c r="AT144" s="3153"/>
      <c r="AU144" s="3154"/>
      <c r="AV144" s="270">
        <f t="shared" si="62"/>
        <v>0</v>
      </c>
      <c r="AW144" s="270">
        <f t="shared" si="63"/>
        <v>0</v>
      </c>
      <c r="AX144" s="270">
        <f t="shared" si="64"/>
        <v>0</v>
      </c>
      <c r="AY144" s="3168">
        <f t="shared" si="68"/>
        <v>0</v>
      </c>
      <c r="AZ144" s="3123">
        <f t="shared" si="69"/>
        <v>0</v>
      </c>
      <c r="BA144" s="3123">
        <f t="shared" si="70"/>
        <v>0</v>
      </c>
      <c r="BB144" s="3123">
        <f t="shared" si="71"/>
        <v>0</v>
      </c>
      <c r="BC144" s="3123">
        <f t="shared" si="72"/>
        <v>0</v>
      </c>
      <c r="BD144" s="3123">
        <f t="shared" si="73"/>
        <v>0</v>
      </c>
      <c r="BE144" s="3123">
        <f t="shared" si="74"/>
        <v>0</v>
      </c>
      <c r="BF144" s="3123">
        <f t="shared" si="75"/>
        <v>0</v>
      </c>
      <c r="BG144" s="3123">
        <f t="shared" si="76"/>
        <v>0</v>
      </c>
      <c r="BH144" s="3123">
        <f t="shared" si="77"/>
        <v>0</v>
      </c>
      <c r="BI144" s="3123">
        <f t="shared" si="78"/>
        <v>0</v>
      </c>
      <c r="BJ144" s="3123">
        <f t="shared" si="79"/>
        <v>0</v>
      </c>
      <c r="BK144" s="3123">
        <f t="shared" si="80"/>
        <v>0</v>
      </c>
      <c r="BL144" s="3123">
        <f t="shared" si="81"/>
        <v>0</v>
      </c>
      <c r="BM144" s="3123">
        <f t="shared" si="82"/>
        <v>0</v>
      </c>
      <c r="BN144" s="3123">
        <f t="shared" si="83"/>
        <v>0</v>
      </c>
      <c r="BO144" s="3123">
        <f t="shared" si="84"/>
        <v>0</v>
      </c>
      <c r="BP144" s="3123">
        <f t="shared" si="85"/>
        <v>0</v>
      </c>
      <c r="BQ144" s="3123">
        <f t="shared" si="86"/>
        <v>0</v>
      </c>
      <c r="BR144" s="3123">
        <f t="shared" si="87"/>
        <v>0</v>
      </c>
      <c r="BS144" s="3123">
        <f t="shared" si="88"/>
        <v>0</v>
      </c>
      <c r="BT144" s="3175">
        <f t="shared" si="89"/>
        <v>0</v>
      </c>
    </row>
    <row r="145" spans="1:72">
      <c r="A145" s="3120"/>
      <c r="B145" s="3121"/>
      <c r="C145" s="3121"/>
      <c r="D145" s="3122"/>
      <c r="E145" s="3123">
        <f t="shared" ref="E145:E176" si="90">IF($C$3="是",ROUND($A$3*G145/$B$3,2),ROUND($A$3*(G145-AT145)/$B$3,2))</f>
        <v>0</v>
      </c>
      <c r="F145" s="3124"/>
      <c r="G145" s="3125">
        <f t="shared" si="65"/>
        <v>0</v>
      </c>
      <c r="H145" s="3126">
        <f t="shared" si="66"/>
        <v>0</v>
      </c>
      <c r="I145" s="3133"/>
      <c r="J145" s="3133"/>
      <c r="K145" s="3133"/>
      <c r="L145" s="3133"/>
      <c r="M145" s="3133"/>
      <c r="N145" s="3133"/>
      <c r="O145" s="3133"/>
      <c r="P145" s="3133"/>
      <c r="Q145" s="3133"/>
      <c r="R145" s="3133"/>
      <c r="S145" s="3133"/>
      <c r="T145" s="3133"/>
      <c r="U145" s="3133"/>
      <c r="V145" s="3133"/>
      <c r="W145" s="3133"/>
      <c r="X145" s="3133"/>
      <c r="Y145" s="3133"/>
      <c r="Z145" s="3133"/>
      <c r="AA145" s="3133"/>
      <c r="AB145" s="3133"/>
      <c r="AC145" s="3123">
        <f t="shared" si="67"/>
        <v>0</v>
      </c>
      <c r="AD145" s="3143"/>
      <c r="AE145" s="3143"/>
      <c r="AF145" s="3143"/>
      <c r="AG145" s="3143"/>
      <c r="AH145" s="3143"/>
      <c r="AI145" s="3143"/>
      <c r="AJ145" s="3143"/>
      <c r="AK145" s="3143"/>
      <c r="AL145" s="3143"/>
      <c r="AM145" s="3143"/>
      <c r="AN145" s="3143"/>
      <c r="AO145" s="3143"/>
      <c r="AP145" s="3143"/>
      <c r="AQ145" s="3143"/>
      <c r="AR145" s="3143"/>
      <c r="AS145" s="3143"/>
      <c r="AT145" s="3153"/>
      <c r="AU145" s="3154"/>
      <c r="AV145" s="270">
        <f t="shared" ref="AV145:AV176" si="91">A145</f>
        <v>0</v>
      </c>
      <c r="AW145" s="270">
        <f t="shared" ref="AW145:AW176" si="92">B145</f>
        <v>0</v>
      </c>
      <c r="AX145" s="270">
        <f t="shared" ref="AX145:AX176" si="93">C145</f>
        <v>0</v>
      </c>
      <c r="AY145" s="3168">
        <f t="shared" si="68"/>
        <v>0</v>
      </c>
      <c r="AZ145" s="3123">
        <f t="shared" si="69"/>
        <v>0</v>
      </c>
      <c r="BA145" s="3123">
        <f t="shared" si="70"/>
        <v>0</v>
      </c>
      <c r="BB145" s="3123">
        <f t="shared" si="71"/>
        <v>0</v>
      </c>
      <c r="BC145" s="3123">
        <f t="shared" si="72"/>
        <v>0</v>
      </c>
      <c r="BD145" s="3123">
        <f t="shared" si="73"/>
        <v>0</v>
      </c>
      <c r="BE145" s="3123">
        <f t="shared" si="74"/>
        <v>0</v>
      </c>
      <c r="BF145" s="3123">
        <f t="shared" si="75"/>
        <v>0</v>
      </c>
      <c r="BG145" s="3123">
        <f t="shared" si="76"/>
        <v>0</v>
      </c>
      <c r="BH145" s="3123">
        <f t="shared" si="77"/>
        <v>0</v>
      </c>
      <c r="BI145" s="3123">
        <f t="shared" si="78"/>
        <v>0</v>
      </c>
      <c r="BJ145" s="3123">
        <f t="shared" si="79"/>
        <v>0</v>
      </c>
      <c r="BK145" s="3123">
        <f t="shared" si="80"/>
        <v>0</v>
      </c>
      <c r="BL145" s="3123">
        <f t="shared" si="81"/>
        <v>0</v>
      </c>
      <c r="BM145" s="3123">
        <f t="shared" si="82"/>
        <v>0</v>
      </c>
      <c r="BN145" s="3123">
        <f t="shared" si="83"/>
        <v>0</v>
      </c>
      <c r="BO145" s="3123">
        <f t="shared" si="84"/>
        <v>0</v>
      </c>
      <c r="BP145" s="3123">
        <f t="shared" si="85"/>
        <v>0</v>
      </c>
      <c r="BQ145" s="3123">
        <f t="shared" si="86"/>
        <v>0</v>
      </c>
      <c r="BR145" s="3123">
        <f t="shared" si="87"/>
        <v>0</v>
      </c>
      <c r="BS145" s="3123">
        <f t="shared" si="88"/>
        <v>0</v>
      </c>
      <c r="BT145" s="3175">
        <f t="shared" si="89"/>
        <v>0</v>
      </c>
    </row>
    <row r="146" spans="1:72">
      <c r="A146" s="3120"/>
      <c r="B146" s="3121"/>
      <c r="C146" s="3121"/>
      <c r="D146" s="3122"/>
      <c r="E146" s="3123">
        <f t="shared" si="90"/>
        <v>0</v>
      </c>
      <c r="F146" s="3124"/>
      <c r="G146" s="3125">
        <f t="shared" si="65"/>
        <v>0</v>
      </c>
      <c r="H146" s="3126">
        <f t="shared" si="66"/>
        <v>0</v>
      </c>
      <c r="I146" s="3133"/>
      <c r="J146" s="3133"/>
      <c r="K146" s="3133"/>
      <c r="L146" s="3133"/>
      <c r="M146" s="3133"/>
      <c r="N146" s="3133"/>
      <c r="O146" s="3133"/>
      <c r="P146" s="3133"/>
      <c r="Q146" s="3133"/>
      <c r="R146" s="3133"/>
      <c r="S146" s="3133"/>
      <c r="T146" s="3133"/>
      <c r="U146" s="3133"/>
      <c r="V146" s="3133"/>
      <c r="W146" s="3133"/>
      <c r="X146" s="3133"/>
      <c r="Y146" s="3133"/>
      <c r="Z146" s="3133"/>
      <c r="AA146" s="3133"/>
      <c r="AB146" s="3133"/>
      <c r="AC146" s="3123">
        <f t="shared" si="67"/>
        <v>0</v>
      </c>
      <c r="AD146" s="3143"/>
      <c r="AE146" s="3143"/>
      <c r="AF146" s="3143"/>
      <c r="AG146" s="3143"/>
      <c r="AH146" s="3143"/>
      <c r="AI146" s="3143"/>
      <c r="AJ146" s="3143"/>
      <c r="AK146" s="3143"/>
      <c r="AL146" s="3143"/>
      <c r="AM146" s="3143"/>
      <c r="AN146" s="3143"/>
      <c r="AO146" s="3143"/>
      <c r="AP146" s="3143"/>
      <c r="AQ146" s="3143"/>
      <c r="AR146" s="3143"/>
      <c r="AS146" s="3143"/>
      <c r="AT146" s="3153"/>
      <c r="AU146" s="3154"/>
      <c r="AV146" s="270">
        <f t="shared" si="91"/>
        <v>0</v>
      </c>
      <c r="AW146" s="270">
        <f t="shared" si="92"/>
        <v>0</v>
      </c>
      <c r="AX146" s="270">
        <f t="shared" si="93"/>
        <v>0</v>
      </c>
      <c r="AY146" s="3168">
        <f t="shared" si="68"/>
        <v>0</v>
      </c>
      <c r="AZ146" s="3123">
        <f t="shared" si="69"/>
        <v>0</v>
      </c>
      <c r="BA146" s="3123">
        <f t="shared" si="70"/>
        <v>0</v>
      </c>
      <c r="BB146" s="3123">
        <f t="shared" si="71"/>
        <v>0</v>
      </c>
      <c r="BC146" s="3123">
        <f t="shared" si="72"/>
        <v>0</v>
      </c>
      <c r="BD146" s="3123">
        <f t="shared" si="73"/>
        <v>0</v>
      </c>
      <c r="BE146" s="3123">
        <f t="shared" si="74"/>
        <v>0</v>
      </c>
      <c r="BF146" s="3123">
        <f t="shared" si="75"/>
        <v>0</v>
      </c>
      <c r="BG146" s="3123">
        <f t="shared" si="76"/>
        <v>0</v>
      </c>
      <c r="BH146" s="3123">
        <f t="shared" si="77"/>
        <v>0</v>
      </c>
      <c r="BI146" s="3123">
        <f t="shared" si="78"/>
        <v>0</v>
      </c>
      <c r="BJ146" s="3123">
        <f t="shared" si="79"/>
        <v>0</v>
      </c>
      <c r="BK146" s="3123">
        <f t="shared" si="80"/>
        <v>0</v>
      </c>
      <c r="BL146" s="3123">
        <f t="shared" si="81"/>
        <v>0</v>
      </c>
      <c r="BM146" s="3123">
        <f t="shared" si="82"/>
        <v>0</v>
      </c>
      <c r="BN146" s="3123">
        <f t="shared" si="83"/>
        <v>0</v>
      </c>
      <c r="BO146" s="3123">
        <f t="shared" si="84"/>
        <v>0</v>
      </c>
      <c r="BP146" s="3123">
        <f t="shared" si="85"/>
        <v>0</v>
      </c>
      <c r="BQ146" s="3123">
        <f t="shared" si="86"/>
        <v>0</v>
      </c>
      <c r="BR146" s="3123">
        <f t="shared" si="87"/>
        <v>0</v>
      </c>
      <c r="BS146" s="3123">
        <f t="shared" si="88"/>
        <v>0</v>
      </c>
      <c r="BT146" s="3175">
        <f t="shared" si="89"/>
        <v>0</v>
      </c>
    </row>
    <row r="147" spans="1:72">
      <c r="A147" s="3120"/>
      <c r="B147" s="3121"/>
      <c r="C147" s="3121"/>
      <c r="D147" s="3122"/>
      <c r="E147" s="3123">
        <f t="shared" si="90"/>
        <v>0</v>
      </c>
      <c r="F147" s="3124"/>
      <c r="G147" s="3125">
        <f t="shared" si="65"/>
        <v>0</v>
      </c>
      <c r="H147" s="3126">
        <f t="shared" si="66"/>
        <v>0</v>
      </c>
      <c r="I147" s="3133"/>
      <c r="J147" s="3133"/>
      <c r="K147" s="3133"/>
      <c r="L147" s="3133"/>
      <c r="M147" s="3133"/>
      <c r="N147" s="3133"/>
      <c r="O147" s="3133"/>
      <c r="P147" s="3133"/>
      <c r="Q147" s="3133"/>
      <c r="R147" s="3133"/>
      <c r="S147" s="3133"/>
      <c r="T147" s="3133"/>
      <c r="U147" s="3133"/>
      <c r="V147" s="3133"/>
      <c r="W147" s="3133"/>
      <c r="X147" s="3133"/>
      <c r="Y147" s="3133"/>
      <c r="Z147" s="3133"/>
      <c r="AA147" s="3133"/>
      <c r="AB147" s="3133"/>
      <c r="AC147" s="3123">
        <f t="shared" si="67"/>
        <v>0</v>
      </c>
      <c r="AD147" s="3143"/>
      <c r="AE147" s="3143"/>
      <c r="AF147" s="3143"/>
      <c r="AG147" s="3143"/>
      <c r="AH147" s="3143"/>
      <c r="AI147" s="3143"/>
      <c r="AJ147" s="3143"/>
      <c r="AK147" s="3143"/>
      <c r="AL147" s="3143"/>
      <c r="AM147" s="3143"/>
      <c r="AN147" s="3143"/>
      <c r="AO147" s="3143"/>
      <c r="AP147" s="3143"/>
      <c r="AQ147" s="3143"/>
      <c r="AR147" s="3143"/>
      <c r="AS147" s="3143"/>
      <c r="AT147" s="3153"/>
      <c r="AU147" s="3154"/>
      <c r="AV147" s="270">
        <f t="shared" si="91"/>
        <v>0</v>
      </c>
      <c r="AW147" s="270">
        <f t="shared" si="92"/>
        <v>0</v>
      </c>
      <c r="AX147" s="270">
        <f t="shared" si="93"/>
        <v>0</v>
      </c>
      <c r="AY147" s="3168">
        <f t="shared" si="68"/>
        <v>0</v>
      </c>
      <c r="AZ147" s="3123">
        <f t="shared" si="69"/>
        <v>0</v>
      </c>
      <c r="BA147" s="3123">
        <f t="shared" si="70"/>
        <v>0</v>
      </c>
      <c r="BB147" s="3123">
        <f t="shared" si="71"/>
        <v>0</v>
      </c>
      <c r="BC147" s="3123">
        <f t="shared" si="72"/>
        <v>0</v>
      </c>
      <c r="BD147" s="3123">
        <f t="shared" si="73"/>
        <v>0</v>
      </c>
      <c r="BE147" s="3123">
        <f t="shared" si="74"/>
        <v>0</v>
      </c>
      <c r="BF147" s="3123">
        <f t="shared" si="75"/>
        <v>0</v>
      </c>
      <c r="BG147" s="3123">
        <f t="shared" si="76"/>
        <v>0</v>
      </c>
      <c r="BH147" s="3123">
        <f t="shared" si="77"/>
        <v>0</v>
      </c>
      <c r="BI147" s="3123">
        <f t="shared" si="78"/>
        <v>0</v>
      </c>
      <c r="BJ147" s="3123">
        <f t="shared" si="79"/>
        <v>0</v>
      </c>
      <c r="BK147" s="3123">
        <f t="shared" si="80"/>
        <v>0</v>
      </c>
      <c r="BL147" s="3123">
        <f t="shared" si="81"/>
        <v>0</v>
      </c>
      <c r="BM147" s="3123">
        <f t="shared" si="82"/>
        <v>0</v>
      </c>
      <c r="BN147" s="3123">
        <f t="shared" si="83"/>
        <v>0</v>
      </c>
      <c r="BO147" s="3123">
        <f t="shared" si="84"/>
        <v>0</v>
      </c>
      <c r="BP147" s="3123">
        <f t="shared" si="85"/>
        <v>0</v>
      </c>
      <c r="BQ147" s="3123">
        <f t="shared" si="86"/>
        <v>0</v>
      </c>
      <c r="BR147" s="3123">
        <f t="shared" si="87"/>
        <v>0</v>
      </c>
      <c r="BS147" s="3123">
        <f t="shared" si="88"/>
        <v>0</v>
      </c>
      <c r="BT147" s="3175">
        <f t="shared" si="89"/>
        <v>0</v>
      </c>
    </row>
    <row r="148" spans="1:72">
      <c r="A148" s="3120"/>
      <c r="B148" s="3121"/>
      <c r="C148" s="3121"/>
      <c r="D148" s="3122"/>
      <c r="E148" s="3123">
        <f t="shared" si="90"/>
        <v>0</v>
      </c>
      <c r="F148" s="3124"/>
      <c r="G148" s="3125">
        <f t="shared" si="65"/>
        <v>0</v>
      </c>
      <c r="H148" s="3126">
        <f t="shared" si="66"/>
        <v>0</v>
      </c>
      <c r="I148" s="3133"/>
      <c r="J148" s="3133"/>
      <c r="K148" s="3133"/>
      <c r="L148" s="3133"/>
      <c r="M148" s="3133"/>
      <c r="N148" s="3133"/>
      <c r="O148" s="3133"/>
      <c r="P148" s="3133"/>
      <c r="Q148" s="3133"/>
      <c r="R148" s="3133"/>
      <c r="S148" s="3133"/>
      <c r="T148" s="3133"/>
      <c r="U148" s="3133"/>
      <c r="V148" s="3133"/>
      <c r="W148" s="3133"/>
      <c r="X148" s="3133"/>
      <c r="Y148" s="3133"/>
      <c r="Z148" s="3133"/>
      <c r="AA148" s="3133"/>
      <c r="AB148" s="3133"/>
      <c r="AC148" s="3123">
        <f t="shared" si="67"/>
        <v>0</v>
      </c>
      <c r="AD148" s="3143"/>
      <c r="AE148" s="3143"/>
      <c r="AF148" s="3143"/>
      <c r="AG148" s="3143"/>
      <c r="AH148" s="3143"/>
      <c r="AI148" s="3143"/>
      <c r="AJ148" s="3143"/>
      <c r="AK148" s="3143"/>
      <c r="AL148" s="3143"/>
      <c r="AM148" s="3143"/>
      <c r="AN148" s="3143"/>
      <c r="AO148" s="3143"/>
      <c r="AP148" s="3143"/>
      <c r="AQ148" s="3143"/>
      <c r="AR148" s="3143"/>
      <c r="AS148" s="3143"/>
      <c r="AT148" s="3153"/>
      <c r="AU148" s="3154"/>
      <c r="AV148" s="270">
        <f t="shared" si="91"/>
        <v>0</v>
      </c>
      <c r="AW148" s="270">
        <f t="shared" si="92"/>
        <v>0</v>
      </c>
      <c r="AX148" s="270">
        <f t="shared" si="93"/>
        <v>0</v>
      </c>
      <c r="AY148" s="3168">
        <f t="shared" si="68"/>
        <v>0</v>
      </c>
      <c r="AZ148" s="3123">
        <f t="shared" si="69"/>
        <v>0</v>
      </c>
      <c r="BA148" s="3123">
        <f t="shared" si="70"/>
        <v>0</v>
      </c>
      <c r="BB148" s="3123">
        <f t="shared" si="71"/>
        <v>0</v>
      </c>
      <c r="BC148" s="3123">
        <f t="shared" si="72"/>
        <v>0</v>
      </c>
      <c r="BD148" s="3123">
        <f t="shared" si="73"/>
        <v>0</v>
      </c>
      <c r="BE148" s="3123">
        <f t="shared" si="74"/>
        <v>0</v>
      </c>
      <c r="BF148" s="3123">
        <f t="shared" si="75"/>
        <v>0</v>
      </c>
      <c r="BG148" s="3123">
        <f t="shared" si="76"/>
        <v>0</v>
      </c>
      <c r="BH148" s="3123">
        <f t="shared" si="77"/>
        <v>0</v>
      </c>
      <c r="BI148" s="3123">
        <f t="shared" si="78"/>
        <v>0</v>
      </c>
      <c r="BJ148" s="3123">
        <f t="shared" si="79"/>
        <v>0</v>
      </c>
      <c r="BK148" s="3123">
        <f t="shared" si="80"/>
        <v>0</v>
      </c>
      <c r="BL148" s="3123">
        <f t="shared" si="81"/>
        <v>0</v>
      </c>
      <c r="BM148" s="3123">
        <f t="shared" si="82"/>
        <v>0</v>
      </c>
      <c r="BN148" s="3123">
        <f t="shared" si="83"/>
        <v>0</v>
      </c>
      <c r="BO148" s="3123">
        <f t="shared" si="84"/>
        <v>0</v>
      </c>
      <c r="BP148" s="3123">
        <f t="shared" si="85"/>
        <v>0</v>
      </c>
      <c r="BQ148" s="3123">
        <f t="shared" si="86"/>
        <v>0</v>
      </c>
      <c r="BR148" s="3123">
        <f t="shared" si="87"/>
        <v>0</v>
      </c>
      <c r="BS148" s="3123">
        <f t="shared" si="88"/>
        <v>0</v>
      </c>
      <c r="BT148" s="3175">
        <f t="shared" si="89"/>
        <v>0</v>
      </c>
    </row>
    <row r="149" spans="1:72">
      <c r="A149" s="3120"/>
      <c r="B149" s="3121"/>
      <c r="C149" s="3121"/>
      <c r="D149" s="3122"/>
      <c r="E149" s="3123">
        <f t="shared" si="90"/>
        <v>0</v>
      </c>
      <c r="F149" s="3124"/>
      <c r="G149" s="3125">
        <f t="shared" si="65"/>
        <v>0</v>
      </c>
      <c r="H149" s="3126">
        <f t="shared" si="66"/>
        <v>0</v>
      </c>
      <c r="I149" s="3133"/>
      <c r="J149" s="3133"/>
      <c r="K149" s="3133"/>
      <c r="L149" s="3133"/>
      <c r="M149" s="3133"/>
      <c r="N149" s="3133"/>
      <c r="O149" s="3133"/>
      <c r="P149" s="3133"/>
      <c r="Q149" s="3133"/>
      <c r="R149" s="3133"/>
      <c r="S149" s="3133"/>
      <c r="T149" s="3133"/>
      <c r="U149" s="3133"/>
      <c r="V149" s="3133"/>
      <c r="W149" s="3133"/>
      <c r="X149" s="3133"/>
      <c r="Y149" s="3133"/>
      <c r="Z149" s="3133"/>
      <c r="AA149" s="3133"/>
      <c r="AB149" s="3133"/>
      <c r="AC149" s="3123">
        <f t="shared" si="67"/>
        <v>0</v>
      </c>
      <c r="AD149" s="3143"/>
      <c r="AE149" s="3143"/>
      <c r="AF149" s="3143"/>
      <c r="AG149" s="3143"/>
      <c r="AH149" s="3143"/>
      <c r="AI149" s="3143"/>
      <c r="AJ149" s="3143"/>
      <c r="AK149" s="3143"/>
      <c r="AL149" s="3143"/>
      <c r="AM149" s="3143"/>
      <c r="AN149" s="3143"/>
      <c r="AO149" s="3143"/>
      <c r="AP149" s="3143"/>
      <c r="AQ149" s="3143"/>
      <c r="AR149" s="3143"/>
      <c r="AS149" s="3143"/>
      <c r="AT149" s="3153"/>
      <c r="AU149" s="3154"/>
      <c r="AV149" s="270">
        <f t="shared" si="91"/>
        <v>0</v>
      </c>
      <c r="AW149" s="270">
        <f t="shared" si="92"/>
        <v>0</v>
      </c>
      <c r="AX149" s="270">
        <f t="shared" si="93"/>
        <v>0</v>
      </c>
      <c r="AY149" s="3168">
        <f t="shared" si="68"/>
        <v>0</v>
      </c>
      <c r="AZ149" s="3123">
        <f t="shared" si="69"/>
        <v>0</v>
      </c>
      <c r="BA149" s="3123">
        <f t="shared" si="70"/>
        <v>0</v>
      </c>
      <c r="BB149" s="3123">
        <f t="shared" si="71"/>
        <v>0</v>
      </c>
      <c r="BC149" s="3123">
        <f t="shared" si="72"/>
        <v>0</v>
      </c>
      <c r="BD149" s="3123">
        <f t="shared" si="73"/>
        <v>0</v>
      </c>
      <c r="BE149" s="3123">
        <f t="shared" si="74"/>
        <v>0</v>
      </c>
      <c r="BF149" s="3123">
        <f t="shared" si="75"/>
        <v>0</v>
      </c>
      <c r="BG149" s="3123">
        <f t="shared" si="76"/>
        <v>0</v>
      </c>
      <c r="BH149" s="3123">
        <f t="shared" si="77"/>
        <v>0</v>
      </c>
      <c r="BI149" s="3123">
        <f t="shared" si="78"/>
        <v>0</v>
      </c>
      <c r="BJ149" s="3123">
        <f t="shared" si="79"/>
        <v>0</v>
      </c>
      <c r="BK149" s="3123">
        <f t="shared" si="80"/>
        <v>0</v>
      </c>
      <c r="BL149" s="3123">
        <f t="shared" si="81"/>
        <v>0</v>
      </c>
      <c r="BM149" s="3123">
        <f t="shared" si="82"/>
        <v>0</v>
      </c>
      <c r="BN149" s="3123">
        <f t="shared" si="83"/>
        <v>0</v>
      </c>
      <c r="BO149" s="3123">
        <f t="shared" si="84"/>
        <v>0</v>
      </c>
      <c r="BP149" s="3123">
        <f t="shared" si="85"/>
        <v>0</v>
      </c>
      <c r="BQ149" s="3123">
        <f t="shared" si="86"/>
        <v>0</v>
      </c>
      <c r="BR149" s="3123">
        <f t="shared" si="87"/>
        <v>0</v>
      </c>
      <c r="BS149" s="3123">
        <f t="shared" si="88"/>
        <v>0</v>
      </c>
      <c r="BT149" s="3175">
        <f t="shared" si="89"/>
        <v>0</v>
      </c>
    </row>
    <row r="150" spans="1:72">
      <c r="A150" s="3120"/>
      <c r="B150" s="3121"/>
      <c r="C150" s="3121"/>
      <c r="D150" s="3122"/>
      <c r="E150" s="3123">
        <f t="shared" si="90"/>
        <v>0</v>
      </c>
      <c r="F150" s="3124"/>
      <c r="G150" s="3125">
        <f t="shared" si="65"/>
        <v>0</v>
      </c>
      <c r="H150" s="3126">
        <f t="shared" si="66"/>
        <v>0</v>
      </c>
      <c r="I150" s="3133"/>
      <c r="J150" s="3133"/>
      <c r="K150" s="3133"/>
      <c r="L150" s="3133"/>
      <c r="M150" s="3133"/>
      <c r="N150" s="3133"/>
      <c r="O150" s="3133"/>
      <c r="P150" s="3133"/>
      <c r="Q150" s="3133"/>
      <c r="R150" s="3133"/>
      <c r="S150" s="3133"/>
      <c r="T150" s="3133"/>
      <c r="U150" s="3133"/>
      <c r="V150" s="3133"/>
      <c r="W150" s="3133"/>
      <c r="X150" s="3133"/>
      <c r="Y150" s="3133"/>
      <c r="Z150" s="3133"/>
      <c r="AA150" s="3133"/>
      <c r="AB150" s="3133"/>
      <c r="AC150" s="3123">
        <f t="shared" si="67"/>
        <v>0</v>
      </c>
      <c r="AD150" s="3143"/>
      <c r="AE150" s="3143"/>
      <c r="AF150" s="3143"/>
      <c r="AG150" s="3143"/>
      <c r="AH150" s="3143"/>
      <c r="AI150" s="3143"/>
      <c r="AJ150" s="3143"/>
      <c r="AK150" s="3143"/>
      <c r="AL150" s="3143"/>
      <c r="AM150" s="3143"/>
      <c r="AN150" s="3143"/>
      <c r="AO150" s="3143"/>
      <c r="AP150" s="3143"/>
      <c r="AQ150" s="3143"/>
      <c r="AR150" s="3143"/>
      <c r="AS150" s="3143"/>
      <c r="AT150" s="3153"/>
      <c r="AU150" s="3154"/>
      <c r="AV150" s="270">
        <f t="shared" si="91"/>
        <v>0</v>
      </c>
      <c r="AW150" s="270">
        <f t="shared" si="92"/>
        <v>0</v>
      </c>
      <c r="AX150" s="270">
        <f t="shared" si="93"/>
        <v>0</v>
      </c>
      <c r="AY150" s="3168">
        <f t="shared" si="68"/>
        <v>0</v>
      </c>
      <c r="AZ150" s="3123">
        <f t="shared" si="69"/>
        <v>0</v>
      </c>
      <c r="BA150" s="3123">
        <f t="shared" si="70"/>
        <v>0</v>
      </c>
      <c r="BB150" s="3123">
        <f t="shared" si="71"/>
        <v>0</v>
      </c>
      <c r="BC150" s="3123">
        <f t="shared" si="72"/>
        <v>0</v>
      </c>
      <c r="BD150" s="3123">
        <f t="shared" si="73"/>
        <v>0</v>
      </c>
      <c r="BE150" s="3123">
        <f t="shared" si="74"/>
        <v>0</v>
      </c>
      <c r="BF150" s="3123">
        <f t="shared" si="75"/>
        <v>0</v>
      </c>
      <c r="BG150" s="3123">
        <f t="shared" si="76"/>
        <v>0</v>
      </c>
      <c r="BH150" s="3123">
        <f t="shared" si="77"/>
        <v>0</v>
      </c>
      <c r="BI150" s="3123">
        <f t="shared" si="78"/>
        <v>0</v>
      </c>
      <c r="BJ150" s="3123">
        <f t="shared" si="79"/>
        <v>0</v>
      </c>
      <c r="BK150" s="3123">
        <f t="shared" si="80"/>
        <v>0</v>
      </c>
      <c r="BL150" s="3123">
        <f t="shared" si="81"/>
        <v>0</v>
      </c>
      <c r="BM150" s="3123">
        <f t="shared" si="82"/>
        <v>0</v>
      </c>
      <c r="BN150" s="3123">
        <f t="shared" si="83"/>
        <v>0</v>
      </c>
      <c r="BO150" s="3123">
        <f t="shared" si="84"/>
        <v>0</v>
      </c>
      <c r="BP150" s="3123">
        <f t="shared" si="85"/>
        <v>0</v>
      </c>
      <c r="BQ150" s="3123">
        <f t="shared" si="86"/>
        <v>0</v>
      </c>
      <c r="BR150" s="3123">
        <f t="shared" si="87"/>
        <v>0</v>
      </c>
      <c r="BS150" s="3123">
        <f t="shared" si="88"/>
        <v>0</v>
      </c>
      <c r="BT150" s="3175">
        <f t="shared" si="89"/>
        <v>0</v>
      </c>
    </row>
    <row r="151" spans="1:72">
      <c r="A151" s="3120"/>
      <c r="B151" s="3121"/>
      <c r="C151" s="3121"/>
      <c r="D151" s="3122"/>
      <c r="E151" s="3123">
        <f t="shared" si="90"/>
        <v>0</v>
      </c>
      <c r="F151" s="3124"/>
      <c r="G151" s="3125">
        <f t="shared" si="65"/>
        <v>0</v>
      </c>
      <c r="H151" s="3126">
        <f t="shared" si="66"/>
        <v>0</v>
      </c>
      <c r="I151" s="3133"/>
      <c r="J151" s="3133"/>
      <c r="K151" s="3133"/>
      <c r="L151" s="3133"/>
      <c r="M151" s="3133"/>
      <c r="N151" s="3133"/>
      <c r="O151" s="3133"/>
      <c r="P151" s="3133"/>
      <c r="Q151" s="3133"/>
      <c r="R151" s="3133"/>
      <c r="S151" s="3133"/>
      <c r="T151" s="3133"/>
      <c r="U151" s="3133"/>
      <c r="V151" s="3133"/>
      <c r="W151" s="3133"/>
      <c r="X151" s="3133"/>
      <c r="Y151" s="3133"/>
      <c r="Z151" s="3133"/>
      <c r="AA151" s="3133"/>
      <c r="AB151" s="3133"/>
      <c r="AC151" s="3123">
        <f t="shared" si="67"/>
        <v>0</v>
      </c>
      <c r="AD151" s="3143"/>
      <c r="AE151" s="3143"/>
      <c r="AF151" s="3143"/>
      <c r="AG151" s="3143"/>
      <c r="AH151" s="3143"/>
      <c r="AI151" s="3143"/>
      <c r="AJ151" s="3143"/>
      <c r="AK151" s="3143"/>
      <c r="AL151" s="3143"/>
      <c r="AM151" s="3143"/>
      <c r="AN151" s="3143"/>
      <c r="AO151" s="3143"/>
      <c r="AP151" s="3143"/>
      <c r="AQ151" s="3143"/>
      <c r="AR151" s="3143"/>
      <c r="AS151" s="3143"/>
      <c r="AT151" s="3153"/>
      <c r="AU151" s="3154"/>
      <c r="AV151" s="270">
        <f t="shared" si="91"/>
        <v>0</v>
      </c>
      <c r="AW151" s="270">
        <f t="shared" si="92"/>
        <v>0</v>
      </c>
      <c r="AX151" s="270">
        <f t="shared" si="93"/>
        <v>0</v>
      </c>
      <c r="AY151" s="3168">
        <f t="shared" si="68"/>
        <v>0</v>
      </c>
      <c r="AZ151" s="3123">
        <f t="shared" si="69"/>
        <v>0</v>
      </c>
      <c r="BA151" s="3123">
        <f t="shared" si="70"/>
        <v>0</v>
      </c>
      <c r="BB151" s="3123">
        <f t="shared" si="71"/>
        <v>0</v>
      </c>
      <c r="BC151" s="3123">
        <f t="shared" si="72"/>
        <v>0</v>
      </c>
      <c r="BD151" s="3123">
        <f t="shared" si="73"/>
        <v>0</v>
      </c>
      <c r="BE151" s="3123">
        <f t="shared" si="74"/>
        <v>0</v>
      </c>
      <c r="BF151" s="3123">
        <f t="shared" si="75"/>
        <v>0</v>
      </c>
      <c r="BG151" s="3123">
        <f t="shared" si="76"/>
        <v>0</v>
      </c>
      <c r="BH151" s="3123">
        <f t="shared" si="77"/>
        <v>0</v>
      </c>
      <c r="BI151" s="3123">
        <f t="shared" si="78"/>
        <v>0</v>
      </c>
      <c r="BJ151" s="3123">
        <f t="shared" si="79"/>
        <v>0</v>
      </c>
      <c r="BK151" s="3123">
        <f t="shared" si="80"/>
        <v>0</v>
      </c>
      <c r="BL151" s="3123">
        <f t="shared" si="81"/>
        <v>0</v>
      </c>
      <c r="BM151" s="3123">
        <f t="shared" si="82"/>
        <v>0</v>
      </c>
      <c r="BN151" s="3123">
        <f t="shared" si="83"/>
        <v>0</v>
      </c>
      <c r="BO151" s="3123">
        <f t="shared" si="84"/>
        <v>0</v>
      </c>
      <c r="BP151" s="3123">
        <f t="shared" si="85"/>
        <v>0</v>
      </c>
      <c r="BQ151" s="3123">
        <f t="shared" si="86"/>
        <v>0</v>
      </c>
      <c r="BR151" s="3123">
        <f t="shared" si="87"/>
        <v>0</v>
      </c>
      <c r="BS151" s="3123">
        <f t="shared" si="88"/>
        <v>0</v>
      </c>
      <c r="BT151" s="3175">
        <f t="shared" si="89"/>
        <v>0</v>
      </c>
    </row>
    <row r="152" spans="1:72">
      <c r="A152" s="3120"/>
      <c r="B152" s="3121"/>
      <c r="C152" s="3121"/>
      <c r="D152" s="3122"/>
      <c r="E152" s="3123">
        <f t="shared" si="90"/>
        <v>0</v>
      </c>
      <c r="F152" s="3124"/>
      <c r="G152" s="3125">
        <f t="shared" si="65"/>
        <v>0</v>
      </c>
      <c r="H152" s="3126">
        <f t="shared" si="66"/>
        <v>0</v>
      </c>
      <c r="I152" s="3133"/>
      <c r="J152" s="3133"/>
      <c r="K152" s="3133"/>
      <c r="L152" s="3133"/>
      <c r="M152" s="3133"/>
      <c r="N152" s="3133"/>
      <c r="O152" s="3133"/>
      <c r="P152" s="3133"/>
      <c r="Q152" s="3133"/>
      <c r="R152" s="3133"/>
      <c r="S152" s="3133"/>
      <c r="T152" s="3133"/>
      <c r="U152" s="3133"/>
      <c r="V152" s="3133"/>
      <c r="W152" s="3133"/>
      <c r="X152" s="3133"/>
      <c r="Y152" s="3133"/>
      <c r="Z152" s="3133"/>
      <c r="AA152" s="3133"/>
      <c r="AB152" s="3133"/>
      <c r="AC152" s="3123">
        <f t="shared" si="67"/>
        <v>0</v>
      </c>
      <c r="AD152" s="3143"/>
      <c r="AE152" s="3143"/>
      <c r="AF152" s="3143"/>
      <c r="AG152" s="3143"/>
      <c r="AH152" s="3143"/>
      <c r="AI152" s="3143"/>
      <c r="AJ152" s="3143"/>
      <c r="AK152" s="3143"/>
      <c r="AL152" s="3143"/>
      <c r="AM152" s="3143"/>
      <c r="AN152" s="3143"/>
      <c r="AO152" s="3143"/>
      <c r="AP152" s="3143"/>
      <c r="AQ152" s="3143"/>
      <c r="AR152" s="3143"/>
      <c r="AS152" s="3143"/>
      <c r="AT152" s="3153"/>
      <c r="AU152" s="3154"/>
      <c r="AV152" s="270">
        <f t="shared" si="91"/>
        <v>0</v>
      </c>
      <c r="AW152" s="270">
        <f t="shared" si="92"/>
        <v>0</v>
      </c>
      <c r="AX152" s="270">
        <f t="shared" si="93"/>
        <v>0</v>
      </c>
      <c r="AY152" s="3168">
        <f t="shared" si="68"/>
        <v>0</v>
      </c>
      <c r="AZ152" s="3123">
        <f t="shared" si="69"/>
        <v>0</v>
      </c>
      <c r="BA152" s="3123">
        <f t="shared" si="70"/>
        <v>0</v>
      </c>
      <c r="BB152" s="3123">
        <f t="shared" si="71"/>
        <v>0</v>
      </c>
      <c r="BC152" s="3123">
        <f t="shared" si="72"/>
        <v>0</v>
      </c>
      <c r="BD152" s="3123">
        <f t="shared" si="73"/>
        <v>0</v>
      </c>
      <c r="BE152" s="3123">
        <f t="shared" si="74"/>
        <v>0</v>
      </c>
      <c r="BF152" s="3123">
        <f t="shared" si="75"/>
        <v>0</v>
      </c>
      <c r="BG152" s="3123">
        <f t="shared" si="76"/>
        <v>0</v>
      </c>
      <c r="BH152" s="3123">
        <f t="shared" si="77"/>
        <v>0</v>
      </c>
      <c r="BI152" s="3123">
        <f t="shared" si="78"/>
        <v>0</v>
      </c>
      <c r="BJ152" s="3123">
        <f t="shared" si="79"/>
        <v>0</v>
      </c>
      <c r="BK152" s="3123">
        <f t="shared" si="80"/>
        <v>0</v>
      </c>
      <c r="BL152" s="3123">
        <f t="shared" si="81"/>
        <v>0</v>
      </c>
      <c r="BM152" s="3123">
        <f t="shared" si="82"/>
        <v>0</v>
      </c>
      <c r="BN152" s="3123">
        <f t="shared" si="83"/>
        <v>0</v>
      </c>
      <c r="BO152" s="3123">
        <f t="shared" si="84"/>
        <v>0</v>
      </c>
      <c r="BP152" s="3123">
        <f t="shared" si="85"/>
        <v>0</v>
      </c>
      <c r="BQ152" s="3123">
        <f t="shared" si="86"/>
        <v>0</v>
      </c>
      <c r="BR152" s="3123">
        <f t="shared" si="87"/>
        <v>0</v>
      </c>
      <c r="BS152" s="3123">
        <f t="shared" si="88"/>
        <v>0</v>
      </c>
      <c r="BT152" s="3175">
        <f t="shared" si="89"/>
        <v>0</v>
      </c>
    </row>
    <row r="153" spans="1:72">
      <c r="A153" s="3120"/>
      <c r="B153" s="3121"/>
      <c r="C153" s="3121"/>
      <c r="D153" s="3122"/>
      <c r="E153" s="3123">
        <f t="shared" si="90"/>
        <v>0</v>
      </c>
      <c r="F153" s="3124"/>
      <c r="G153" s="3125">
        <f t="shared" si="65"/>
        <v>0</v>
      </c>
      <c r="H153" s="3126">
        <f t="shared" si="66"/>
        <v>0</v>
      </c>
      <c r="I153" s="3133"/>
      <c r="J153" s="3133"/>
      <c r="K153" s="3133"/>
      <c r="L153" s="3133"/>
      <c r="M153" s="3133"/>
      <c r="N153" s="3133"/>
      <c r="O153" s="3133"/>
      <c r="P153" s="3133"/>
      <c r="Q153" s="3133"/>
      <c r="R153" s="3133"/>
      <c r="S153" s="3133"/>
      <c r="T153" s="3133"/>
      <c r="U153" s="3133"/>
      <c r="V153" s="3133"/>
      <c r="W153" s="3133"/>
      <c r="X153" s="3133"/>
      <c r="Y153" s="3133"/>
      <c r="Z153" s="3133"/>
      <c r="AA153" s="3133"/>
      <c r="AB153" s="3133"/>
      <c r="AC153" s="3123">
        <f t="shared" si="67"/>
        <v>0</v>
      </c>
      <c r="AD153" s="3143"/>
      <c r="AE153" s="3143"/>
      <c r="AF153" s="3143"/>
      <c r="AG153" s="3143"/>
      <c r="AH153" s="3143"/>
      <c r="AI153" s="3143"/>
      <c r="AJ153" s="3143"/>
      <c r="AK153" s="3143"/>
      <c r="AL153" s="3143"/>
      <c r="AM153" s="3143"/>
      <c r="AN153" s="3143"/>
      <c r="AO153" s="3143"/>
      <c r="AP153" s="3143"/>
      <c r="AQ153" s="3143"/>
      <c r="AR153" s="3143"/>
      <c r="AS153" s="3143"/>
      <c r="AT153" s="3153"/>
      <c r="AU153" s="3154"/>
      <c r="AV153" s="270">
        <f t="shared" si="91"/>
        <v>0</v>
      </c>
      <c r="AW153" s="270">
        <f t="shared" si="92"/>
        <v>0</v>
      </c>
      <c r="AX153" s="270">
        <f t="shared" si="93"/>
        <v>0</v>
      </c>
      <c r="AY153" s="3168">
        <f t="shared" si="68"/>
        <v>0</v>
      </c>
      <c r="AZ153" s="3123">
        <f t="shared" si="69"/>
        <v>0</v>
      </c>
      <c r="BA153" s="3123">
        <f t="shared" si="70"/>
        <v>0</v>
      </c>
      <c r="BB153" s="3123">
        <f t="shared" si="71"/>
        <v>0</v>
      </c>
      <c r="BC153" s="3123">
        <f t="shared" si="72"/>
        <v>0</v>
      </c>
      <c r="BD153" s="3123">
        <f t="shared" si="73"/>
        <v>0</v>
      </c>
      <c r="BE153" s="3123">
        <f t="shared" si="74"/>
        <v>0</v>
      </c>
      <c r="BF153" s="3123">
        <f t="shared" si="75"/>
        <v>0</v>
      </c>
      <c r="BG153" s="3123">
        <f t="shared" si="76"/>
        <v>0</v>
      </c>
      <c r="BH153" s="3123">
        <f t="shared" si="77"/>
        <v>0</v>
      </c>
      <c r="BI153" s="3123">
        <f t="shared" si="78"/>
        <v>0</v>
      </c>
      <c r="BJ153" s="3123">
        <f t="shared" si="79"/>
        <v>0</v>
      </c>
      <c r="BK153" s="3123">
        <f t="shared" si="80"/>
        <v>0</v>
      </c>
      <c r="BL153" s="3123">
        <f t="shared" si="81"/>
        <v>0</v>
      </c>
      <c r="BM153" s="3123">
        <f t="shared" si="82"/>
        <v>0</v>
      </c>
      <c r="BN153" s="3123">
        <f t="shared" si="83"/>
        <v>0</v>
      </c>
      <c r="BO153" s="3123">
        <f t="shared" si="84"/>
        <v>0</v>
      </c>
      <c r="BP153" s="3123">
        <f t="shared" si="85"/>
        <v>0</v>
      </c>
      <c r="BQ153" s="3123">
        <f t="shared" si="86"/>
        <v>0</v>
      </c>
      <c r="BR153" s="3123">
        <f t="shared" si="87"/>
        <v>0</v>
      </c>
      <c r="BS153" s="3123">
        <f t="shared" si="88"/>
        <v>0</v>
      </c>
      <c r="BT153" s="3175">
        <f t="shared" si="89"/>
        <v>0</v>
      </c>
    </row>
    <row r="154" spans="1:72">
      <c r="A154" s="3120"/>
      <c r="B154" s="3121"/>
      <c r="C154" s="3121"/>
      <c r="D154" s="3122"/>
      <c r="E154" s="3123">
        <f t="shared" si="90"/>
        <v>0</v>
      </c>
      <c r="F154" s="3124"/>
      <c r="G154" s="3125">
        <f t="shared" si="65"/>
        <v>0</v>
      </c>
      <c r="H154" s="3126">
        <f t="shared" si="66"/>
        <v>0</v>
      </c>
      <c r="I154" s="3133"/>
      <c r="J154" s="3133"/>
      <c r="K154" s="3133"/>
      <c r="L154" s="3133"/>
      <c r="M154" s="3133"/>
      <c r="N154" s="3133"/>
      <c r="O154" s="3133"/>
      <c r="P154" s="3133"/>
      <c r="Q154" s="3133"/>
      <c r="R154" s="3133"/>
      <c r="S154" s="3133"/>
      <c r="T154" s="3133"/>
      <c r="U154" s="3133"/>
      <c r="V154" s="3133"/>
      <c r="W154" s="3133"/>
      <c r="X154" s="3133"/>
      <c r="Y154" s="3133"/>
      <c r="Z154" s="3133"/>
      <c r="AA154" s="3133"/>
      <c r="AB154" s="3133"/>
      <c r="AC154" s="3123">
        <f t="shared" si="67"/>
        <v>0</v>
      </c>
      <c r="AD154" s="3143"/>
      <c r="AE154" s="3143"/>
      <c r="AF154" s="3143"/>
      <c r="AG154" s="3143"/>
      <c r="AH154" s="3143"/>
      <c r="AI154" s="3143"/>
      <c r="AJ154" s="3143"/>
      <c r="AK154" s="3143"/>
      <c r="AL154" s="3143"/>
      <c r="AM154" s="3143"/>
      <c r="AN154" s="3143"/>
      <c r="AO154" s="3143"/>
      <c r="AP154" s="3143"/>
      <c r="AQ154" s="3143"/>
      <c r="AR154" s="3143"/>
      <c r="AS154" s="3143"/>
      <c r="AT154" s="3153"/>
      <c r="AU154" s="3154"/>
      <c r="AV154" s="270">
        <f t="shared" si="91"/>
        <v>0</v>
      </c>
      <c r="AW154" s="270">
        <f t="shared" si="92"/>
        <v>0</v>
      </c>
      <c r="AX154" s="270">
        <f t="shared" si="93"/>
        <v>0</v>
      </c>
      <c r="AY154" s="3168">
        <f t="shared" si="68"/>
        <v>0</v>
      </c>
      <c r="AZ154" s="3123">
        <f t="shared" si="69"/>
        <v>0</v>
      </c>
      <c r="BA154" s="3123">
        <f t="shared" si="70"/>
        <v>0</v>
      </c>
      <c r="BB154" s="3123">
        <f t="shared" si="71"/>
        <v>0</v>
      </c>
      <c r="BC154" s="3123">
        <f t="shared" si="72"/>
        <v>0</v>
      </c>
      <c r="BD154" s="3123">
        <f t="shared" si="73"/>
        <v>0</v>
      </c>
      <c r="BE154" s="3123">
        <f t="shared" si="74"/>
        <v>0</v>
      </c>
      <c r="BF154" s="3123">
        <f t="shared" si="75"/>
        <v>0</v>
      </c>
      <c r="BG154" s="3123">
        <f t="shared" si="76"/>
        <v>0</v>
      </c>
      <c r="BH154" s="3123">
        <f t="shared" si="77"/>
        <v>0</v>
      </c>
      <c r="BI154" s="3123">
        <f t="shared" si="78"/>
        <v>0</v>
      </c>
      <c r="BJ154" s="3123">
        <f t="shared" si="79"/>
        <v>0</v>
      </c>
      <c r="BK154" s="3123">
        <f t="shared" si="80"/>
        <v>0</v>
      </c>
      <c r="BL154" s="3123">
        <f t="shared" si="81"/>
        <v>0</v>
      </c>
      <c r="BM154" s="3123">
        <f t="shared" si="82"/>
        <v>0</v>
      </c>
      <c r="BN154" s="3123">
        <f t="shared" si="83"/>
        <v>0</v>
      </c>
      <c r="BO154" s="3123">
        <f t="shared" si="84"/>
        <v>0</v>
      </c>
      <c r="BP154" s="3123">
        <f t="shared" si="85"/>
        <v>0</v>
      </c>
      <c r="BQ154" s="3123">
        <f t="shared" si="86"/>
        <v>0</v>
      </c>
      <c r="BR154" s="3123">
        <f t="shared" si="87"/>
        <v>0</v>
      </c>
      <c r="BS154" s="3123">
        <f t="shared" si="88"/>
        <v>0</v>
      </c>
      <c r="BT154" s="3175">
        <f t="shared" si="89"/>
        <v>0</v>
      </c>
    </row>
    <row r="155" spans="1:72">
      <c r="A155" s="3120"/>
      <c r="B155" s="3121"/>
      <c r="C155" s="3121"/>
      <c r="D155" s="3122"/>
      <c r="E155" s="3123">
        <f t="shared" si="90"/>
        <v>0</v>
      </c>
      <c r="F155" s="3124"/>
      <c r="G155" s="3125">
        <f t="shared" si="65"/>
        <v>0</v>
      </c>
      <c r="H155" s="3126">
        <f t="shared" si="66"/>
        <v>0</v>
      </c>
      <c r="I155" s="3133"/>
      <c r="J155" s="3133"/>
      <c r="K155" s="3133"/>
      <c r="L155" s="3133"/>
      <c r="M155" s="3133"/>
      <c r="N155" s="3133"/>
      <c r="O155" s="3133"/>
      <c r="P155" s="3133"/>
      <c r="Q155" s="3133"/>
      <c r="R155" s="3133"/>
      <c r="S155" s="3133"/>
      <c r="T155" s="3133"/>
      <c r="U155" s="3133"/>
      <c r="V155" s="3133"/>
      <c r="W155" s="3133"/>
      <c r="X155" s="3133"/>
      <c r="Y155" s="3133"/>
      <c r="Z155" s="3133"/>
      <c r="AA155" s="3133"/>
      <c r="AB155" s="3133"/>
      <c r="AC155" s="3123">
        <f t="shared" si="67"/>
        <v>0</v>
      </c>
      <c r="AD155" s="3143"/>
      <c r="AE155" s="3143"/>
      <c r="AF155" s="3143"/>
      <c r="AG155" s="3143"/>
      <c r="AH155" s="3143"/>
      <c r="AI155" s="3143"/>
      <c r="AJ155" s="3143"/>
      <c r="AK155" s="3143"/>
      <c r="AL155" s="3143"/>
      <c r="AM155" s="3143"/>
      <c r="AN155" s="3143"/>
      <c r="AO155" s="3143"/>
      <c r="AP155" s="3143"/>
      <c r="AQ155" s="3143"/>
      <c r="AR155" s="3143"/>
      <c r="AS155" s="3143"/>
      <c r="AT155" s="3153"/>
      <c r="AU155" s="3154"/>
      <c r="AV155" s="270">
        <f t="shared" si="91"/>
        <v>0</v>
      </c>
      <c r="AW155" s="270">
        <f t="shared" si="92"/>
        <v>0</v>
      </c>
      <c r="AX155" s="270">
        <f t="shared" si="93"/>
        <v>0</v>
      </c>
      <c r="AY155" s="3168">
        <f t="shared" si="68"/>
        <v>0</v>
      </c>
      <c r="AZ155" s="3123">
        <f t="shared" si="69"/>
        <v>0</v>
      </c>
      <c r="BA155" s="3123">
        <f t="shared" si="70"/>
        <v>0</v>
      </c>
      <c r="BB155" s="3123">
        <f t="shared" si="71"/>
        <v>0</v>
      </c>
      <c r="BC155" s="3123">
        <f t="shared" si="72"/>
        <v>0</v>
      </c>
      <c r="BD155" s="3123">
        <f t="shared" si="73"/>
        <v>0</v>
      </c>
      <c r="BE155" s="3123">
        <f t="shared" si="74"/>
        <v>0</v>
      </c>
      <c r="BF155" s="3123">
        <f t="shared" si="75"/>
        <v>0</v>
      </c>
      <c r="BG155" s="3123">
        <f t="shared" si="76"/>
        <v>0</v>
      </c>
      <c r="BH155" s="3123">
        <f t="shared" si="77"/>
        <v>0</v>
      </c>
      <c r="BI155" s="3123">
        <f t="shared" si="78"/>
        <v>0</v>
      </c>
      <c r="BJ155" s="3123">
        <f t="shared" si="79"/>
        <v>0</v>
      </c>
      <c r="BK155" s="3123">
        <f t="shared" si="80"/>
        <v>0</v>
      </c>
      <c r="BL155" s="3123">
        <f t="shared" si="81"/>
        <v>0</v>
      </c>
      <c r="BM155" s="3123">
        <f t="shared" si="82"/>
        <v>0</v>
      </c>
      <c r="BN155" s="3123">
        <f t="shared" si="83"/>
        <v>0</v>
      </c>
      <c r="BO155" s="3123">
        <f t="shared" si="84"/>
        <v>0</v>
      </c>
      <c r="BP155" s="3123">
        <f t="shared" si="85"/>
        <v>0</v>
      </c>
      <c r="BQ155" s="3123">
        <f t="shared" si="86"/>
        <v>0</v>
      </c>
      <c r="BR155" s="3123">
        <f t="shared" si="87"/>
        <v>0</v>
      </c>
      <c r="BS155" s="3123">
        <f t="shared" si="88"/>
        <v>0</v>
      </c>
      <c r="BT155" s="3175">
        <f t="shared" si="89"/>
        <v>0</v>
      </c>
    </row>
    <row r="156" spans="1:72">
      <c r="A156" s="3120"/>
      <c r="B156" s="3121"/>
      <c r="C156" s="3121"/>
      <c r="D156" s="3122"/>
      <c r="E156" s="3123">
        <f t="shared" si="90"/>
        <v>0</v>
      </c>
      <c r="F156" s="3124"/>
      <c r="G156" s="3125">
        <f t="shared" si="65"/>
        <v>0</v>
      </c>
      <c r="H156" s="3126">
        <f t="shared" si="66"/>
        <v>0</v>
      </c>
      <c r="I156" s="3133"/>
      <c r="J156" s="3133"/>
      <c r="K156" s="3133"/>
      <c r="L156" s="3133"/>
      <c r="M156" s="3133"/>
      <c r="N156" s="3133"/>
      <c r="O156" s="3133"/>
      <c r="P156" s="3133"/>
      <c r="Q156" s="3133"/>
      <c r="R156" s="3133"/>
      <c r="S156" s="3133"/>
      <c r="T156" s="3133"/>
      <c r="U156" s="3133"/>
      <c r="V156" s="3133"/>
      <c r="W156" s="3133"/>
      <c r="X156" s="3133"/>
      <c r="Y156" s="3133"/>
      <c r="Z156" s="3133"/>
      <c r="AA156" s="3133"/>
      <c r="AB156" s="3133"/>
      <c r="AC156" s="3123">
        <f t="shared" si="67"/>
        <v>0</v>
      </c>
      <c r="AD156" s="3143"/>
      <c r="AE156" s="3143"/>
      <c r="AF156" s="3143"/>
      <c r="AG156" s="3143"/>
      <c r="AH156" s="3143"/>
      <c r="AI156" s="3143"/>
      <c r="AJ156" s="3143"/>
      <c r="AK156" s="3143"/>
      <c r="AL156" s="3143"/>
      <c r="AM156" s="3143"/>
      <c r="AN156" s="3143"/>
      <c r="AO156" s="3143"/>
      <c r="AP156" s="3143"/>
      <c r="AQ156" s="3143"/>
      <c r="AR156" s="3143"/>
      <c r="AS156" s="3143"/>
      <c r="AT156" s="3153"/>
      <c r="AU156" s="3154"/>
      <c r="AV156" s="270">
        <f t="shared" si="91"/>
        <v>0</v>
      </c>
      <c r="AW156" s="270">
        <f t="shared" si="92"/>
        <v>0</v>
      </c>
      <c r="AX156" s="270">
        <f t="shared" si="93"/>
        <v>0</v>
      </c>
      <c r="AY156" s="3168">
        <f t="shared" si="68"/>
        <v>0</v>
      </c>
      <c r="AZ156" s="3123">
        <f t="shared" si="69"/>
        <v>0</v>
      </c>
      <c r="BA156" s="3123">
        <f t="shared" si="70"/>
        <v>0</v>
      </c>
      <c r="BB156" s="3123">
        <f t="shared" si="71"/>
        <v>0</v>
      </c>
      <c r="BC156" s="3123">
        <f t="shared" si="72"/>
        <v>0</v>
      </c>
      <c r="BD156" s="3123">
        <f t="shared" si="73"/>
        <v>0</v>
      </c>
      <c r="BE156" s="3123">
        <f t="shared" si="74"/>
        <v>0</v>
      </c>
      <c r="BF156" s="3123">
        <f t="shared" si="75"/>
        <v>0</v>
      </c>
      <c r="BG156" s="3123">
        <f t="shared" si="76"/>
        <v>0</v>
      </c>
      <c r="BH156" s="3123">
        <f t="shared" si="77"/>
        <v>0</v>
      </c>
      <c r="BI156" s="3123">
        <f t="shared" si="78"/>
        <v>0</v>
      </c>
      <c r="BJ156" s="3123">
        <f t="shared" si="79"/>
        <v>0</v>
      </c>
      <c r="BK156" s="3123">
        <f t="shared" si="80"/>
        <v>0</v>
      </c>
      <c r="BL156" s="3123">
        <f t="shared" si="81"/>
        <v>0</v>
      </c>
      <c r="BM156" s="3123">
        <f t="shared" si="82"/>
        <v>0</v>
      </c>
      <c r="BN156" s="3123">
        <f t="shared" si="83"/>
        <v>0</v>
      </c>
      <c r="BO156" s="3123">
        <f t="shared" si="84"/>
        <v>0</v>
      </c>
      <c r="BP156" s="3123">
        <f t="shared" si="85"/>
        <v>0</v>
      </c>
      <c r="BQ156" s="3123">
        <f t="shared" si="86"/>
        <v>0</v>
      </c>
      <c r="BR156" s="3123">
        <f t="shared" si="87"/>
        <v>0</v>
      </c>
      <c r="BS156" s="3123">
        <f t="shared" si="88"/>
        <v>0</v>
      </c>
      <c r="BT156" s="3175">
        <f t="shared" si="89"/>
        <v>0</v>
      </c>
    </row>
    <row r="157" spans="1:72">
      <c r="A157" s="3120"/>
      <c r="B157" s="3121"/>
      <c r="C157" s="3121"/>
      <c r="D157" s="3122"/>
      <c r="E157" s="3123">
        <f t="shared" si="90"/>
        <v>0</v>
      </c>
      <c r="F157" s="3124"/>
      <c r="G157" s="3125">
        <f t="shared" si="65"/>
        <v>0</v>
      </c>
      <c r="H157" s="3126">
        <f t="shared" si="66"/>
        <v>0</v>
      </c>
      <c r="I157" s="3133"/>
      <c r="J157" s="3133"/>
      <c r="K157" s="3133"/>
      <c r="L157" s="3133"/>
      <c r="M157" s="3133"/>
      <c r="N157" s="3133"/>
      <c r="O157" s="3133"/>
      <c r="P157" s="3133"/>
      <c r="Q157" s="3133"/>
      <c r="R157" s="3133"/>
      <c r="S157" s="3133"/>
      <c r="T157" s="3133"/>
      <c r="U157" s="3133"/>
      <c r="V157" s="3133"/>
      <c r="W157" s="3133"/>
      <c r="X157" s="3133"/>
      <c r="Y157" s="3133"/>
      <c r="Z157" s="3133"/>
      <c r="AA157" s="3133"/>
      <c r="AB157" s="3133"/>
      <c r="AC157" s="3123">
        <f t="shared" si="67"/>
        <v>0</v>
      </c>
      <c r="AD157" s="3143"/>
      <c r="AE157" s="3143"/>
      <c r="AF157" s="3143"/>
      <c r="AG157" s="3143"/>
      <c r="AH157" s="3143"/>
      <c r="AI157" s="3143"/>
      <c r="AJ157" s="3143"/>
      <c r="AK157" s="3143"/>
      <c r="AL157" s="3143"/>
      <c r="AM157" s="3143"/>
      <c r="AN157" s="3143"/>
      <c r="AO157" s="3143"/>
      <c r="AP157" s="3143"/>
      <c r="AQ157" s="3143"/>
      <c r="AR157" s="3143"/>
      <c r="AS157" s="3143"/>
      <c r="AT157" s="3153"/>
      <c r="AU157" s="3154"/>
      <c r="AV157" s="270">
        <f t="shared" si="91"/>
        <v>0</v>
      </c>
      <c r="AW157" s="270">
        <f t="shared" si="92"/>
        <v>0</v>
      </c>
      <c r="AX157" s="270">
        <f t="shared" si="93"/>
        <v>0</v>
      </c>
      <c r="AY157" s="3168">
        <f t="shared" si="68"/>
        <v>0</v>
      </c>
      <c r="AZ157" s="3123">
        <f t="shared" si="69"/>
        <v>0</v>
      </c>
      <c r="BA157" s="3123">
        <f t="shared" si="70"/>
        <v>0</v>
      </c>
      <c r="BB157" s="3123">
        <f t="shared" si="71"/>
        <v>0</v>
      </c>
      <c r="BC157" s="3123">
        <f t="shared" si="72"/>
        <v>0</v>
      </c>
      <c r="BD157" s="3123">
        <f t="shared" si="73"/>
        <v>0</v>
      </c>
      <c r="BE157" s="3123">
        <f t="shared" si="74"/>
        <v>0</v>
      </c>
      <c r="BF157" s="3123">
        <f t="shared" si="75"/>
        <v>0</v>
      </c>
      <c r="BG157" s="3123">
        <f t="shared" si="76"/>
        <v>0</v>
      </c>
      <c r="BH157" s="3123">
        <f t="shared" si="77"/>
        <v>0</v>
      </c>
      <c r="BI157" s="3123">
        <f t="shared" si="78"/>
        <v>0</v>
      </c>
      <c r="BJ157" s="3123">
        <f t="shared" si="79"/>
        <v>0</v>
      </c>
      <c r="BK157" s="3123">
        <f t="shared" si="80"/>
        <v>0</v>
      </c>
      <c r="BL157" s="3123">
        <f t="shared" si="81"/>
        <v>0</v>
      </c>
      <c r="BM157" s="3123">
        <f t="shared" si="82"/>
        <v>0</v>
      </c>
      <c r="BN157" s="3123">
        <f t="shared" si="83"/>
        <v>0</v>
      </c>
      <c r="BO157" s="3123">
        <f t="shared" si="84"/>
        <v>0</v>
      </c>
      <c r="BP157" s="3123">
        <f t="shared" si="85"/>
        <v>0</v>
      </c>
      <c r="BQ157" s="3123">
        <f t="shared" si="86"/>
        <v>0</v>
      </c>
      <c r="BR157" s="3123">
        <f t="shared" si="87"/>
        <v>0</v>
      </c>
      <c r="BS157" s="3123">
        <f t="shared" si="88"/>
        <v>0</v>
      </c>
      <c r="BT157" s="3175">
        <f t="shared" si="89"/>
        <v>0</v>
      </c>
    </row>
    <row r="158" spans="1:72">
      <c r="A158" s="3120"/>
      <c r="B158" s="3121"/>
      <c r="C158" s="3121"/>
      <c r="D158" s="3122"/>
      <c r="E158" s="3123">
        <f t="shared" si="90"/>
        <v>0</v>
      </c>
      <c r="F158" s="3124"/>
      <c r="G158" s="3125">
        <f t="shared" si="65"/>
        <v>0</v>
      </c>
      <c r="H158" s="3126">
        <f t="shared" si="66"/>
        <v>0</v>
      </c>
      <c r="I158" s="3133"/>
      <c r="J158" s="3133"/>
      <c r="K158" s="3133"/>
      <c r="L158" s="3133"/>
      <c r="M158" s="3133"/>
      <c r="N158" s="3133"/>
      <c r="O158" s="3133"/>
      <c r="P158" s="3133"/>
      <c r="Q158" s="3133"/>
      <c r="R158" s="3133"/>
      <c r="S158" s="3133"/>
      <c r="T158" s="3133"/>
      <c r="U158" s="3133"/>
      <c r="V158" s="3133"/>
      <c r="W158" s="3133"/>
      <c r="X158" s="3133"/>
      <c r="Y158" s="3133"/>
      <c r="Z158" s="3133"/>
      <c r="AA158" s="3133"/>
      <c r="AB158" s="3133"/>
      <c r="AC158" s="3123">
        <f t="shared" si="67"/>
        <v>0</v>
      </c>
      <c r="AD158" s="3143"/>
      <c r="AE158" s="3143"/>
      <c r="AF158" s="3143"/>
      <c r="AG158" s="3143"/>
      <c r="AH158" s="3143"/>
      <c r="AI158" s="3143"/>
      <c r="AJ158" s="3143"/>
      <c r="AK158" s="3143"/>
      <c r="AL158" s="3143"/>
      <c r="AM158" s="3143"/>
      <c r="AN158" s="3143"/>
      <c r="AO158" s="3143"/>
      <c r="AP158" s="3143"/>
      <c r="AQ158" s="3143"/>
      <c r="AR158" s="3143"/>
      <c r="AS158" s="3143"/>
      <c r="AT158" s="3153"/>
      <c r="AU158" s="3154"/>
      <c r="AV158" s="270">
        <f t="shared" si="91"/>
        <v>0</v>
      </c>
      <c r="AW158" s="270">
        <f t="shared" si="92"/>
        <v>0</v>
      </c>
      <c r="AX158" s="270">
        <f t="shared" si="93"/>
        <v>0</v>
      </c>
      <c r="AY158" s="3168">
        <f t="shared" si="68"/>
        <v>0</v>
      </c>
      <c r="AZ158" s="3123">
        <f t="shared" si="69"/>
        <v>0</v>
      </c>
      <c r="BA158" s="3123">
        <f t="shared" si="70"/>
        <v>0</v>
      </c>
      <c r="BB158" s="3123">
        <f t="shared" si="71"/>
        <v>0</v>
      </c>
      <c r="BC158" s="3123">
        <f t="shared" si="72"/>
        <v>0</v>
      </c>
      <c r="BD158" s="3123">
        <f t="shared" si="73"/>
        <v>0</v>
      </c>
      <c r="BE158" s="3123">
        <f t="shared" si="74"/>
        <v>0</v>
      </c>
      <c r="BF158" s="3123">
        <f t="shared" si="75"/>
        <v>0</v>
      </c>
      <c r="BG158" s="3123">
        <f t="shared" si="76"/>
        <v>0</v>
      </c>
      <c r="BH158" s="3123">
        <f t="shared" si="77"/>
        <v>0</v>
      </c>
      <c r="BI158" s="3123">
        <f t="shared" si="78"/>
        <v>0</v>
      </c>
      <c r="BJ158" s="3123">
        <f t="shared" si="79"/>
        <v>0</v>
      </c>
      <c r="BK158" s="3123">
        <f t="shared" si="80"/>
        <v>0</v>
      </c>
      <c r="BL158" s="3123">
        <f t="shared" si="81"/>
        <v>0</v>
      </c>
      <c r="BM158" s="3123">
        <f t="shared" si="82"/>
        <v>0</v>
      </c>
      <c r="BN158" s="3123">
        <f t="shared" si="83"/>
        <v>0</v>
      </c>
      <c r="BO158" s="3123">
        <f t="shared" si="84"/>
        <v>0</v>
      </c>
      <c r="BP158" s="3123">
        <f t="shared" si="85"/>
        <v>0</v>
      </c>
      <c r="BQ158" s="3123">
        <f t="shared" si="86"/>
        <v>0</v>
      </c>
      <c r="BR158" s="3123">
        <f t="shared" si="87"/>
        <v>0</v>
      </c>
      <c r="BS158" s="3123">
        <f t="shared" si="88"/>
        <v>0</v>
      </c>
      <c r="BT158" s="3175">
        <f t="shared" si="89"/>
        <v>0</v>
      </c>
    </row>
    <row r="159" spans="1:72">
      <c r="A159" s="3120"/>
      <c r="B159" s="3121"/>
      <c r="C159" s="3121"/>
      <c r="D159" s="3122"/>
      <c r="E159" s="3123">
        <f t="shared" si="90"/>
        <v>0</v>
      </c>
      <c r="F159" s="3124"/>
      <c r="G159" s="3125">
        <f t="shared" si="65"/>
        <v>0</v>
      </c>
      <c r="H159" s="3126">
        <f t="shared" si="66"/>
        <v>0</v>
      </c>
      <c r="I159" s="3133"/>
      <c r="J159" s="3133"/>
      <c r="K159" s="3133"/>
      <c r="L159" s="3133"/>
      <c r="M159" s="3133"/>
      <c r="N159" s="3133"/>
      <c r="O159" s="3133"/>
      <c r="P159" s="3133"/>
      <c r="Q159" s="3133"/>
      <c r="R159" s="3133"/>
      <c r="S159" s="3133"/>
      <c r="T159" s="3133"/>
      <c r="U159" s="3133"/>
      <c r="V159" s="3133"/>
      <c r="W159" s="3133"/>
      <c r="X159" s="3133"/>
      <c r="Y159" s="3133"/>
      <c r="Z159" s="3133"/>
      <c r="AA159" s="3133"/>
      <c r="AB159" s="3133"/>
      <c r="AC159" s="3123">
        <f t="shared" si="67"/>
        <v>0</v>
      </c>
      <c r="AD159" s="3143"/>
      <c r="AE159" s="3143"/>
      <c r="AF159" s="3143"/>
      <c r="AG159" s="3143"/>
      <c r="AH159" s="3143"/>
      <c r="AI159" s="3143"/>
      <c r="AJ159" s="3143"/>
      <c r="AK159" s="3143"/>
      <c r="AL159" s="3143"/>
      <c r="AM159" s="3143"/>
      <c r="AN159" s="3143"/>
      <c r="AO159" s="3143"/>
      <c r="AP159" s="3143"/>
      <c r="AQ159" s="3143"/>
      <c r="AR159" s="3143"/>
      <c r="AS159" s="3143"/>
      <c r="AT159" s="3153"/>
      <c r="AU159" s="3154"/>
      <c r="AV159" s="270">
        <f t="shared" si="91"/>
        <v>0</v>
      </c>
      <c r="AW159" s="270">
        <f t="shared" si="92"/>
        <v>0</v>
      </c>
      <c r="AX159" s="270">
        <f t="shared" si="93"/>
        <v>0</v>
      </c>
      <c r="AY159" s="3168">
        <f t="shared" si="68"/>
        <v>0</v>
      </c>
      <c r="AZ159" s="3123">
        <f t="shared" si="69"/>
        <v>0</v>
      </c>
      <c r="BA159" s="3123">
        <f t="shared" si="70"/>
        <v>0</v>
      </c>
      <c r="BB159" s="3123">
        <f t="shared" si="71"/>
        <v>0</v>
      </c>
      <c r="BC159" s="3123">
        <f t="shared" si="72"/>
        <v>0</v>
      </c>
      <c r="BD159" s="3123">
        <f t="shared" si="73"/>
        <v>0</v>
      </c>
      <c r="BE159" s="3123">
        <f t="shared" si="74"/>
        <v>0</v>
      </c>
      <c r="BF159" s="3123">
        <f t="shared" si="75"/>
        <v>0</v>
      </c>
      <c r="BG159" s="3123">
        <f t="shared" si="76"/>
        <v>0</v>
      </c>
      <c r="BH159" s="3123">
        <f t="shared" si="77"/>
        <v>0</v>
      </c>
      <c r="BI159" s="3123">
        <f t="shared" si="78"/>
        <v>0</v>
      </c>
      <c r="BJ159" s="3123">
        <f t="shared" si="79"/>
        <v>0</v>
      </c>
      <c r="BK159" s="3123">
        <f t="shared" si="80"/>
        <v>0</v>
      </c>
      <c r="BL159" s="3123">
        <f t="shared" si="81"/>
        <v>0</v>
      </c>
      <c r="BM159" s="3123">
        <f t="shared" si="82"/>
        <v>0</v>
      </c>
      <c r="BN159" s="3123">
        <f t="shared" si="83"/>
        <v>0</v>
      </c>
      <c r="BO159" s="3123">
        <f t="shared" si="84"/>
        <v>0</v>
      </c>
      <c r="BP159" s="3123">
        <f t="shared" si="85"/>
        <v>0</v>
      </c>
      <c r="BQ159" s="3123">
        <f t="shared" si="86"/>
        <v>0</v>
      </c>
      <c r="BR159" s="3123">
        <f t="shared" si="87"/>
        <v>0</v>
      </c>
      <c r="BS159" s="3123">
        <f t="shared" si="88"/>
        <v>0</v>
      </c>
      <c r="BT159" s="3175">
        <f t="shared" si="89"/>
        <v>0</v>
      </c>
    </row>
    <row r="160" spans="1:72">
      <c r="A160" s="3120"/>
      <c r="B160" s="3121"/>
      <c r="C160" s="3121"/>
      <c r="D160" s="3122"/>
      <c r="E160" s="3123">
        <f t="shared" si="90"/>
        <v>0</v>
      </c>
      <c r="F160" s="3124"/>
      <c r="G160" s="3125">
        <f t="shared" si="65"/>
        <v>0</v>
      </c>
      <c r="H160" s="3126">
        <f t="shared" si="66"/>
        <v>0</v>
      </c>
      <c r="I160" s="3133"/>
      <c r="J160" s="3133"/>
      <c r="K160" s="3133"/>
      <c r="L160" s="3133"/>
      <c r="M160" s="3133"/>
      <c r="N160" s="3133"/>
      <c r="O160" s="3133"/>
      <c r="P160" s="3133"/>
      <c r="Q160" s="3133"/>
      <c r="R160" s="3133"/>
      <c r="S160" s="3133"/>
      <c r="T160" s="3133"/>
      <c r="U160" s="3133"/>
      <c r="V160" s="3133"/>
      <c r="W160" s="3133"/>
      <c r="X160" s="3133"/>
      <c r="Y160" s="3133"/>
      <c r="Z160" s="3133"/>
      <c r="AA160" s="3133"/>
      <c r="AB160" s="3133"/>
      <c r="AC160" s="3123">
        <f t="shared" si="67"/>
        <v>0</v>
      </c>
      <c r="AD160" s="3143"/>
      <c r="AE160" s="3143"/>
      <c r="AF160" s="3143"/>
      <c r="AG160" s="3143"/>
      <c r="AH160" s="3143"/>
      <c r="AI160" s="3143"/>
      <c r="AJ160" s="3143"/>
      <c r="AK160" s="3143"/>
      <c r="AL160" s="3143"/>
      <c r="AM160" s="3143"/>
      <c r="AN160" s="3143"/>
      <c r="AO160" s="3143"/>
      <c r="AP160" s="3143"/>
      <c r="AQ160" s="3143"/>
      <c r="AR160" s="3143"/>
      <c r="AS160" s="3143"/>
      <c r="AT160" s="3153"/>
      <c r="AU160" s="3154"/>
      <c r="AV160" s="270">
        <f t="shared" si="91"/>
        <v>0</v>
      </c>
      <c r="AW160" s="270">
        <f t="shared" si="92"/>
        <v>0</v>
      </c>
      <c r="AX160" s="270">
        <f t="shared" si="93"/>
        <v>0</v>
      </c>
      <c r="AY160" s="3168">
        <f t="shared" si="68"/>
        <v>0</v>
      </c>
      <c r="AZ160" s="3123">
        <f t="shared" si="69"/>
        <v>0</v>
      </c>
      <c r="BA160" s="3123">
        <f t="shared" si="70"/>
        <v>0</v>
      </c>
      <c r="BB160" s="3123">
        <f t="shared" si="71"/>
        <v>0</v>
      </c>
      <c r="BC160" s="3123">
        <f t="shared" si="72"/>
        <v>0</v>
      </c>
      <c r="BD160" s="3123">
        <f t="shared" si="73"/>
        <v>0</v>
      </c>
      <c r="BE160" s="3123">
        <f t="shared" si="74"/>
        <v>0</v>
      </c>
      <c r="BF160" s="3123">
        <f t="shared" si="75"/>
        <v>0</v>
      </c>
      <c r="BG160" s="3123">
        <f t="shared" si="76"/>
        <v>0</v>
      </c>
      <c r="BH160" s="3123">
        <f t="shared" si="77"/>
        <v>0</v>
      </c>
      <c r="BI160" s="3123">
        <f t="shared" si="78"/>
        <v>0</v>
      </c>
      <c r="BJ160" s="3123">
        <f t="shared" si="79"/>
        <v>0</v>
      </c>
      <c r="BK160" s="3123">
        <f t="shared" si="80"/>
        <v>0</v>
      </c>
      <c r="BL160" s="3123">
        <f t="shared" si="81"/>
        <v>0</v>
      </c>
      <c r="BM160" s="3123">
        <f t="shared" si="82"/>
        <v>0</v>
      </c>
      <c r="BN160" s="3123">
        <f t="shared" si="83"/>
        <v>0</v>
      </c>
      <c r="BO160" s="3123">
        <f t="shared" si="84"/>
        <v>0</v>
      </c>
      <c r="BP160" s="3123">
        <f t="shared" si="85"/>
        <v>0</v>
      </c>
      <c r="BQ160" s="3123">
        <f t="shared" si="86"/>
        <v>0</v>
      </c>
      <c r="BR160" s="3123">
        <f t="shared" si="87"/>
        <v>0</v>
      </c>
      <c r="BS160" s="3123">
        <f t="shared" si="88"/>
        <v>0</v>
      </c>
      <c r="BT160" s="3175">
        <f t="shared" si="89"/>
        <v>0</v>
      </c>
    </row>
    <row r="161" spans="1:72">
      <c r="A161" s="3120"/>
      <c r="B161" s="3121"/>
      <c r="C161" s="3121"/>
      <c r="D161" s="3122"/>
      <c r="E161" s="3123">
        <f t="shared" si="90"/>
        <v>0</v>
      </c>
      <c r="F161" s="3124"/>
      <c r="G161" s="3125">
        <f t="shared" si="65"/>
        <v>0</v>
      </c>
      <c r="H161" s="3126">
        <f t="shared" si="66"/>
        <v>0</v>
      </c>
      <c r="I161" s="3133"/>
      <c r="J161" s="3133"/>
      <c r="K161" s="3133"/>
      <c r="L161" s="3133"/>
      <c r="M161" s="3133"/>
      <c r="N161" s="3133"/>
      <c r="O161" s="3133"/>
      <c r="P161" s="3133"/>
      <c r="Q161" s="3133"/>
      <c r="R161" s="3133"/>
      <c r="S161" s="3133"/>
      <c r="T161" s="3133"/>
      <c r="U161" s="3133"/>
      <c r="V161" s="3133"/>
      <c r="W161" s="3133"/>
      <c r="X161" s="3133"/>
      <c r="Y161" s="3133"/>
      <c r="Z161" s="3133"/>
      <c r="AA161" s="3133"/>
      <c r="AB161" s="3133"/>
      <c r="AC161" s="3123">
        <f t="shared" si="67"/>
        <v>0</v>
      </c>
      <c r="AD161" s="3143"/>
      <c r="AE161" s="3143"/>
      <c r="AF161" s="3143"/>
      <c r="AG161" s="3143"/>
      <c r="AH161" s="3143"/>
      <c r="AI161" s="3143"/>
      <c r="AJ161" s="3143"/>
      <c r="AK161" s="3143"/>
      <c r="AL161" s="3143"/>
      <c r="AM161" s="3143"/>
      <c r="AN161" s="3143"/>
      <c r="AO161" s="3143"/>
      <c r="AP161" s="3143"/>
      <c r="AQ161" s="3143"/>
      <c r="AR161" s="3143"/>
      <c r="AS161" s="3143"/>
      <c r="AT161" s="3153"/>
      <c r="AU161" s="3154"/>
      <c r="AV161" s="270">
        <f t="shared" si="91"/>
        <v>0</v>
      </c>
      <c r="AW161" s="270">
        <f t="shared" si="92"/>
        <v>0</v>
      </c>
      <c r="AX161" s="270">
        <f t="shared" si="93"/>
        <v>0</v>
      </c>
      <c r="AY161" s="3168">
        <f t="shared" si="68"/>
        <v>0</v>
      </c>
      <c r="AZ161" s="3123">
        <f t="shared" si="69"/>
        <v>0</v>
      </c>
      <c r="BA161" s="3123">
        <f t="shared" si="70"/>
        <v>0</v>
      </c>
      <c r="BB161" s="3123">
        <f t="shared" si="71"/>
        <v>0</v>
      </c>
      <c r="BC161" s="3123">
        <f t="shared" si="72"/>
        <v>0</v>
      </c>
      <c r="BD161" s="3123">
        <f t="shared" si="73"/>
        <v>0</v>
      </c>
      <c r="BE161" s="3123">
        <f t="shared" si="74"/>
        <v>0</v>
      </c>
      <c r="BF161" s="3123">
        <f t="shared" si="75"/>
        <v>0</v>
      </c>
      <c r="BG161" s="3123">
        <f t="shared" si="76"/>
        <v>0</v>
      </c>
      <c r="BH161" s="3123">
        <f t="shared" si="77"/>
        <v>0</v>
      </c>
      <c r="BI161" s="3123">
        <f t="shared" si="78"/>
        <v>0</v>
      </c>
      <c r="BJ161" s="3123">
        <f t="shared" si="79"/>
        <v>0</v>
      </c>
      <c r="BK161" s="3123">
        <f t="shared" si="80"/>
        <v>0</v>
      </c>
      <c r="BL161" s="3123">
        <f t="shared" si="81"/>
        <v>0</v>
      </c>
      <c r="BM161" s="3123">
        <f t="shared" si="82"/>
        <v>0</v>
      </c>
      <c r="BN161" s="3123">
        <f t="shared" si="83"/>
        <v>0</v>
      </c>
      <c r="BO161" s="3123">
        <f t="shared" si="84"/>
        <v>0</v>
      </c>
      <c r="BP161" s="3123">
        <f t="shared" si="85"/>
        <v>0</v>
      </c>
      <c r="BQ161" s="3123">
        <f t="shared" si="86"/>
        <v>0</v>
      </c>
      <c r="BR161" s="3123">
        <f t="shared" si="87"/>
        <v>0</v>
      </c>
      <c r="BS161" s="3123">
        <f t="shared" si="88"/>
        <v>0</v>
      </c>
      <c r="BT161" s="3175">
        <f t="shared" si="89"/>
        <v>0</v>
      </c>
    </row>
    <row r="162" spans="1:72">
      <c r="A162" s="3120"/>
      <c r="B162" s="3121"/>
      <c r="C162" s="3121"/>
      <c r="D162" s="3122"/>
      <c r="E162" s="3123">
        <f t="shared" si="90"/>
        <v>0</v>
      </c>
      <c r="F162" s="3124"/>
      <c r="G162" s="3125">
        <f t="shared" si="65"/>
        <v>0</v>
      </c>
      <c r="H162" s="3126">
        <f t="shared" si="66"/>
        <v>0</v>
      </c>
      <c r="I162" s="3133"/>
      <c r="J162" s="3133"/>
      <c r="K162" s="3133"/>
      <c r="L162" s="3133"/>
      <c r="M162" s="3133"/>
      <c r="N162" s="3133"/>
      <c r="O162" s="3133"/>
      <c r="P162" s="3133"/>
      <c r="Q162" s="3133"/>
      <c r="R162" s="3133"/>
      <c r="S162" s="3133"/>
      <c r="T162" s="3133"/>
      <c r="U162" s="3133"/>
      <c r="V162" s="3133"/>
      <c r="W162" s="3133"/>
      <c r="X162" s="3133"/>
      <c r="Y162" s="3133"/>
      <c r="Z162" s="3133"/>
      <c r="AA162" s="3133"/>
      <c r="AB162" s="3133"/>
      <c r="AC162" s="3123">
        <f t="shared" si="67"/>
        <v>0</v>
      </c>
      <c r="AD162" s="3143"/>
      <c r="AE162" s="3143"/>
      <c r="AF162" s="3143"/>
      <c r="AG162" s="3143"/>
      <c r="AH162" s="3143"/>
      <c r="AI162" s="3143"/>
      <c r="AJ162" s="3143"/>
      <c r="AK162" s="3143"/>
      <c r="AL162" s="3143"/>
      <c r="AM162" s="3143"/>
      <c r="AN162" s="3143"/>
      <c r="AO162" s="3143"/>
      <c r="AP162" s="3143"/>
      <c r="AQ162" s="3143"/>
      <c r="AR162" s="3143"/>
      <c r="AS162" s="3143"/>
      <c r="AT162" s="3153"/>
      <c r="AU162" s="3154"/>
      <c r="AV162" s="270">
        <f t="shared" si="91"/>
        <v>0</v>
      </c>
      <c r="AW162" s="270">
        <f t="shared" si="92"/>
        <v>0</v>
      </c>
      <c r="AX162" s="270">
        <f t="shared" si="93"/>
        <v>0</v>
      </c>
      <c r="AY162" s="3168">
        <f t="shared" si="68"/>
        <v>0</v>
      </c>
      <c r="AZ162" s="3123">
        <f t="shared" si="69"/>
        <v>0</v>
      </c>
      <c r="BA162" s="3123">
        <f t="shared" si="70"/>
        <v>0</v>
      </c>
      <c r="BB162" s="3123">
        <f t="shared" si="71"/>
        <v>0</v>
      </c>
      <c r="BC162" s="3123">
        <f t="shared" si="72"/>
        <v>0</v>
      </c>
      <c r="BD162" s="3123">
        <f t="shared" si="73"/>
        <v>0</v>
      </c>
      <c r="BE162" s="3123">
        <f t="shared" si="74"/>
        <v>0</v>
      </c>
      <c r="BF162" s="3123">
        <f t="shared" si="75"/>
        <v>0</v>
      </c>
      <c r="BG162" s="3123">
        <f t="shared" si="76"/>
        <v>0</v>
      </c>
      <c r="BH162" s="3123">
        <f t="shared" si="77"/>
        <v>0</v>
      </c>
      <c r="BI162" s="3123">
        <f t="shared" si="78"/>
        <v>0</v>
      </c>
      <c r="BJ162" s="3123">
        <f t="shared" si="79"/>
        <v>0</v>
      </c>
      <c r="BK162" s="3123">
        <f t="shared" si="80"/>
        <v>0</v>
      </c>
      <c r="BL162" s="3123">
        <f t="shared" si="81"/>
        <v>0</v>
      </c>
      <c r="BM162" s="3123">
        <f t="shared" si="82"/>
        <v>0</v>
      </c>
      <c r="BN162" s="3123">
        <f t="shared" si="83"/>
        <v>0</v>
      </c>
      <c r="BO162" s="3123">
        <f t="shared" si="84"/>
        <v>0</v>
      </c>
      <c r="BP162" s="3123">
        <f t="shared" si="85"/>
        <v>0</v>
      </c>
      <c r="BQ162" s="3123">
        <f t="shared" si="86"/>
        <v>0</v>
      </c>
      <c r="BR162" s="3123">
        <f t="shared" si="87"/>
        <v>0</v>
      </c>
      <c r="BS162" s="3123">
        <f t="shared" si="88"/>
        <v>0</v>
      </c>
      <c r="BT162" s="3175">
        <f t="shared" si="89"/>
        <v>0</v>
      </c>
    </row>
    <row r="163" spans="1:72">
      <c r="A163" s="3120"/>
      <c r="B163" s="3121"/>
      <c r="C163" s="3121"/>
      <c r="D163" s="3122"/>
      <c r="E163" s="3123">
        <f t="shared" si="90"/>
        <v>0</v>
      </c>
      <c r="F163" s="3124"/>
      <c r="G163" s="3125">
        <f t="shared" si="65"/>
        <v>0</v>
      </c>
      <c r="H163" s="3126">
        <f t="shared" si="66"/>
        <v>0</v>
      </c>
      <c r="I163" s="3133"/>
      <c r="J163" s="3133"/>
      <c r="K163" s="3133"/>
      <c r="L163" s="3133"/>
      <c r="M163" s="3133"/>
      <c r="N163" s="3133"/>
      <c r="O163" s="3133"/>
      <c r="P163" s="3133"/>
      <c r="Q163" s="3133"/>
      <c r="R163" s="3133"/>
      <c r="S163" s="3133"/>
      <c r="T163" s="3133"/>
      <c r="U163" s="3133"/>
      <c r="V163" s="3133"/>
      <c r="W163" s="3133"/>
      <c r="X163" s="3133"/>
      <c r="Y163" s="3133"/>
      <c r="Z163" s="3133"/>
      <c r="AA163" s="3133"/>
      <c r="AB163" s="3133"/>
      <c r="AC163" s="3123">
        <f t="shared" si="67"/>
        <v>0</v>
      </c>
      <c r="AD163" s="3143"/>
      <c r="AE163" s="3143"/>
      <c r="AF163" s="3143"/>
      <c r="AG163" s="3143"/>
      <c r="AH163" s="3143"/>
      <c r="AI163" s="3143"/>
      <c r="AJ163" s="3143"/>
      <c r="AK163" s="3143"/>
      <c r="AL163" s="3143"/>
      <c r="AM163" s="3143"/>
      <c r="AN163" s="3143"/>
      <c r="AO163" s="3143"/>
      <c r="AP163" s="3143"/>
      <c r="AQ163" s="3143"/>
      <c r="AR163" s="3143"/>
      <c r="AS163" s="3143"/>
      <c r="AT163" s="3153"/>
      <c r="AU163" s="3154"/>
      <c r="AV163" s="270">
        <f t="shared" si="91"/>
        <v>0</v>
      </c>
      <c r="AW163" s="270">
        <f t="shared" si="92"/>
        <v>0</v>
      </c>
      <c r="AX163" s="270">
        <f t="shared" si="93"/>
        <v>0</v>
      </c>
      <c r="AY163" s="3168">
        <f t="shared" si="68"/>
        <v>0</v>
      </c>
      <c r="AZ163" s="3123">
        <f t="shared" si="69"/>
        <v>0</v>
      </c>
      <c r="BA163" s="3123">
        <f t="shared" si="70"/>
        <v>0</v>
      </c>
      <c r="BB163" s="3123">
        <f t="shared" si="71"/>
        <v>0</v>
      </c>
      <c r="BC163" s="3123">
        <f t="shared" si="72"/>
        <v>0</v>
      </c>
      <c r="BD163" s="3123">
        <f t="shared" si="73"/>
        <v>0</v>
      </c>
      <c r="BE163" s="3123">
        <f t="shared" si="74"/>
        <v>0</v>
      </c>
      <c r="BF163" s="3123">
        <f t="shared" si="75"/>
        <v>0</v>
      </c>
      <c r="BG163" s="3123">
        <f t="shared" si="76"/>
        <v>0</v>
      </c>
      <c r="BH163" s="3123">
        <f t="shared" si="77"/>
        <v>0</v>
      </c>
      <c r="BI163" s="3123">
        <f t="shared" si="78"/>
        <v>0</v>
      </c>
      <c r="BJ163" s="3123">
        <f t="shared" si="79"/>
        <v>0</v>
      </c>
      <c r="BK163" s="3123">
        <f t="shared" si="80"/>
        <v>0</v>
      </c>
      <c r="BL163" s="3123">
        <f t="shared" si="81"/>
        <v>0</v>
      </c>
      <c r="BM163" s="3123">
        <f t="shared" si="82"/>
        <v>0</v>
      </c>
      <c r="BN163" s="3123">
        <f t="shared" si="83"/>
        <v>0</v>
      </c>
      <c r="BO163" s="3123">
        <f t="shared" si="84"/>
        <v>0</v>
      </c>
      <c r="BP163" s="3123">
        <f t="shared" si="85"/>
        <v>0</v>
      </c>
      <c r="BQ163" s="3123">
        <f t="shared" si="86"/>
        <v>0</v>
      </c>
      <c r="BR163" s="3123">
        <f t="shared" si="87"/>
        <v>0</v>
      </c>
      <c r="BS163" s="3123">
        <f t="shared" si="88"/>
        <v>0</v>
      </c>
      <c r="BT163" s="3175">
        <f t="shared" si="89"/>
        <v>0</v>
      </c>
    </row>
    <row r="164" spans="1:72">
      <c r="A164" s="3120"/>
      <c r="B164" s="3121"/>
      <c r="C164" s="3121"/>
      <c r="D164" s="3122"/>
      <c r="E164" s="3123">
        <f t="shared" si="90"/>
        <v>0</v>
      </c>
      <c r="F164" s="3124"/>
      <c r="G164" s="3125">
        <f t="shared" si="65"/>
        <v>0</v>
      </c>
      <c r="H164" s="3126">
        <f t="shared" si="66"/>
        <v>0</v>
      </c>
      <c r="I164" s="3133"/>
      <c r="J164" s="3133"/>
      <c r="K164" s="3133"/>
      <c r="L164" s="3133"/>
      <c r="M164" s="3133"/>
      <c r="N164" s="3133"/>
      <c r="O164" s="3133"/>
      <c r="P164" s="3133"/>
      <c r="Q164" s="3133"/>
      <c r="R164" s="3133"/>
      <c r="S164" s="3133"/>
      <c r="T164" s="3133"/>
      <c r="U164" s="3133"/>
      <c r="V164" s="3133"/>
      <c r="W164" s="3133"/>
      <c r="X164" s="3133"/>
      <c r="Y164" s="3133"/>
      <c r="Z164" s="3133"/>
      <c r="AA164" s="3133"/>
      <c r="AB164" s="3133"/>
      <c r="AC164" s="3123">
        <f t="shared" si="67"/>
        <v>0</v>
      </c>
      <c r="AD164" s="3143"/>
      <c r="AE164" s="3143"/>
      <c r="AF164" s="3143"/>
      <c r="AG164" s="3143"/>
      <c r="AH164" s="3143"/>
      <c r="AI164" s="3143"/>
      <c r="AJ164" s="3143"/>
      <c r="AK164" s="3143"/>
      <c r="AL164" s="3143"/>
      <c r="AM164" s="3143"/>
      <c r="AN164" s="3143"/>
      <c r="AO164" s="3143"/>
      <c r="AP164" s="3143"/>
      <c r="AQ164" s="3143"/>
      <c r="AR164" s="3143"/>
      <c r="AS164" s="3143"/>
      <c r="AT164" s="3153"/>
      <c r="AU164" s="3154"/>
      <c r="AV164" s="270">
        <f t="shared" si="91"/>
        <v>0</v>
      </c>
      <c r="AW164" s="270">
        <f t="shared" si="92"/>
        <v>0</v>
      </c>
      <c r="AX164" s="270">
        <f t="shared" si="93"/>
        <v>0</v>
      </c>
      <c r="AY164" s="3168">
        <f t="shared" si="68"/>
        <v>0</v>
      </c>
      <c r="AZ164" s="3123">
        <f t="shared" si="69"/>
        <v>0</v>
      </c>
      <c r="BA164" s="3123">
        <f t="shared" si="70"/>
        <v>0</v>
      </c>
      <c r="BB164" s="3123">
        <f t="shared" si="71"/>
        <v>0</v>
      </c>
      <c r="BC164" s="3123">
        <f t="shared" si="72"/>
        <v>0</v>
      </c>
      <c r="BD164" s="3123">
        <f t="shared" si="73"/>
        <v>0</v>
      </c>
      <c r="BE164" s="3123">
        <f t="shared" si="74"/>
        <v>0</v>
      </c>
      <c r="BF164" s="3123">
        <f t="shared" si="75"/>
        <v>0</v>
      </c>
      <c r="BG164" s="3123">
        <f t="shared" si="76"/>
        <v>0</v>
      </c>
      <c r="BH164" s="3123">
        <f t="shared" si="77"/>
        <v>0</v>
      </c>
      <c r="BI164" s="3123">
        <f t="shared" si="78"/>
        <v>0</v>
      </c>
      <c r="BJ164" s="3123">
        <f t="shared" si="79"/>
        <v>0</v>
      </c>
      <c r="BK164" s="3123">
        <f t="shared" si="80"/>
        <v>0</v>
      </c>
      <c r="BL164" s="3123">
        <f t="shared" si="81"/>
        <v>0</v>
      </c>
      <c r="BM164" s="3123">
        <f t="shared" si="82"/>
        <v>0</v>
      </c>
      <c r="BN164" s="3123">
        <f t="shared" si="83"/>
        <v>0</v>
      </c>
      <c r="BO164" s="3123">
        <f t="shared" si="84"/>
        <v>0</v>
      </c>
      <c r="BP164" s="3123">
        <f t="shared" si="85"/>
        <v>0</v>
      </c>
      <c r="BQ164" s="3123">
        <f t="shared" si="86"/>
        <v>0</v>
      </c>
      <c r="BR164" s="3123">
        <f t="shared" si="87"/>
        <v>0</v>
      </c>
      <c r="BS164" s="3123">
        <f t="shared" si="88"/>
        <v>0</v>
      </c>
      <c r="BT164" s="3175">
        <f t="shared" si="89"/>
        <v>0</v>
      </c>
    </row>
    <row r="165" spans="1:72">
      <c r="A165" s="3120"/>
      <c r="B165" s="3121"/>
      <c r="C165" s="3121"/>
      <c r="D165" s="3122"/>
      <c r="E165" s="3123">
        <f t="shared" si="90"/>
        <v>0</v>
      </c>
      <c r="F165" s="3124"/>
      <c r="G165" s="3125">
        <f t="shared" si="65"/>
        <v>0</v>
      </c>
      <c r="H165" s="3126">
        <f t="shared" si="66"/>
        <v>0</v>
      </c>
      <c r="I165" s="3133"/>
      <c r="J165" s="3133"/>
      <c r="K165" s="3133"/>
      <c r="L165" s="3133"/>
      <c r="M165" s="3133"/>
      <c r="N165" s="3133"/>
      <c r="O165" s="3133"/>
      <c r="P165" s="3133"/>
      <c r="Q165" s="3133"/>
      <c r="R165" s="3133"/>
      <c r="S165" s="3133"/>
      <c r="T165" s="3133"/>
      <c r="U165" s="3133"/>
      <c r="V165" s="3133"/>
      <c r="W165" s="3133"/>
      <c r="X165" s="3133"/>
      <c r="Y165" s="3133"/>
      <c r="Z165" s="3133"/>
      <c r="AA165" s="3133"/>
      <c r="AB165" s="3133"/>
      <c r="AC165" s="3123">
        <f t="shared" si="67"/>
        <v>0</v>
      </c>
      <c r="AD165" s="3143"/>
      <c r="AE165" s="3143"/>
      <c r="AF165" s="3143"/>
      <c r="AG165" s="3143"/>
      <c r="AH165" s="3143"/>
      <c r="AI165" s="3143"/>
      <c r="AJ165" s="3143"/>
      <c r="AK165" s="3143"/>
      <c r="AL165" s="3143"/>
      <c r="AM165" s="3143"/>
      <c r="AN165" s="3143"/>
      <c r="AO165" s="3143"/>
      <c r="AP165" s="3143"/>
      <c r="AQ165" s="3143"/>
      <c r="AR165" s="3143"/>
      <c r="AS165" s="3143"/>
      <c r="AT165" s="3153"/>
      <c r="AU165" s="3154"/>
      <c r="AV165" s="270">
        <f t="shared" si="91"/>
        <v>0</v>
      </c>
      <c r="AW165" s="270">
        <f t="shared" si="92"/>
        <v>0</v>
      </c>
      <c r="AX165" s="270">
        <f t="shared" si="93"/>
        <v>0</v>
      </c>
      <c r="AY165" s="3168">
        <f t="shared" si="68"/>
        <v>0</v>
      </c>
      <c r="AZ165" s="3123">
        <f t="shared" si="69"/>
        <v>0</v>
      </c>
      <c r="BA165" s="3123">
        <f t="shared" si="70"/>
        <v>0</v>
      </c>
      <c r="BB165" s="3123">
        <f t="shared" si="71"/>
        <v>0</v>
      </c>
      <c r="BC165" s="3123">
        <f t="shared" si="72"/>
        <v>0</v>
      </c>
      <c r="BD165" s="3123">
        <f t="shared" si="73"/>
        <v>0</v>
      </c>
      <c r="BE165" s="3123">
        <f t="shared" si="74"/>
        <v>0</v>
      </c>
      <c r="BF165" s="3123">
        <f t="shared" si="75"/>
        <v>0</v>
      </c>
      <c r="BG165" s="3123">
        <f t="shared" si="76"/>
        <v>0</v>
      </c>
      <c r="BH165" s="3123">
        <f t="shared" si="77"/>
        <v>0</v>
      </c>
      <c r="BI165" s="3123">
        <f t="shared" si="78"/>
        <v>0</v>
      </c>
      <c r="BJ165" s="3123">
        <f t="shared" si="79"/>
        <v>0</v>
      </c>
      <c r="BK165" s="3123">
        <f t="shared" si="80"/>
        <v>0</v>
      </c>
      <c r="BL165" s="3123">
        <f t="shared" si="81"/>
        <v>0</v>
      </c>
      <c r="BM165" s="3123">
        <f t="shared" si="82"/>
        <v>0</v>
      </c>
      <c r="BN165" s="3123">
        <f t="shared" si="83"/>
        <v>0</v>
      </c>
      <c r="BO165" s="3123">
        <f t="shared" si="84"/>
        <v>0</v>
      </c>
      <c r="BP165" s="3123">
        <f t="shared" si="85"/>
        <v>0</v>
      </c>
      <c r="BQ165" s="3123">
        <f t="shared" si="86"/>
        <v>0</v>
      </c>
      <c r="BR165" s="3123">
        <f t="shared" si="87"/>
        <v>0</v>
      </c>
      <c r="BS165" s="3123">
        <f t="shared" si="88"/>
        <v>0</v>
      </c>
      <c r="BT165" s="3175">
        <f t="shared" si="89"/>
        <v>0</v>
      </c>
    </row>
    <row r="166" spans="1:72">
      <c r="A166" s="3120"/>
      <c r="B166" s="3121"/>
      <c r="C166" s="3121"/>
      <c r="D166" s="3122"/>
      <c r="E166" s="3123">
        <f t="shared" si="90"/>
        <v>0</v>
      </c>
      <c r="F166" s="3124"/>
      <c r="G166" s="3125">
        <f t="shared" si="65"/>
        <v>0</v>
      </c>
      <c r="H166" s="3126">
        <f t="shared" si="66"/>
        <v>0</v>
      </c>
      <c r="I166" s="3133"/>
      <c r="J166" s="3133"/>
      <c r="K166" s="3133"/>
      <c r="L166" s="3133"/>
      <c r="M166" s="3133"/>
      <c r="N166" s="3133"/>
      <c r="O166" s="3133"/>
      <c r="P166" s="3133"/>
      <c r="Q166" s="3133"/>
      <c r="R166" s="3133"/>
      <c r="S166" s="3133"/>
      <c r="T166" s="3133"/>
      <c r="U166" s="3133"/>
      <c r="V166" s="3133"/>
      <c r="W166" s="3133"/>
      <c r="X166" s="3133"/>
      <c r="Y166" s="3133"/>
      <c r="Z166" s="3133"/>
      <c r="AA166" s="3133"/>
      <c r="AB166" s="3133"/>
      <c r="AC166" s="3123">
        <f t="shared" si="67"/>
        <v>0</v>
      </c>
      <c r="AD166" s="3143"/>
      <c r="AE166" s="3143"/>
      <c r="AF166" s="3143"/>
      <c r="AG166" s="3143"/>
      <c r="AH166" s="3143"/>
      <c r="AI166" s="3143"/>
      <c r="AJ166" s="3143"/>
      <c r="AK166" s="3143"/>
      <c r="AL166" s="3143"/>
      <c r="AM166" s="3143"/>
      <c r="AN166" s="3143"/>
      <c r="AO166" s="3143"/>
      <c r="AP166" s="3143"/>
      <c r="AQ166" s="3143"/>
      <c r="AR166" s="3143"/>
      <c r="AS166" s="3143"/>
      <c r="AT166" s="3153"/>
      <c r="AU166" s="3154"/>
      <c r="AV166" s="270">
        <f t="shared" si="91"/>
        <v>0</v>
      </c>
      <c r="AW166" s="270">
        <f t="shared" si="92"/>
        <v>0</v>
      </c>
      <c r="AX166" s="270">
        <f t="shared" si="93"/>
        <v>0</v>
      </c>
      <c r="AY166" s="3168">
        <f t="shared" si="68"/>
        <v>0</v>
      </c>
      <c r="AZ166" s="3123">
        <f t="shared" si="69"/>
        <v>0</v>
      </c>
      <c r="BA166" s="3123">
        <f t="shared" si="70"/>
        <v>0</v>
      </c>
      <c r="BB166" s="3123">
        <f t="shared" si="71"/>
        <v>0</v>
      </c>
      <c r="BC166" s="3123">
        <f t="shared" si="72"/>
        <v>0</v>
      </c>
      <c r="BD166" s="3123">
        <f t="shared" si="73"/>
        <v>0</v>
      </c>
      <c r="BE166" s="3123">
        <f t="shared" si="74"/>
        <v>0</v>
      </c>
      <c r="BF166" s="3123">
        <f t="shared" si="75"/>
        <v>0</v>
      </c>
      <c r="BG166" s="3123">
        <f t="shared" si="76"/>
        <v>0</v>
      </c>
      <c r="BH166" s="3123">
        <f t="shared" si="77"/>
        <v>0</v>
      </c>
      <c r="BI166" s="3123">
        <f t="shared" si="78"/>
        <v>0</v>
      </c>
      <c r="BJ166" s="3123">
        <f t="shared" si="79"/>
        <v>0</v>
      </c>
      <c r="BK166" s="3123">
        <f t="shared" si="80"/>
        <v>0</v>
      </c>
      <c r="BL166" s="3123">
        <f t="shared" si="81"/>
        <v>0</v>
      </c>
      <c r="BM166" s="3123">
        <f t="shared" si="82"/>
        <v>0</v>
      </c>
      <c r="BN166" s="3123">
        <f t="shared" si="83"/>
        <v>0</v>
      </c>
      <c r="BO166" s="3123">
        <f t="shared" si="84"/>
        <v>0</v>
      </c>
      <c r="BP166" s="3123">
        <f t="shared" si="85"/>
        <v>0</v>
      </c>
      <c r="BQ166" s="3123">
        <f t="shared" si="86"/>
        <v>0</v>
      </c>
      <c r="BR166" s="3123">
        <f t="shared" si="87"/>
        <v>0</v>
      </c>
      <c r="BS166" s="3123">
        <f t="shared" si="88"/>
        <v>0</v>
      </c>
      <c r="BT166" s="3175">
        <f t="shared" si="89"/>
        <v>0</v>
      </c>
    </row>
    <row r="167" spans="1:72">
      <c r="A167" s="3120"/>
      <c r="B167" s="3121"/>
      <c r="C167" s="3121"/>
      <c r="D167" s="3122"/>
      <c r="E167" s="3123">
        <f t="shared" si="90"/>
        <v>0</v>
      </c>
      <c r="F167" s="3124"/>
      <c r="G167" s="3125">
        <f t="shared" si="65"/>
        <v>0</v>
      </c>
      <c r="H167" s="3126">
        <f t="shared" si="66"/>
        <v>0</v>
      </c>
      <c r="I167" s="3133"/>
      <c r="J167" s="3133"/>
      <c r="K167" s="3133"/>
      <c r="L167" s="3133"/>
      <c r="M167" s="3133"/>
      <c r="N167" s="3133"/>
      <c r="O167" s="3133"/>
      <c r="P167" s="3133"/>
      <c r="Q167" s="3133"/>
      <c r="R167" s="3133"/>
      <c r="S167" s="3133"/>
      <c r="T167" s="3133"/>
      <c r="U167" s="3133"/>
      <c r="V167" s="3133"/>
      <c r="W167" s="3133"/>
      <c r="X167" s="3133"/>
      <c r="Y167" s="3133"/>
      <c r="Z167" s="3133"/>
      <c r="AA167" s="3133"/>
      <c r="AB167" s="3133"/>
      <c r="AC167" s="3123">
        <f t="shared" si="67"/>
        <v>0</v>
      </c>
      <c r="AD167" s="3143"/>
      <c r="AE167" s="3143"/>
      <c r="AF167" s="3143"/>
      <c r="AG167" s="3143"/>
      <c r="AH167" s="3143"/>
      <c r="AI167" s="3143"/>
      <c r="AJ167" s="3143"/>
      <c r="AK167" s="3143"/>
      <c r="AL167" s="3143"/>
      <c r="AM167" s="3143"/>
      <c r="AN167" s="3143"/>
      <c r="AO167" s="3143"/>
      <c r="AP167" s="3143"/>
      <c r="AQ167" s="3143"/>
      <c r="AR167" s="3143"/>
      <c r="AS167" s="3143"/>
      <c r="AT167" s="3153"/>
      <c r="AU167" s="3154"/>
      <c r="AV167" s="270">
        <f t="shared" si="91"/>
        <v>0</v>
      </c>
      <c r="AW167" s="270">
        <f t="shared" si="92"/>
        <v>0</v>
      </c>
      <c r="AX167" s="270">
        <f t="shared" si="93"/>
        <v>0</v>
      </c>
      <c r="AY167" s="3168">
        <f t="shared" si="68"/>
        <v>0</v>
      </c>
      <c r="AZ167" s="3123">
        <f t="shared" si="69"/>
        <v>0</v>
      </c>
      <c r="BA167" s="3123">
        <f t="shared" si="70"/>
        <v>0</v>
      </c>
      <c r="BB167" s="3123">
        <f t="shared" si="71"/>
        <v>0</v>
      </c>
      <c r="BC167" s="3123">
        <f t="shared" si="72"/>
        <v>0</v>
      </c>
      <c r="BD167" s="3123">
        <f t="shared" si="73"/>
        <v>0</v>
      </c>
      <c r="BE167" s="3123">
        <f t="shared" si="74"/>
        <v>0</v>
      </c>
      <c r="BF167" s="3123">
        <f t="shared" si="75"/>
        <v>0</v>
      </c>
      <c r="BG167" s="3123">
        <f t="shared" si="76"/>
        <v>0</v>
      </c>
      <c r="BH167" s="3123">
        <f t="shared" si="77"/>
        <v>0</v>
      </c>
      <c r="BI167" s="3123">
        <f t="shared" si="78"/>
        <v>0</v>
      </c>
      <c r="BJ167" s="3123">
        <f t="shared" si="79"/>
        <v>0</v>
      </c>
      <c r="BK167" s="3123">
        <f t="shared" si="80"/>
        <v>0</v>
      </c>
      <c r="BL167" s="3123">
        <f t="shared" si="81"/>
        <v>0</v>
      </c>
      <c r="BM167" s="3123">
        <f t="shared" si="82"/>
        <v>0</v>
      </c>
      <c r="BN167" s="3123">
        <f t="shared" si="83"/>
        <v>0</v>
      </c>
      <c r="BO167" s="3123">
        <f t="shared" si="84"/>
        <v>0</v>
      </c>
      <c r="BP167" s="3123">
        <f t="shared" si="85"/>
        <v>0</v>
      </c>
      <c r="BQ167" s="3123">
        <f t="shared" si="86"/>
        <v>0</v>
      </c>
      <c r="BR167" s="3123">
        <f t="shared" si="87"/>
        <v>0</v>
      </c>
      <c r="BS167" s="3123">
        <f t="shared" si="88"/>
        <v>0</v>
      </c>
      <c r="BT167" s="3175">
        <f t="shared" si="89"/>
        <v>0</v>
      </c>
    </row>
    <row r="168" spans="1:72">
      <c r="A168" s="3120"/>
      <c r="B168" s="3121"/>
      <c r="C168" s="3121"/>
      <c r="D168" s="3122"/>
      <c r="E168" s="3123">
        <f t="shared" si="90"/>
        <v>0</v>
      </c>
      <c r="F168" s="3124"/>
      <c r="G168" s="3125">
        <f t="shared" si="65"/>
        <v>0</v>
      </c>
      <c r="H168" s="3126">
        <f t="shared" si="66"/>
        <v>0</v>
      </c>
      <c r="I168" s="3133"/>
      <c r="J168" s="3133"/>
      <c r="K168" s="3133"/>
      <c r="L168" s="3133"/>
      <c r="M168" s="3133"/>
      <c r="N168" s="3133"/>
      <c r="O168" s="3133"/>
      <c r="P168" s="3133"/>
      <c r="Q168" s="3133"/>
      <c r="R168" s="3133"/>
      <c r="S168" s="3133"/>
      <c r="T168" s="3133"/>
      <c r="U168" s="3133"/>
      <c r="V168" s="3133"/>
      <c r="W168" s="3133"/>
      <c r="X168" s="3133"/>
      <c r="Y168" s="3133"/>
      <c r="Z168" s="3133"/>
      <c r="AA168" s="3133"/>
      <c r="AB168" s="3133"/>
      <c r="AC168" s="3123">
        <f t="shared" si="67"/>
        <v>0</v>
      </c>
      <c r="AD168" s="3143"/>
      <c r="AE168" s="3143"/>
      <c r="AF168" s="3143"/>
      <c r="AG168" s="3143"/>
      <c r="AH168" s="3143"/>
      <c r="AI168" s="3143"/>
      <c r="AJ168" s="3143"/>
      <c r="AK168" s="3143"/>
      <c r="AL168" s="3143"/>
      <c r="AM168" s="3143"/>
      <c r="AN168" s="3143"/>
      <c r="AO168" s="3143"/>
      <c r="AP168" s="3143"/>
      <c r="AQ168" s="3143"/>
      <c r="AR168" s="3143"/>
      <c r="AS168" s="3143"/>
      <c r="AT168" s="3153"/>
      <c r="AU168" s="3154"/>
      <c r="AV168" s="270">
        <f t="shared" si="91"/>
        <v>0</v>
      </c>
      <c r="AW168" s="270">
        <f t="shared" si="92"/>
        <v>0</v>
      </c>
      <c r="AX168" s="270">
        <f t="shared" si="93"/>
        <v>0</v>
      </c>
      <c r="AY168" s="3168">
        <f t="shared" si="68"/>
        <v>0</v>
      </c>
      <c r="AZ168" s="3123">
        <f t="shared" si="69"/>
        <v>0</v>
      </c>
      <c r="BA168" s="3123">
        <f t="shared" si="70"/>
        <v>0</v>
      </c>
      <c r="BB168" s="3123">
        <f t="shared" si="71"/>
        <v>0</v>
      </c>
      <c r="BC168" s="3123">
        <f t="shared" si="72"/>
        <v>0</v>
      </c>
      <c r="BD168" s="3123">
        <f t="shared" si="73"/>
        <v>0</v>
      </c>
      <c r="BE168" s="3123">
        <f t="shared" si="74"/>
        <v>0</v>
      </c>
      <c r="BF168" s="3123">
        <f t="shared" si="75"/>
        <v>0</v>
      </c>
      <c r="BG168" s="3123">
        <f t="shared" si="76"/>
        <v>0</v>
      </c>
      <c r="BH168" s="3123">
        <f t="shared" si="77"/>
        <v>0</v>
      </c>
      <c r="BI168" s="3123">
        <f t="shared" si="78"/>
        <v>0</v>
      </c>
      <c r="BJ168" s="3123">
        <f t="shared" si="79"/>
        <v>0</v>
      </c>
      <c r="BK168" s="3123">
        <f t="shared" si="80"/>
        <v>0</v>
      </c>
      <c r="BL168" s="3123">
        <f t="shared" si="81"/>
        <v>0</v>
      </c>
      <c r="BM168" s="3123">
        <f t="shared" si="82"/>
        <v>0</v>
      </c>
      <c r="BN168" s="3123">
        <f t="shared" si="83"/>
        <v>0</v>
      </c>
      <c r="BO168" s="3123">
        <f t="shared" si="84"/>
        <v>0</v>
      </c>
      <c r="BP168" s="3123">
        <f t="shared" si="85"/>
        <v>0</v>
      </c>
      <c r="BQ168" s="3123">
        <f t="shared" si="86"/>
        <v>0</v>
      </c>
      <c r="BR168" s="3123">
        <f t="shared" si="87"/>
        <v>0</v>
      </c>
      <c r="BS168" s="3123">
        <f t="shared" si="88"/>
        <v>0</v>
      </c>
      <c r="BT168" s="3175">
        <f t="shared" si="89"/>
        <v>0</v>
      </c>
    </row>
    <row r="169" spans="1:72">
      <c r="A169" s="3120"/>
      <c r="B169" s="3121"/>
      <c r="C169" s="3121"/>
      <c r="D169" s="3122"/>
      <c r="E169" s="3123">
        <f t="shared" si="90"/>
        <v>0</v>
      </c>
      <c r="F169" s="3124"/>
      <c r="G169" s="3125">
        <f t="shared" si="65"/>
        <v>0</v>
      </c>
      <c r="H169" s="3126">
        <f t="shared" si="66"/>
        <v>0</v>
      </c>
      <c r="I169" s="3133"/>
      <c r="J169" s="3133"/>
      <c r="K169" s="3133"/>
      <c r="L169" s="3133"/>
      <c r="M169" s="3133"/>
      <c r="N169" s="3133"/>
      <c r="O169" s="3133"/>
      <c r="P169" s="3133"/>
      <c r="Q169" s="3133"/>
      <c r="R169" s="3133"/>
      <c r="S169" s="3133"/>
      <c r="T169" s="3133"/>
      <c r="U169" s="3133"/>
      <c r="V169" s="3133"/>
      <c r="W169" s="3133"/>
      <c r="X169" s="3133"/>
      <c r="Y169" s="3133"/>
      <c r="Z169" s="3133"/>
      <c r="AA169" s="3133"/>
      <c r="AB169" s="3133"/>
      <c r="AC169" s="3123">
        <f t="shared" si="67"/>
        <v>0</v>
      </c>
      <c r="AD169" s="3143"/>
      <c r="AE169" s="3143"/>
      <c r="AF169" s="3143"/>
      <c r="AG169" s="3143"/>
      <c r="AH169" s="3143"/>
      <c r="AI169" s="3143"/>
      <c r="AJ169" s="3143"/>
      <c r="AK169" s="3143"/>
      <c r="AL169" s="3143"/>
      <c r="AM169" s="3143"/>
      <c r="AN169" s="3143"/>
      <c r="AO169" s="3143"/>
      <c r="AP169" s="3143"/>
      <c r="AQ169" s="3143"/>
      <c r="AR169" s="3143"/>
      <c r="AS169" s="3143"/>
      <c r="AT169" s="3153"/>
      <c r="AU169" s="3154"/>
      <c r="AV169" s="270">
        <f t="shared" si="91"/>
        <v>0</v>
      </c>
      <c r="AW169" s="270">
        <f t="shared" si="92"/>
        <v>0</v>
      </c>
      <c r="AX169" s="270">
        <f t="shared" si="93"/>
        <v>0</v>
      </c>
      <c r="AY169" s="3168">
        <f t="shared" si="68"/>
        <v>0</v>
      </c>
      <c r="AZ169" s="3123">
        <f t="shared" si="69"/>
        <v>0</v>
      </c>
      <c r="BA169" s="3123">
        <f t="shared" si="70"/>
        <v>0</v>
      </c>
      <c r="BB169" s="3123">
        <f t="shared" si="71"/>
        <v>0</v>
      </c>
      <c r="BC169" s="3123">
        <f t="shared" si="72"/>
        <v>0</v>
      </c>
      <c r="BD169" s="3123">
        <f t="shared" si="73"/>
        <v>0</v>
      </c>
      <c r="BE169" s="3123">
        <f t="shared" si="74"/>
        <v>0</v>
      </c>
      <c r="BF169" s="3123">
        <f t="shared" si="75"/>
        <v>0</v>
      </c>
      <c r="BG169" s="3123">
        <f t="shared" si="76"/>
        <v>0</v>
      </c>
      <c r="BH169" s="3123">
        <f t="shared" si="77"/>
        <v>0</v>
      </c>
      <c r="BI169" s="3123">
        <f t="shared" si="78"/>
        <v>0</v>
      </c>
      <c r="BJ169" s="3123">
        <f t="shared" si="79"/>
        <v>0</v>
      </c>
      <c r="BK169" s="3123">
        <f t="shared" si="80"/>
        <v>0</v>
      </c>
      <c r="BL169" s="3123">
        <f t="shared" si="81"/>
        <v>0</v>
      </c>
      <c r="BM169" s="3123">
        <f t="shared" si="82"/>
        <v>0</v>
      </c>
      <c r="BN169" s="3123">
        <f t="shared" si="83"/>
        <v>0</v>
      </c>
      <c r="BO169" s="3123">
        <f t="shared" si="84"/>
        <v>0</v>
      </c>
      <c r="BP169" s="3123">
        <f t="shared" si="85"/>
        <v>0</v>
      </c>
      <c r="BQ169" s="3123">
        <f t="shared" si="86"/>
        <v>0</v>
      </c>
      <c r="BR169" s="3123">
        <f t="shared" si="87"/>
        <v>0</v>
      </c>
      <c r="BS169" s="3123">
        <f t="shared" si="88"/>
        <v>0</v>
      </c>
      <c r="BT169" s="3175">
        <f t="shared" si="89"/>
        <v>0</v>
      </c>
    </row>
    <row r="170" spans="1:72">
      <c r="A170" s="3120"/>
      <c r="B170" s="3121"/>
      <c r="C170" s="3121"/>
      <c r="D170" s="3122"/>
      <c r="E170" s="3123">
        <f t="shared" si="90"/>
        <v>0</v>
      </c>
      <c r="F170" s="3124"/>
      <c r="G170" s="3125">
        <f t="shared" si="65"/>
        <v>0</v>
      </c>
      <c r="H170" s="3126">
        <f t="shared" si="66"/>
        <v>0</v>
      </c>
      <c r="I170" s="3133"/>
      <c r="J170" s="3133"/>
      <c r="K170" s="3133"/>
      <c r="L170" s="3133"/>
      <c r="M170" s="3133"/>
      <c r="N170" s="3133"/>
      <c r="O170" s="3133"/>
      <c r="P170" s="3133"/>
      <c r="Q170" s="3133"/>
      <c r="R170" s="3133"/>
      <c r="S170" s="3133"/>
      <c r="T170" s="3133"/>
      <c r="U170" s="3133"/>
      <c r="V170" s="3133"/>
      <c r="W170" s="3133"/>
      <c r="X170" s="3133"/>
      <c r="Y170" s="3133"/>
      <c r="Z170" s="3133"/>
      <c r="AA170" s="3133"/>
      <c r="AB170" s="3133"/>
      <c r="AC170" s="3123">
        <f t="shared" si="67"/>
        <v>0</v>
      </c>
      <c r="AD170" s="3143"/>
      <c r="AE170" s="3143"/>
      <c r="AF170" s="3143"/>
      <c r="AG170" s="3143"/>
      <c r="AH170" s="3143"/>
      <c r="AI170" s="3143"/>
      <c r="AJ170" s="3143"/>
      <c r="AK170" s="3143"/>
      <c r="AL170" s="3143"/>
      <c r="AM170" s="3143"/>
      <c r="AN170" s="3143"/>
      <c r="AO170" s="3143"/>
      <c r="AP170" s="3143"/>
      <c r="AQ170" s="3143"/>
      <c r="AR170" s="3143"/>
      <c r="AS170" s="3143"/>
      <c r="AT170" s="3153"/>
      <c r="AU170" s="3154"/>
      <c r="AV170" s="270">
        <f t="shared" si="91"/>
        <v>0</v>
      </c>
      <c r="AW170" s="270">
        <f t="shared" si="92"/>
        <v>0</v>
      </c>
      <c r="AX170" s="270">
        <f t="shared" si="93"/>
        <v>0</v>
      </c>
      <c r="AY170" s="3168">
        <f t="shared" si="68"/>
        <v>0</v>
      </c>
      <c r="AZ170" s="3123">
        <f t="shared" si="69"/>
        <v>0</v>
      </c>
      <c r="BA170" s="3123">
        <f t="shared" si="70"/>
        <v>0</v>
      </c>
      <c r="BB170" s="3123">
        <f t="shared" si="71"/>
        <v>0</v>
      </c>
      <c r="BC170" s="3123">
        <f t="shared" si="72"/>
        <v>0</v>
      </c>
      <c r="BD170" s="3123">
        <f t="shared" si="73"/>
        <v>0</v>
      </c>
      <c r="BE170" s="3123">
        <f t="shared" si="74"/>
        <v>0</v>
      </c>
      <c r="BF170" s="3123">
        <f t="shared" si="75"/>
        <v>0</v>
      </c>
      <c r="BG170" s="3123">
        <f t="shared" si="76"/>
        <v>0</v>
      </c>
      <c r="BH170" s="3123">
        <f t="shared" si="77"/>
        <v>0</v>
      </c>
      <c r="BI170" s="3123">
        <f t="shared" si="78"/>
        <v>0</v>
      </c>
      <c r="BJ170" s="3123">
        <f t="shared" si="79"/>
        <v>0</v>
      </c>
      <c r="BK170" s="3123">
        <f t="shared" si="80"/>
        <v>0</v>
      </c>
      <c r="BL170" s="3123">
        <f t="shared" si="81"/>
        <v>0</v>
      </c>
      <c r="BM170" s="3123">
        <f t="shared" si="82"/>
        <v>0</v>
      </c>
      <c r="BN170" s="3123">
        <f t="shared" si="83"/>
        <v>0</v>
      </c>
      <c r="BO170" s="3123">
        <f t="shared" si="84"/>
        <v>0</v>
      </c>
      <c r="BP170" s="3123">
        <f t="shared" si="85"/>
        <v>0</v>
      </c>
      <c r="BQ170" s="3123">
        <f t="shared" si="86"/>
        <v>0</v>
      </c>
      <c r="BR170" s="3123">
        <f t="shared" si="87"/>
        <v>0</v>
      </c>
      <c r="BS170" s="3123">
        <f t="shared" si="88"/>
        <v>0</v>
      </c>
      <c r="BT170" s="3175">
        <f t="shared" si="89"/>
        <v>0</v>
      </c>
    </row>
    <row r="171" spans="1:72">
      <c r="A171" s="3120"/>
      <c r="B171" s="3121"/>
      <c r="C171" s="3121"/>
      <c r="D171" s="3122"/>
      <c r="E171" s="3123">
        <f t="shared" si="90"/>
        <v>0</v>
      </c>
      <c r="F171" s="3124"/>
      <c r="G171" s="3125">
        <f t="shared" si="65"/>
        <v>0</v>
      </c>
      <c r="H171" s="3126">
        <f t="shared" si="66"/>
        <v>0</v>
      </c>
      <c r="I171" s="3133"/>
      <c r="J171" s="3133"/>
      <c r="K171" s="3133"/>
      <c r="L171" s="3133"/>
      <c r="M171" s="3133"/>
      <c r="N171" s="3133"/>
      <c r="O171" s="3133"/>
      <c r="P171" s="3133"/>
      <c r="Q171" s="3133"/>
      <c r="R171" s="3133"/>
      <c r="S171" s="3133"/>
      <c r="T171" s="3133"/>
      <c r="U171" s="3133"/>
      <c r="V171" s="3133"/>
      <c r="W171" s="3133"/>
      <c r="X171" s="3133"/>
      <c r="Y171" s="3133"/>
      <c r="Z171" s="3133"/>
      <c r="AA171" s="3133"/>
      <c r="AB171" s="3133"/>
      <c r="AC171" s="3123">
        <f t="shared" si="67"/>
        <v>0</v>
      </c>
      <c r="AD171" s="3143"/>
      <c r="AE171" s="3143"/>
      <c r="AF171" s="3143"/>
      <c r="AG171" s="3143"/>
      <c r="AH171" s="3143"/>
      <c r="AI171" s="3143"/>
      <c r="AJ171" s="3143"/>
      <c r="AK171" s="3143"/>
      <c r="AL171" s="3143"/>
      <c r="AM171" s="3143"/>
      <c r="AN171" s="3143"/>
      <c r="AO171" s="3143"/>
      <c r="AP171" s="3143"/>
      <c r="AQ171" s="3143"/>
      <c r="AR171" s="3143"/>
      <c r="AS171" s="3143"/>
      <c r="AT171" s="3153"/>
      <c r="AU171" s="3154"/>
      <c r="AV171" s="270">
        <f t="shared" si="91"/>
        <v>0</v>
      </c>
      <c r="AW171" s="270">
        <f t="shared" si="92"/>
        <v>0</v>
      </c>
      <c r="AX171" s="270">
        <f t="shared" si="93"/>
        <v>0</v>
      </c>
      <c r="AY171" s="3168">
        <f t="shared" si="68"/>
        <v>0</v>
      </c>
      <c r="AZ171" s="3123">
        <f t="shared" si="69"/>
        <v>0</v>
      </c>
      <c r="BA171" s="3123">
        <f t="shared" si="70"/>
        <v>0</v>
      </c>
      <c r="BB171" s="3123">
        <f t="shared" si="71"/>
        <v>0</v>
      </c>
      <c r="BC171" s="3123">
        <f t="shared" si="72"/>
        <v>0</v>
      </c>
      <c r="BD171" s="3123">
        <f t="shared" si="73"/>
        <v>0</v>
      </c>
      <c r="BE171" s="3123">
        <f t="shared" si="74"/>
        <v>0</v>
      </c>
      <c r="BF171" s="3123">
        <f t="shared" si="75"/>
        <v>0</v>
      </c>
      <c r="BG171" s="3123">
        <f t="shared" si="76"/>
        <v>0</v>
      </c>
      <c r="BH171" s="3123">
        <f t="shared" si="77"/>
        <v>0</v>
      </c>
      <c r="BI171" s="3123">
        <f t="shared" si="78"/>
        <v>0</v>
      </c>
      <c r="BJ171" s="3123">
        <f t="shared" si="79"/>
        <v>0</v>
      </c>
      <c r="BK171" s="3123">
        <f t="shared" si="80"/>
        <v>0</v>
      </c>
      <c r="BL171" s="3123">
        <f t="shared" si="81"/>
        <v>0</v>
      </c>
      <c r="BM171" s="3123">
        <f t="shared" si="82"/>
        <v>0</v>
      </c>
      <c r="BN171" s="3123">
        <f t="shared" si="83"/>
        <v>0</v>
      </c>
      <c r="BO171" s="3123">
        <f t="shared" si="84"/>
        <v>0</v>
      </c>
      <c r="BP171" s="3123">
        <f t="shared" si="85"/>
        <v>0</v>
      </c>
      <c r="BQ171" s="3123">
        <f t="shared" si="86"/>
        <v>0</v>
      </c>
      <c r="BR171" s="3123">
        <f t="shared" si="87"/>
        <v>0</v>
      </c>
      <c r="BS171" s="3123">
        <f t="shared" si="88"/>
        <v>0</v>
      </c>
      <c r="BT171" s="3175">
        <f t="shared" si="89"/>
        <v>0</v>
      </c>
    </row>
    <row r="172" spans="1:72">
      <c r="A172" s="3120"/>
      <c r="B172" s="3121"/>
      <c r="C172" s="3121"/>
      <c r="D172" s="3122"/>
      <c r="E172" s="3123">
        <f t="shared" si="90"/>
        <v>0</v>
      </c>
      <c r="F172" s="3124"/>
      <c r="G172" s="3125">
        <f t="shared" si="65"/>
        <v>0</v>
      </c>
      <c r="H172" s="3126">
        <f t="shared" si="66"/>
        <v>0</v>
      </c>
      <c r="I172" s="3133"/>
      <c r="J172" s="3133"/>
      <c r="K172" s="3133"/>
      <c r="L172" s="3133"/>
      <c r="M172" s="3133"/>
      <c r="N172" s="3133"/>
      <c r="O172" s="3133"/>
      <c r="P172" s="3133"/>
      <c r="Q172" s="3133"/>
      <c r="R172" s="3133"/>
      <c r="S172" s="3133"/>
      <c r="T172" s="3133"/>
      <c r="U172" s="3133"/>
      <c r="V172" s="3133"/>
      <c r="W172" s="3133"/>
      <c r="X172" s="3133"/>
      <c r="Y172" s="3133"/>
      <c r="Z172" s="3133"/>
      <c r="AA172" s="3133"/>
      <c r="AB172" s="3133"/>
      <c r="AC172" s="3123">
        <f t="shared" si="67"/>
        <v>0</v>
      </c>
      <c r="AD172" s="3143"/>
      <c r="AE172" s="3143"/>
      <c r="AF172" s="3143"/>
      <c r="AG172" s="3143"/>
      <c r="AH172" s="3143"/>
      <c r="AI172" s="3143"/>
      <c r="AJ172" s="3143"/>
      <c r="AK172" s="3143"/>
      <c r="AL172" s="3143"/>
      <c r="AM172" s="3143"/>
      <c r="AN172" s="3143"/>
      <c r="AO172" s="3143"/>
      <c r="AP172" s="3143"/>
      <c r="AQ172" s="3143"/>
      <c r="AR172" s="3143"/>
      <c r="AS172" s="3143"/>
      <c r="AT172" s="3153"/>
      <c r="AU172" s="3154"/>
      <c r="AV172" s="270">
        <f t="shared" si="91"/>
        <v>0</v>
      </c>
      <c r="AW172" s="270">
        <f t="shared" si="92"/>
        <v>0</v>
      </c>
      <c r="AX172" s="270">
        <f t="shared" si="93"/>
        <v>0</v>
      </c>
      <c r="AY172" s="3168">
        <f t="shared" si="68"/>
        <v>0</v>
      </c>
      <c r="AZ172" s="3123">
        <f t="shared" si="69"/>
        <v>0</v>
      </c>
      <c r="BA172" s="3123">
        <f t="shared" si="70"/>
        <v>0</v>
      </c>
      <c r="BB172" s="3123">
        <f t="shared" si="71"/>
        <v>0</v>
      </c>
      <c r="BC172" s="3123">
        <f t="shared" si="72"/>
        <v>0</v>
      </c>
      <c r="BD172" s="3123">
        <f t="shared" si="73"/>
        <v>0</v>
      </c>
      <c r="BE172" s="3123">
        <f t="shared" si="74"/>
        <v>0</v>
      </c>
      <c r="BF172" s="3123">
        <f t="shared" si="75"/>
        <v>0</v>
      </c>
      <c r="BG172" s="3123">
        <f t="shared" si="76"/>
        <v>0</v>
      </c>
      <c r="BH172" s="3123">
        <f t="shared" si="77"/>
        <v>0</v>
      </c>
      <c r="BI172" s="3123">
        <f t="shared" si="78"/>
        <v>0</v>
      </c>
      <c r="BJ172" s="3123">
        <f t="shared" si="79"/>
        <v>0</v>
      </c>
      <c r="BK172" s="3123">
        <f t="shared" si="80"/>
        <v>0</v>
      </c>
      <c r="BL172" s="3123">
        <f t="shared" si="81"/>
        <v>0</v>
      </c>
      <c r="BM172" s="3123">
        <f t="shared" si="82"/>
        <v>0</v>
      </c>
      <c r="BN172" s="3123">
        <f t="shared" si="83"/>
        <v>0</v>
      </c>
      <c r="BO172" s="3123">
        <f t="shared" si="84"/>
        <v>0</v>
      </c>
      <c r="BP172" s="3123">
        <f t="shared" si="85"/>
        <v>0</v>
      </c>
      <c r="BQ172" s="3123">
        <f t="shared" si="86"/>
        <v>0</v>
      </c>
      <c r="BR172" s="3123">
        <f t="shared" si="87"/>
        <v>0</v>
      </c>
      <c r="BS172" s="3123">
        <f t="shared" si="88"/>
        <v>0</v>
      </c>
      <c r="BT172" s="3175">
        <f t="shared" si="89"/>
        <v>0</v>
      </c>
    </row>
    <row r="173" spans="1:72">
      <c r="A173" s="3120"/>
      <c r="B173" s="3121"/>
      <c r="C173" s="3121"/>
      <c r="D173" s="3122"/>
      <c r="E173" s="3123">
        <f t="shared" si="90"/>
        <v>0</v>
      </c>
      <c r="F173" s="3124"/>
      <c r="G173" s="3125">
        <f t="shared" si="65"/>
        <v>0</v>
      </c>
      <c r="H173" s="3126">
        <f t="shared" si="66"/>
        <v>0</v>
      </c>
      <c r="I173" s="3133"/>
      <c r="J173" s="3133"/>
      <c r="K173" s="3133"/>
      <c r="L173" s="3133"/>
      <c r="M173" s="3133"/>
      <c r="N173" s="3133"/>
      <c r="O173" s="3133"/>
      <c r="P173" s="3133"/>
      <c r="Q173" s="3133"/>
      <c r="R173" s="3133"/>
      <c r="S173" s="3133"/>
      <c r="T173" s="3133"/>
      <c r="U173" s="3133"/>
      <c r="V173" s="3133"/>
      <c r="W173" s="3133"/>
      <c r="X173" s="3133"/>
      <c r="Y173" s="3133"/>
      <c r="Z173" s="3133"/>
      <c r="AA173" s="3133"/>
      <c r="AB173" s="3133"/>
      <c r="AC173" s="3123">
        <f t="shared" si="67"/>
        <v>0</v>
      </c>
      <c r="AD173" s="3143"/>
      <c r="AE173" s="3143"/>
      <c r="AF173" s="3143"/>
      <c r="AG173" s="3143"/>
      <c r="AH173" s="3143"/>
      <c r="AI173" s="3143"/>
      <c r="AJ173" s="3143"/>
      <c r="AK173" s="3143"/>
      <c r="AL173" s="3143"/>
      <c r="AM173" s="3143"/>
      <c r="AN173" s="3143"/>
      <c r="AO173" s="3143"/>
      <c r="AP173" s="3143"/>
      <c r="AQ173" s="3143"/>
      <c r="AR173" s="3143"/>
      <c r="AS173" s="3143"/>
      <c r="AT173" s="3153"/>
      <c r="AU173" s="3154"/>
      <c r="AV173" s="270">
        <f t="shared" si="91"/>
        <v>0</v>
      </c>
      <c r="AW173" s="270">
        <f t="shared" si="92"/>
        <v>0</v>
      </c>
      <c r="AX173" s="270">
        <f t="shared" si="93"/>
        <v>0</v>
      </c>
      <c r="AY173" s="3168">
        <f t="shared" si="68"/>
        <v>0</v>
      </c>
      <c r="AZ173" s="3123">
        <f t="shared" si="69"/>
        <v>0</v>
      </c>
      <c r="BA173" s="3123">
        <f t="shared" si="70"/>
        <v>0</v>
      </c>
      <c r="BB173" s="3123">
        <f t="shared" si="71"/>
        <v>0</v>
      </c>
      <c r="BC173" s="3123">
        <f t="shared" si="72"/>
        <v>0</v>
      </c>
      <c r="BD173" s="3123">
        <f t="shared" si="73"/>
        <v>0</v>
      </c>
      <c r="BE173" s="3123">
        <f t="shared" si="74"/>
        <v>0</v>
      </c>
      <c r="BF173" s="3123">
        <f t="shared" si="75"/>
        <v>0</v>
      </c>
      <c r="BG173" s="3123">
        <f t="shared" si="76"/>
        <v>0</v>
      </c>
      <c r="BH173" s="3123">
        <f t="shared" si="77"/>
        <v>0</v>
      </c>
      <c r="BI173" s="3123">
        <f t="shared" si="78"/>
        <v>0</v>
      </c>
      <c r="BJ173" s="3123">
        <f t="shared" si="79"/>
        <v>0</v>
      </c>
      <c r="BK173" s="3123">
        <f t="shared" si="80"/>
        <v>0</v>
      </c>
      <c r="BL173" s="3123">
        <f t="shared" si="81"/>
        <v>0</v>
      </c>
      <c r="BM173" s="3123">
        <f t="shared" si="82"/>
        <v>0</v>
      </c>
      <c r="BN173" s="3123">
        <f t="shared" si="83"/>
        <v>0</v>
      </c>
      <c r="BO173" s="3123">
        <f t="shared" si="84"/>
        <v>0</v>
      </c>
      <c r="BP173" s="3123">
        <f t="shared" si="85"/>
        <v>0</v>
      </c>
      <c r="BQ173" s="3123">
        <f t="shared" si="86"/>
        <v>0</v>
      </c>
      <c r="BR173" s="3123">
        <f t="shared" si="87"/>
        <v>0</v>
      </c>
      <c r="BS173" s="3123">
        <f t="shared" si="88"/>
        <v>0</v>
      </c>
      <c r="BT173" s="3175">
        <f t="shared" si="89"/>
        <v>0</v>
      </c>
    </row>
    <row r="174" spans="1:72">
      <c r="A174" s="3120"/>
      <c r="B174" s="3121"/>
      <c r="C174" s="3121"/>
      <c r="D174" s="3122"/>
      <c r="E174" s="3123">
        <f t="shared" si="90"/>
        <v>0</v>
      </c>
      <c r="F174" s="3124"/>
      <c r="G174" s="3125">
        <f t="shared" ref="G174:G207" si="94">H174+AC174+AT174</f>
        <v>0</v>
      </c>
      <c r="H174" s="3126">
        <f t="shared" ref="H174:H207" si="95">SUMIF(I$12:AB$12,"总值",I174:AB174)</f>
        <v>0</v>
      </c>
      <c r="I174" s="3133"/>
      <c r="J174" s="3133"/>
      <c r="K174" s="3133"/>
      <c r="L174" s="3133"/>
      <c r="M174" s="3133"/>
      <c r="N174" s="3133"/>
      <c r="O174" s="3133"/>
      <c r="P174" s="3133"/>
      <c r="Q174" s="3133"/>
      <c r="R174" s="3133"/>
      <c r="S174" s="3133"/>
      <c r="T174" s="3133"/>
      <c r="U174" s="3133"/>
      <c r="V174" s="3133"/>
      <c r="W174" s="3133"/>
      <c r="X174" s="3133"/>
      <c r="Y174" s="3133"/>
      <c r="Z174" s="3133"/>
      <c r="AA174" s="3133"/>
      <c r="AB174" s="3133"/>
      <c r="AC174" s="3123">
        <f t="shared" ref="AC174:AC207" si="96">SUMIF(AD$12:AS$12,"总值",AD174:AS174)</f>
        <v>0</v>
      </c>
      <c r="AD174" s="3143"/>
      <c r="AE174" s="3143"/>
      <c r="AF174" s="3143"/>
      <c r="AG174" s="3143"/>
      <c r="AH174" s="3143"/>
      <c r="AI174" s="3143"/>
      <c r="AJ174" s="3143"/>
      <c r="AK174" s="3143"/>
      <c r="AL174" s="3143"/>
      <c r="AM174" s="3143"/>
      <c r="AN174" s="3143"/>
      <c r="AO174" s="3143"/>
      <c r="AP174" s="3143"/>
      <c r="AQ174" s="3143"/>
      <c r="AR174" s="3143"/>
      <c r="AS174" s="3143"/>
      <c r="AT174" s="3153"/>
      <c r="AU174" s="3154"/>
      <c r="AV174" s="270">
        <f t="shared" si="91"/>
        <v>0</v>
      </c>
      <c r="AW174" s="270">
        <f t="shared" si="92"/>
        <v>0</v>
      </c>
      <c r="AX174" s="270">
        <f t="shared" si="93"/>
        <v>0</v>
      </c>
      <c r="AY174" s="3168">
        <f t="shared" ref="AY174:AY207" si="97">ROUND($AY$6*AZ174/$AZ$5,2)</f>
        <v>0</v>
      </c>
      <c r="AZ174" s="3123">
        <f t="shared" ref="AZ174:AZ207" si="98">BA174+BL174</f>
        <v>0</v>
      </c>
      <c r="BA174" s="3123">
        <f t="shared" ref="BA174:BA207" si="99">SUM(BB174:BK174)</f>
        <v>0</v>
      </c>
      <c r="BB174" s="3123">
        <f t="shared" ref="BB174:BB207" si="100">IF($D174="是",I174-J174,0)</f>
        <v>0</v>
      </c>
      <c r="BC174" s="3123">
        <f t="shared" ref="BC174:BC207" si="101">IF($D174="是",K174-L174,0)</f>
        <v>0</v>
      </c>
      <c r="BD174" s="3123">
        <f t="shared" ref="BD174:BD207" si="102">IF($D174="是",M174-N174,0)</f>
        <v>0</v>
      </c>
      <c r="BE174" s="3123">
        <f t="shared" ref="BE174:BE207" si="103">IF($D174="是",O174-P174,0)</f>
        <v>0</v>
      </c>
      <c r="BF174" s="3123">
        <f t="shared" ref="BF174:BF207" si="104">IF($D174="是",Q174-R174,0)</f>
        <v>0</v>
      </c>
      <c r="BG174" s="3123">
        <f t="shared" ref="BG174:BG207" si="105">IF($D174="是",S174-T174,0)</f>
        <v>0</v>
      </c>
      <c r="BH174" s="3123">
        <f t="shared" ref="BH174:BH207" si="106">IF($D174="是",U174-V174,0)</f>
        <v>0</v>
      </c>
      <c r="BI174" s="3123">
        <f t="shared" ref="BI174:BI207" si="107">IF($D174="是",W174-X174,0)</f>
        <v>0</v>
      </c>
      <c r="BJ174" s="3123">
        <f t="shared" ref="BJ174:BJ207" si="108">IF($D174="是",Y174-Z174,0)</f>
        <v>0</v>
      </c>
      <c r="BK174" s="3123">
        <f t="shared" ref="BK174:BK207" si="109">IF($D174="是",AA174-AB174,0)</f>
        <v>0</v>
      </c>
      <c r="BL174" s="3123">
        <f t="shared" ref="BL174:BL207" si="110">SUM(BM174:BT174)</f>
        <v>0</v>
      </c>
      <c r="BM174" s="3123">
        <f t="shared" ref="BM174:BM207" si="111">IF($D174="是",AD174-AE174,0)</f>
        <v>0</v>
      </c>
      <c r="BN174" s="3123">
        <f t="shared" ref="BN174:BN207" si="112">IF($D174="是",AF174-AG174,0)</f>
        <v>0</v>
      </c>
      <c r="BO174" s="3123">
        <f t="shared" ref="BO174:BO207" si="113">IF($D174="是",AH174-AI174,0)</f>
        <v>0</v>
      </c>
      <c r="BP174" s="3123">
        <f t="shared" ref="BP174:BP207" si="114">IF($D174="是",AJ174-AK174,0)</f>
        <v>0</v>
      </c>
      <c r="BQ174" s="3123">
        <f t="shared" ref="BQ174:BQ207" si="115">IF($D174="是",AL174-AM174,0)</f>
        <v>0</v>
      </c>
      <c r="BR174" s="3123">
        <f t="shared" ref="BR174:BR207" si="116">IF($D174="是",AN174-AO174,0)</f>
        <v>0</v>
      </c>
      <c r="BS174" s="3123">
        <f t="shared" ref="BS174:BS207" si="117">IF($D174="是",AP174-AQ174,0)</f>
        <v>0</v>
      </c>
      <c r="BT174" s="3175">
        <f t="shared" ref="BT174:BT207" si="118">IF($D174="是",AR174-AS174,0)</f>
        <v>0</v>
      </c>
    </row>
    <row r="175" spans="1:72">
      <c r="A175" s="3120"/>
      <c r="B175" s="3121"/>
      <c r="C175" s="3121"/>
      <c r="D175" s="3122"/>
      <c r="E175" s="3123">
        <f t="shared" si="90"/>
        <v>0</v>
      </c>
      <c r="F175" s="3124"/>
      <c r="G175" s="3125">
        <f t="shared" si="94"/>
        <v>0</v>
      </c>
      <c r="H175" s="3126">
        <f t="shared" si="95"/>
        <v>0</v>
      </c>
      <c r="I175" s="3133"/>
      <c r="J175" s="3133"/>
      <c r="K175" s="3133"/>
      <c r="L175" s="3133"/>
      <c r="M175" s="3133"/>
      <c r="N175" s="3133"/>
      <c r="O175" s="3133"/>
      <c r="P175" s="3133"/>
      <c r="Q175" s="3133"/>
      <c r="R175" s="3133"/>
      <c r="S175" s="3133"/>
      <c r="T175" s="3133"/>
      <c r="U175" s="3133"/>
      <c r="V175" s="3133"/>
      <c r="W175" s="3133"/>
      <c r="X175" s="3133"/>
      <c r="Y175" s="3133"/>
      <c r="Z175" s="3133"/>
      <c r="AA175" s="3133"/>
      <c r="AB175" s="3133"/>
      <c r="AC175" s="3123">
        <f t="shared" si="96"/>
        <v>0</v>
      </c>
      <c r="AD175" s="3143"/>
      <c r="AE175" s="3143"/>
      <c r="AF175" s="3143"/>
      <c r="AG175" s="3143"/>
      <c r="AH175" s="3143"/>
      <c r="AI175" s="3143"/>
      <c r="AJ175" s="3143"/>
      <c r="AK175" s="3143"/>
      <c r="AL175" s="3143"/>
      <c r="AM175" s="3143"/>
      <c r="AN175" s="3143"/>
      <c r="AO175" s="3143"/>
      <c r="AP175" s="3143"/>
      <c r="AQ175" s="3143"/>
      <c r="AR175" s="3143"/>
      <c r="AS175" s="3143"/>
      <c r="AT175" s="3153"/>
      <c r="AU175" s="3154"/>
      <c r="AV175" s="270">
        <f t="shared" si="91"/>
        <v>0</v>
      </c>
      <c r="AW175" s="270">
        <f t="shared" si="92"/>
        <v>0</v>
      </c>
      <c r="AX175" s="270">
        <f t="shared" si="93"/>
        <v>0</v>
      </c>
      <c r="AY175" s="3168">
        <f t="shared" si="97"/>
        <v>0</v>
      </c>
      <c r="AZ175" s="3123">
        <f t="shared" si="98"/>
        <v>0</v>
      </c>
      <c r="BA175" s="3123">
        <f t="shared" si="99"/>
        <v>0</v>
      </c>
      <c r="BB175" s="3123">
        <f t="shared" si="100"/>
        <v>0</v>
      </c>
      <c r="BC175" s="3123">
        <f t="shared" si="101"/>
        <v>0</v>
      </c>
      <c r="BD175" s="3123">
        <f t="shared" si="102"/>
        <v>0</v>
      </c>
      <c r="BE175" s="3123">
        <f t="shared" si="103"/>
        <v>0</v>
      </c>
      <c r="BF175" s="3123">
        <f t="shared" si="104"/>
        <v>0</v>
      </c>
      <c r="BG175" s="3123">
        <f t="shared" si="105"/>
        <v>0</v>
      </c>
      <c r="BH175" s="3123">
        <f t="shared" si="106"/>
        <v>0</v>
      </c>
      <c r="BI175" s="3123">
        <f t="shared" si="107"/>
        <v>0</v>
      </c>
      <c r="BJ175" s="3123">
        <f t="shared" si="108"/>
        <v>0</v>
      </c>
      <c r="BK175" s="3123">
        <f t="shared" si="109"/>
        <v>0</v>
      </c>
      <c r="BL175" s="3123">
        <f t="shared" si="110"/>
        <v>0</v>
      </c>
      <c r="BM175" s="3123">
        <f t="shared" si="111"/>
        <v>0</v>
      </c>
      <c r="BN175" s="3123">
        <f t="shared" si="112"/>
        <v>0</v>
      </c>
      <c r="BO175" s="3123">
        <f t="shared" si="113"/>
        <v>0</v>
      </c>
      <c r="BP175" s="3123">
        <f t="shared" si="114"/>
        <v>0</v>
      </c>
      <c r="BQ175" s="3123">
        <f t="shared" si="115"/>
        <v>0</v>
      </c>
      <c r="BR175" s="3123">
        <f t="shared" si="116"/>
        <v>0</v>
      </c>
      <c r="BS175" s="3123">
        <f t="shared" si="117"/>
        <v>0</v>
      </c>
      <c r="BT175" s="3175">
        <f t="shared" si="118"/>
        <v>0</v>
      </c>
    </row>
    <row r="176" spans="1:72">
      <c r="A176" s="3120"/>
      <c r="B176" s="3121"/>
      <c r="C176" s="3121"/>
      <c r="D176" s="3122"/>
      <c r="E176" s="3123">
        <f t="shared" si="90"/>
        <v>0</v>
      </c>
      <c r="F176" s="3124"/>
      <c r="G176" s="3125">
        <f t="shared" si="94"/>
        <v>0</v>
      </c>
      <c r="H176" s="3126">
        <f t="shared" si="95"/>
        <v>0</v>
      </c>
      <c r="I176" s="3133"/>
      <c r="J176" s="3133"/>
      <c r="K176" s="3133"/>
      <c r="L176" s="3133"/>
      <c r="M176" s="3133"/>
      <c r="N176" s="3133"/>
      <c r="O176" s="3133"/>
      <c r="P176" s="3133"/>
      <c r="Q176" s="3133"/>
      <c r="R176" s="3133"/>
      <c r="S176" s="3133"/>
      <c r="T176" s="3133"/>
      <c r="U176" s="3133"/>
      <c r="V176" s="3133"/>
      <c r="W176" s="3133"/>
      <c r="X176" s="3133"/>
      <c r="Y176" s="3133"/>
      <c r="Z176" s="3133"/>
      <c r="AA176" s="3133"/>
      <c r="AB176" s="3133"/>
      <c r="AC176" s="3123">
        <f t="shared" si="96"/>
        <v>0</v>
      </c>
      <c r="AD176" s="3143"/>
      <c r="AE176" s="3143"/>
      <c r="AF176" s="3143"/>
      <c r="AG176" s="3143"/>
      <c r="AH176" s="3143"/>
      <c r="AI176" s="3143"/>
      <c r="AJ176" s="3143"/>
      <c r="AK176" s="3143"/>
      <c r="AL176" s="3143"/>
      <c r="AM176" s="3143"/>
      <c r="AN176" s="3143"/>
      <c r="AO176" s="3143"/>
      <c r="AP176" s="3143"/>
      <c r="AQ176" s="3143"/>
      <c r="AR176" s="3143"/>
      <c r="AS176" s="3143"/>
      <c r="AT176" s="3153"/>
      <c r="AU176" s="3154"/>
      <c r="AV176" s="270">
        <f t="shared" si="91"/>
        <v>0</v>
      </c>
      <c r="AW176" s="270">
        <f t="shared" si="92"/>
        <v>0</v>
      </c>
      <c r="AX176" s="270">
        <f t="shared" si="93"/>
        <v>0</v>
      </c>
      <c r="AY176" s="3168">
        <f t="shared" si="97"/>
        <v>0</v>
      </c>
      <c r="AZ176" s="3123">
        <f t="shared" si="98"/>
        <v>0</v>
      </c>
      <c r="BA176" s="3123">
        <f t="shared" si="99"/>
        <v>0</v>
      </c>
      <c r="BB176" s="3123">
        <f t="shared" si="100"/>
        <v>0</v>
      </c>
      <c r="BC176" s="3123">
        <f t="shared" si="101"/>
        <v>0</v>
      </c>
      <c r="BD176" s="3123">
        <f t="shared" si="102"/>
        <v>0</v>
      </c>
      <c r="BE176" s="3123">
        <f t="shared" si="103"/>
        <v>0</v>
      </c>
      <c r="BF176" s="3123">
        <f t="shared" si="104"/>
        <v>0</v>
      </c>
      <c r="BG176" s="3123">
        <f t="shared" si="105"/>
        <v>0</v>
      </c>
      <c r="BH176" s="3123">
        <f t="shared" si="106"/>
        <v>0</v>
      </c>
      <c r="BI176" s="3123">
        <f t="shared" si="107"/>
        <v>0</v>
      </c>
      <c r="BJ176" s="3123">
        <f t="shared" si="108"/>
        <v>0</v>
      </c>
      <c r="BK176" s="3123">
        <f t="shared" si="109"/>
        <v>0</v>
      </c>
      <c r="BL176" s="3123">
        <f t="shared" si="110"/>
        <v>0</v>
      </c>
      <c r="BM176" s="3123">
        <f t="shared" si="111"/>
        <v>0</v>
      </c>
      <c r="BN176" s="3123">
        <f t="shared" si="112"/>
        <v>0</v>
      </c>
      <c r="BO176" s="3123">
        <f t="shared" si="113"/>
        <v>0</v>
      </c>
      <c r="BP176" s="3123">
        <f t="shared" si="114"/>
        <v>0</v>
      </c>
      <c r="BQ176" s="3123">
        <f t="shared" si="115"/>
        <v>0</v>
      </c>
      <c r="BR176" s="3123">
        <f t="shared" si="116"/>
        <v>0</v>
      </c>
      <c r="BS176" s="3123">
        <f t="shared" si="117"/>
        <v>0</v>
      </c>
      <c r="BT176" s="3175">
        <f t="shared" si="118"/>
        <v>0</v>
      </c>
    </row>
    <row r="177" spans="1:72">
      <c r="A177" s="3120"/>
      <c r="B177" s="3121"/>
      <c r="C177" s="3121"/>
      <c r="D177" s="3122"/>
      <c r="E177" s="3123">
        <f t="shared" ref="E177:E207" si="119">IF($C$3="是",ROUND($A$3*G177/$B$3,2),ROUND($A$3*(G177-AT177)/$B$3,2))</f>
        <v>0</v>
      </c>
      <c r="F177" s="3124"/>
      <c r="G177" s="3125">
        <f t="shared" si="94"/>
        <v>0</v>
      </c>
      <c r="H177" s="3126">
        <f t="shared" si="95"/>
        <v>0</v>
      </c>
      <c r="I177" s="3133"/>
      <c r="J177" s="3133"/>
      <c r="K177" s="3133"/>
      <c r="L177" s="3133"/>
      <c r="M177" s="3133"/>
      <c r="N177" s="3133"/>
      <c r="O177" s="3133"/>
      <c r="P177" s="3133"/>
      <c r="Q177" s="3133"/>
      <c r="R177" s="3133"/>
      <c r="S177" s="3133"/>
      <c r="T177" s="3133"/>
      <c r="U177" s="3133"/>
      <c r="V177" s="3133"/>
      <c r="W177" s="3133"/>
      <c r="X177" s="3133"/>
      <c r="Y177" s="3133"/>
      <c r="Z177" s="3133"/>
      <c r="AA177" s="3133"/>
      <c r="AB177" s="3133"/>
      <c r="AC177" s="3123">
        <f t="shared" si="96"/>
        <v>0</v>
      </c>
      <c r="AD177" s="3143"/>
      <c r="AE177" s="3143"/>
      <c r="AF177" s="3143"/>
      <c r="AG177" s="3143"/>
      <c r="AH177" s="3143"/>
      <c r="AI177" s="3143"/>
      <c r="AJ177" s="3143"/>
      <c r="AK177" s="3143"/>
      <c r="AL177" s="3143"/>
      <c r="AM177" s="3143"/>
      <c r="AN177" s="3143"/>
      <c r="AO177" s="3143"/>
      <c r="AP177" s="3143"/>
      <c r="AQ177" s="3143"/>
      <c r="AR177" s="3143"/>
      <c r="AS177" s="3143"/>
      <c r="AT177" s="3153"/>
      <c r="AU177" s="3154"/>
      <c r="AV177" s="270">
        <f t="shared" ref="AV177:AV207" si="120">A177</f>
        <v>0</v>
      </c>
      <c r="AW177" s="270">
        <f t="shared" ref="AW177:AW207" si="121">B177</f>
        <v>0</v>
      </c>
      <c r="AX177" s="270">
        <f t="shared" ref="AX177:AX207" si="122">C177</f>
        <v>0</v>
      </c>
      <c r="AY177" s="3168">
        <f t="shared" si="97"/>
        <v>0</v>
      </c>
      <c r="AZ177" s="3123">
        <f t="shared" si="98"/>
        <v>0</v>
      </c>
      <c r="BA177" s="3123">
        <f t="shared" si="99"/>
        <v>0</v>
      </c>
      <c r="BB177" s="3123">
        <f t="shared" si="100"/>
        <v>0</v>
      </c>
      <c r="BC177" s="3123">
        <f t="shared" si="101"/>
        <v>0</v>
      </c>
      <c r="BD177" s="3123">
        <f t="shared" si="102"/>
        <v>0</v>
      </c>
      <c r="BE177" s="3123">
        <f t="shared" si="103"/>
        <v>0</v>
      </c>
      <c r="BF177" s="3123">
        <f t="shared" si="104"/>
        <v>0</v>
      </c>
      <c r="BG177" s="3123">
        <f t="shared" si="105"/>
        <v>0</v>
      </c>
      <c r="BH177" s="3123">
        <f t="shared" si="106"/>
        <v>0</v>
      </c>
      <c r="BI177" s="3123">
        <f t="shared" si="107"/>
        <v>0</v>
      </c>
      <c r="BJ177" s="3123">
        <f t="shared" si="108"/>
        <v>0</v>
      </c>
      <c r="BK177" s="3123">
        <f t="shared" si="109"/>
        <v>0</v>
      </c>
      <c r="BL177" s="3123">
        <f t="shared" si="110"/>
        <v>0</v>
      </c>
      <c r="BM177" s="3123">
        <f t="shared" si="111"/>
        <v>0</v>
      </c>
      <c r="BN177" s="3123">
        <f t="shared" si="112"/>
        <v>0</v>
      </c>
      <c r="BO177" s="3123">
        <f t="shared" si="113"/>
        <v>0</v>
      </c>
      <c r="BP177" s="3123">
        <f t="shared" si="114"/>
        <v>0</v>
      </c>
      <c r="BQ177" s="3123">
        <f t="shared" si="115"/>
        <v>0</v>
      </c>
      <c r="BR177" s="3123">
        <f t="shared" si="116"/>
        <v>0</v>
      </c>
      <c r="BS177" s="3123">
        <f t="shared" si="117"/>
        <v>0</v>
      </c>
      <c r="BT177" s="3175">
        <f t="shared" si="118"/>
        <v>0</v>
      </c>
    </row>
    <row r="178" spans="1:72">
      <c r="A178" s="3120"/>
      <c r="B178" s="3121"/>
      <c r="C178" s="3121"/>
      <c r="D178" s="3122"/>
      <c r="E178" s="3123">
        <f t="shared" si="119"/>
        <v>0</v>
      </c>
      <c r="F178" s="3124"/>
      <c r="G178" s="3125">
        <f t="shared" si="94"/>
        <v>0</v>
      </c>
      <c r="H178" s="3126">
        <f t="shared" si="95"/>
        <v>0</v>
      </c>
      <c r="I178" s="3133"/>
      <c r="J178" s="3133"/>
      <c r="K178" s="3133"/>
      <c r="L178" s="3133"/>
      <c r="M178" s="3133"/>
      <c r="N178" s="3133"/>
      <c r="O178" s="3133"/>
      <c r="P178" s="3133"/>
      <c r="Q178" s="3133"/>
      <c r="R178" s="3133"/>
      <c r="S178" s="3133"/>
      <c r="T178" s="3133"/>
      <c r="U178" s="3133"/>
      <c r="V178" s="3133"/>
      <c r="W178" s="3133"/>
      <c r="X178" s="3133"/>
      <c r="Y178" s="3133"/>
      <c r="Z178" s="3133"/>
      <c r="AA178" s="3133"/>
      <c r="AB178" s="3133"/>
      <c r="AC178" s="3123">
        <f t="shared" si="96"/>
        <v>0</v>
      </c>
      <c r="AD178" s="3143"/>
      <c r="AE178" s="3143"/>
      <c r="AF178" s="3143"/>
      <c r="AG178" s="3143"/>
      <c r="AH178" s="3143"/>
      <c r="AI178" s="3143"/>
      <c r="AJ178" s="3143"/>
      <c r="AK178" s="3143"/>
      <c r="AL178" s="3143"/>
      <c r="AM178" s="3143"/>
      <c r="AN178" s="3143"/>
      <c r="AO178" s="3143"/>
      <c r="AP178" s="3143"/>
      <c r="AQ178" s="3143"/>
      <c r="AR178" s="3143"/>
      <c r="AS178" s="3143"/>
      <c r="AT178" s="3153"/>
      <c r="AU178" s="3154"/>
      <c r="AV178" s="270">
        <f t="shared" si="120"/>
        <v>0</v>
      </c>
      <c r="AW178" s="270">
        <f t="shared" si="121"/>
        <v>0</v>
      </c>
      <c r="AX178" s="270">
        <f t="shared" si="122"/>
        <v>0</v>
      </c>
      <c r="AY178" s="3168">
        <f t="shared" si="97"/>
        <v>0</v>
      </c>
      <c r="AZ178" s="3123">
        <f t="shared" si="98"/>
        <v>0</v>
      </c>
      <c r="BA178" s="3123">
        <f t="shared" si="99"/>
        <v>0</v>
      </c>
      <c r="BB178" s="3123">
        <f t="shared" si="100"/>
        <v>0</v>
      </c>
      <c r="BC178" s="3123">
        <f t="shared" si="101"/>
        <v>0</v>
      </c>
      <c r="BD178" s="3123">
        <f t="shared" si="102"/>
        <v>0</v>
      </c>
      <c r="BE178" s="3123">
        <f t="shared" si="103"/>
        <v>0</v>
      </c>
      <c r="BF178" s="3123">
        <f t="shared" si="104"/>
        <v>0</v>
      </c>
      <c r="BG178" s="3123">
        <f t="shared" si="105"/>
        <v>0</v>
      </c>
      <c r="BH178" s="3123">
        <f t="shared" si="106"/>
        <v>0</v>
      </c>
      <c r="BI178" s="3123">
        <f t="shared" si="107"/>
        <v>0</v>
      </c>
      <c r="BJ178" s="3123">
        <f t="shared" si="108"/>
        <v>0</v>
      </c>
      <c r="BK178" s="3123">
        <f t="shared" si="109"/>
        <v>0</v>
      </c>
      <c r="BL178" s="3123">
        <f t="shared" si="110"/>
        <v>0</v>
      </c>
      <c r="BM178" s="3123">
        <f t="shared" si="111"/>
        <v>0</v>
      </c>
      <c r="BN178" s="3123">
        <f t="shared" si="112"/>
        <v>0</v>
      </c>
      <c r="BO178" s="3123">
        <f t="shared" si="113"/>
        <v>0</v>
      </c>
      <c r="BP178" s="3123">
        <f t="shared" si="114"/>
        <v>0</v>
      </c>
      <c r="BQ178" s="3123">
        <f t="shared" si="115"/>
        <v>0</v>
      </c>
      <c r="BR178" s="3123">
        <f t="shared" si="116"/>
        <v>0</v>
      </c>
      <c r="BS178" s="3123">
        <f t="shared" si="117"/>
        <v>0</v>
      </c>
      <c r="BT178" s="3175">
        <f t="shared" si="118"/>
        <v>0</v>
      </c>
    </row>
    <row r="179" spans="1:72">
      <c r="A179" s="3120"/>
      <c r="B179" s="3121"/>
      <c r="C179" s="3121"/>
      <c r="D179" s="3122"/>
      <c r="E179" s="3123">
        <f t="shared" si="119"/>
        <v>0</v>
      </c>
      <c r="F179" s="3124"/>
      <c r="G179" s="3125">
        <f t="shared" si="94"/>
        <v>0</v>
      </c>
      <c r="H179" s="3126">
        <f t="shared" si="95"/>
        <v>0</v>
      </c>
      <c r="I179" s="3133"/>
      <c r="J179" s="3133"/>
      <c r="K179" s="3133"/>
      <c r="L179" s="3133"/>
      <c r="M179" s="3133"/>
      <c r="N179" s="3133"/>
      <c r="O179" s="3133"/>
      <c r="P179" s="3133"/>
      <c r="Q179" s="3133"/>
      <c r="R179" s="3133"/>
      <c r="S179" s="3133"/>
      <c r="T179" s="3133"/>
      <c r="U179" s="3133"/>
      <c r="V179" s="3133"/>
      <c r="W179" s="3133"/>
      <c r="X179" s="3133"/>
      <c r="Y179" s="3133"/>
      <c r="Z179" s="3133"/>
      <c r="AA179" s="3133"/>
      <c r="AB179" s="3133"/>
      <c r="AC179" s="3123">
        <f t="shared" si="96"/>
        <v>0</v>
      </c>
      <c r="AD179" s="3143"/>
      <c r="AE179" s="3143"/>
      <c r="AF179" s="3143"/>
      <c r="AG179" s="3143"/>
      <c r="AH179" s="3143"/>
      <c r="AI179" s="3143"/>
      <c r="AJ179" s="3143"/>
      <c r="AK179" s="3143"/>
      <c r="AL179" s="3143"/>
      <c r="AM179" s="3143"/>
      <c r="AN179" s="3143"/>
      <c r="AO179" s="3143"/>
      <c r="AP179" s="3143"/>
      <c r="AQ179" s="3143"/>
      <c r="AR179" s="3143"/>
      <c r="AS179" s="3143"/>
      <c r="AT179" s="3153"/>
      <c r="AU179" s="3154"/>
      <c r="AV179" s="270">
        <f t="shared" si="120"/>
        <v>0</v>
      </c>
      <c r="AW179" s="270">
        <f t="shared" si="121"/>
        <v>0</v>
      </c>
      <c r="AX179" s="270">
        <f t="shared" si="122"/>
        <v>0</v>
      </c>
      <c r="AY179" s="3168">
        <f t="shared" si="97"/>
        <v>0</v>
      </c>
      <c r="AZ179" s="3123">
        <f t="shared" si="98"/>
        <v>0</v>
      </c>
      <c r="BA179" s="3123">
        <f t="shared" si="99"/>
        <v>0</v>
      </c>
      <c r="BB179" s="3123">
        <f t="shared" si="100"/>
        <v>0</v>
      </c>
      <c r="BC179" s="3123">
        <f t="shared" si="101"/>
        <v>0</v>
      </c>
      <c r="BD179" s="3123">
        <f t="shared" si="102"/>
        <v>0</v>
      </c>
      <c r="BE179" s="3123">
        <f t="shared" si="103"/>
        <v>0</v>
      </c>
      <c r="BF179" s="3123">
        <f t="shared" si="104"/>
        <v>0</v>
      </c>
      <c r="BG179" s="3123">
        <f t="shared" si="105"/>
        <v>0</v>
      </c>
      <c r="BH179" s="3123">
        <f t="shared" si="106"/>
        <v>0</v>
      </c>
      <c r="BI179" s="3123">
        <f t="shared" si="107"/>
        <v>0</v>
      </c>
      <c r="BJ179" s="3123">
        <f t="shared" si="108"/>
        <v>0</v>
      </c>
      <c r="BK179" s="3123">
        <f t="shared" si="109"/>
        <v>0</v>
      </c>
      <c r="BL179" s="3123">
        <f t="shared" si="110"/>
        <v>0</v>
      </c>
      <c r="BM179" s="3123">
        <f t="shared" si="111"/>
        <v>0</v>
      </c>
      <c r="BN179" s="3123">
        <f t="shared" si="112"/>
        <v>0</v>
      </c>
      <c r="BO179" s="3123">
        <f t="shared" si="113"/>
        <v>0</v>
      </c>
      <c r="BP179" s="3123">
        <f t="shared" si="114"/>
        <v>0</v>
      </c>
      <c r="BQ179" s="3123">
        <f t="shared" si="115"/>
        <v>0</v>
      </c>
      <c r="BR179" s="3123">
        <f t="shared" si="116"/>
        <v>0</v>
      </c>
      <c r="BS179" s="3123">
        <f t="shared" si="117"/>
        <v>0</v>
      </c>
      <c r="BT179" s="3175">
        <f t="shared" si="118"/>
        <v>0</v>
      </c>
    </row>
    <row r="180" spans="1:72">
      <c r="A180" s="3120"/>
      <c r="B180" s="3121"/>
      <c r="C180" s="3121"/>
      <c r="D180" s="3122"/>
      <c r="E180" s="3123">
        <f t="shared" si="119"/>
        <v>0</v>
      </c>
      <c r="F180" s="3124"/>
      <c r="G180" s="3125">
        <f t="shared" si="94"/>
        <v>0</v>
      </c>
      <c r="H180" s="3126">
        <f t="shared" si="95"/>
        <v>0</v>
      </c>
      <c r="I180" s="3133"/>
      <c r="J180" s="3133"/>
      <c r="K180" s="3133"/>
      <c r="L180" s="3133"/>
      <c r="M180" s="3133"/>
      <c r="N180" s="3133"/>
      <c r="O180" s="3133"/>
      <c r="P180" s="3133"/>
      <c r="Q180" s="3133"/>
      <c r="R180" s="3133"/>
      <c r="S180" s="3133"/>
      <c r="T180" s="3133"/>
      <c r="U180" s="3133"/>
      <c r="V180" s="3133"/>
      <c r="W180" s="3133"/>
      <c r="X180" s="3133"/>
      <c r="Y180" s="3133"/>
      <c r="Z180" s="3133"/>
      <c r="AA180" s="3133"/>
      <c r="AB180" s="3133"/>
      <c r="AC180" s="3123">
        <f t="shared" si="96"/>
        <v>0</v>
      </c>
      <c r="AD180" s="3143"/>
      <c r="AE180" s="3143"/>
      <c r="AF180" s="3143"/>
      <c r="AG180" s="3143"/>
      <c r="AH180" s="3143"/>
      <c r="AI180" s="3143"/>
      <c r="AJ180" s="3143"/>
      <c r="AK180" s="3143"/>
      <c r="AL180" s="3143"/>
      <c r="AM180" s="3143"/>
      <c r="AN180" s="3143"/>
      <c r="AO180" s="3143"/>
      <c r="AP180" s="3143"/>
      <c r="AQ180" s="3143"/>
      <c r="AR180" s="3143"/>
      <c r="AS180" s="3143"/>
      <c r="AT180" s="3153"/>
      <c r="AU180" s="3154"/>
      <c r="AV180" s="270">
        <f t="shared" si="120"/>
        <v>0</v>
      </c>
      <c r="AW180" s="270">
        <f t="shared" si="121"/>
        <v>0</v>
      </c>
      <c r="AX180" s="270">
        <f t="shared" si="122"/>
        <v>0</v>
      </c>
      <c r="AY180" s="3168">
        <f t="shared" si="97"/>
        <v>0</v>
      </c>
      <c r="AZ180" s="3123">
        <f t="shared" si="98"/>
        <v>0</v>
      </c>
      <c r="BA180" s="3123">
        <f t="shared" si="99"/>
        <v>0</v>
      </c>
      <c r="BB180" s="3123">
        <f t="shared" si="100"/>
        <v>0</v>
      </c>
      <c r="BC180" s="3123">
        <f t="shared" si="101"/>
        <v>0</v>
      </c>
      <c r="BD180" s="3123">
        <f t="shared" si="102"/>
        <v>0</v>
      </c>
      <c r="BE180" s="3123">
        <f t="shared" si="103"/>
        <v>0</v>
      </c>
      <c r="BF180" s="3123">
        <f t="shared" si="104"/>
        <v>0</v>
      </c>
      <c r="BG180" s="3123">
        <f t="shared" si="105"/>
        <v>0</v>
      </c>
      <c r="BH180" s="3123">
        <f t="shared" si="106"/>
        <v>0</v>
      </c>
      <c r="BI180" s="3123">
        <f t="shared" si="107"/>
        <v>0</v>
      </c>
      <c r="BJ180" s="3123">
        <f t="shared" si="108"/>
        <v>0</v>
      </c>
      <c r="BK180" s="3123">
        <f t="shared" si="109"/>
        <v>0</v>
      </c>
      <c r="BL180" s="3123">
        <f t="shared" si="110"/>
        <v>0</v>
      </c>
      <c r="BM180" s="3123">
        <f t="shared" si="111"/>
        <v>0</v>
      </c>
      <c r="BN180" s="3123">
        <f t="shared" si="112"/>
        <v>0</v>
      </c>
      <c r="BO180" s="3123">
        <f t="shared" si="113"/>
        <v>0</v>
      </c>
      <c r="BP180" s="3123">
        <f t="shared" si="114"/>
        <v>0</v>
      </c>
      <c r="BQ180" s="3123">
        <f t="shared" si="115"/>
        <v>0</v>
      </c>
      <c r="BR180" s="3123">
        <f t="shared" si="116"/>
        <v>0</v>
      </c>
      <c r="BS180" s="3123">
        <f t="shared" si="117"/>
        <v>0</v>
      </c>
      <c r="BT180" s="3175">
        <f t="shared" si="118"/>
        <v>0</v>
      </c>
    </row>
    <row r="181" spans="1:72">
      <c r="A181" s="3120"/>
      <c r="B181" s="3121"/>
      <c r="C181" s="3121"/>
      <c r="D181" s="3122"/>
      <c r="E181" s="3123">
        <f t="shared" si="119"/>
        <v>0</v>
      </c>
      <c r="F181" s="3124"/>
      <c r="G181" s="3125">
        <f t="shared" si="94"/>
        <v>0</v>
      </c>
      <c r="H181" s="3126">
        <f t="shared" si="95"/>
        <v>0</v>
      </c>
      <c r="I181" s="3133"/>
      <c r="J181" s="3133"/>
      <c r="K181" s="3133"/>
      <c r="L181" s="3133"/>
      <c r="M181" s="3133"/>
      <c r="N181" s="3133"/>
      <c r="O181" s="3133"/>
      <c r="P181" s="3133"/>
      <c r="Q181" s="3133"/>
      <c r="R181" s="3133"/>
      <c r="S181" s="3133"/>
      <c r="T181" s="3133"/>
      <c r="U181" s="3133"/>
      <c r="V181" s="3133"/>
      <c r="W181" s="3133"/>
      <c r="X181" s="3133"/>
      <c r="Y181" s="3133"/>
      <c r="Z181" s="3133"/>
      <c r="AA181" s="3133"/>
      <c r="AB181" s="3133"/>
      <c r="AC181" s="3123">
        <f t="shared" si="96"/>
        <v>0</v>
      </c>
      <c r="AD181" s="3143"/>
      <c r="AE181" s="3143"/>
      <c r="AF181" s="3143"/>
      <c r="AG181" s="3143"/>
      <c r="AH181" s="3143"/>
      <c r="AI181" s="3143"/>
      <c r="AJ181" s="3143"/>
      <c r="AK181" s="3143"/>
      <c r="AL181" s="3143"/>
      <c r="AM181" s="3143"/>
      <c r="AN181" s="3143"/>
      <c r="AO181" s="3143"/>
      <c r="AP181" s="3143"/>
      <c r="AQ181" s="3143"/>
      <c r="AR181" s="3143"/>
      <c r="AS181" s="3143"/>
      <c r="AT181" s="3153"/>
      <c r="AU181" s="3154"/>
      <c r="AV181" s="270">
        <f t="shared" si="120"/>
        <v>0</v>
      </c>
      <c r="AW181" s="270">
        <f t="shared" si="121"/>
        <v>0</v>
      </c>
      <c r="AX181" s="270">
        <f t="shared" si="122"/>
        <v>0</v>
      </c>
      <c r="AY181" s="3168">
        <f t="shared" si="97"/>
        <v>0</v>
      </c>
      <c r="AZ181" s="3123">
        <f t="shared" si="98"/>
        <v>0</v>
      </c>
      <c r="BA181" s="3123">
        <f t="shared" si="99"/>
        <v>0</v>
      </c>
      <c r="BB181" s="3123">
        <f t="shared" si="100"/>
        <v>0</v>
      </c>
      <c r="BC181" s="3123">
        <f t="shared" si="101"/>
        <v>0</v>
      </c>
      <c r="BD181" s="3123">
        <f t="shared" si="102"/>
        <v>0</v>
      </c>
      <c r="BE181" s="3123">
        <f t="shared" si="103"/>
        <v>0</v>
      </c>
      <c r="BF181" s="3123">
        <f t="shared" si="104"/>
        <v>0</v>
      </c>
      <c r="BG181" s="3123">
        <f t="shared" si="105"/>
        <v>0</v>
      </c>
      <c r="BH181" s="3123">
        <f t="shared" si="106"/>
        <v>0</v>
      </c>
      <c r="BI181" s="3123">
        <f t="shared" si="107"/>
        <v>0</v>
      </c>
      <c r="BJ181" s="3123">
        <f t="shared" si="108"/>
        <v>0</v>
      </c>
      <c r="BK181" s="3123">
        <f t="shared" si="109"/>
        <v>0</v>
      </c>
      <c r="BL181" s="3123">
        <f t="shared" si="110"/>
        <v>0</v>
      </c>
      <c r="BM181" s="3123">
        <f t="shared" si="111"/>
        <v>0</v>
      </c>
      <c r="BN181" s="3123">
        <f t="shared" si="112"/>
        <v>0</v>
      </c>
      <c r="BO181" s="3123">
        <f t="shared" si="113"/>
        <v>0</v>
      </c>
      <c r="BP181" s="3123">
        <f t="shared" si="114"/>
        <v>0</v>
      </c>
      <c r="BQ181" s="3123">
        <f t="shared" si="115"/>
        <v>0</v>
      </c>
      <c r="BR181" s="3123">
        <f t="shared" si="116"/>
        <v>0</v>
      </c>
      <c r="BS181" s="3123">
        <f t="shared" si="117"/>
        <v>0</v>
      </c>
      <c r="BT181" s="3175">
        <f t="shared" si="118"/>
        <v>0</v>
      </c>
    </row>
    <row r="182" spans="1:72">
      <c r="A182" s="3120"/>
      <c r="B182" s="3121"/>
      <c r="C182" s="3121"/>
      <c r="D182" s="3122"/>
      <c r="E182" s="3123">
        <f t="shared" si="119"/>
        <v>0</v>
      </c>
      <c r="F182" s="3124"/>
      <c r="G182" s="3125">
        <f t="shared" si="94"/>
        <v>0</v>
      </c>
      <c r="H182" s="3126">
        <f t="shared" si="95"/>
        <v>0</v>
      </c>
      <c r="I182" s="3133"/>
      <c r="J182" s="3133"/>
      <c r="K182" s="3133"/>
      <c r="L182" s="3133"/>
      <c r="M182" s="3133"/>
      <c r="N182" s="3133"/>
      <c r="O182" s="3133"/>
      <c r="P182" s="3133"/>
      <c r="Q182" s="3133"/>
      <c r="R182" s="3133"/>
      <c r="S182" s="3133"/>
      <c r="T182" s="3133"/>
      <c r="U182" s="3133"/>
      <c r="V182" s="3133"/>
      <c r="W182" s="3133"/>
      <c r="X182" s="3133"/>
      <c r="Y182" s="3133"/>
      <c r="Z182" s="3133"/>
      <c r="AA182" s="3133"/>
      <c r="AB182" s="3133"/>
      <c r="AC182" s="3123">
        <f t="shared" si="96"/>
        <v>0</v>
      </c>
      <c r="AD182" s="3143"/>
      <c r="AE182" s="3143"/>
      <c r="AF182" s="3143"/>
      <c r="AG182" s="3143"/>
      <c r="AH182" s="3143"/>
      <c r="AI182" s="3143"/>
      <c r="AJ182" s="3143"/>
      <c r="AK182" s="3143"/>
      <c r="AL182" s="3143"/>
      <c r="AM182" s="3143"/>
      <c r="AN182" s="3143"/>
      <c r="AO182" s="3143"/>
      <c r="AP182" s="3143"/>
      <c r="AQ182" s="3143"/>
      <c r="AR182" s="3143"/>
      <c r="AS182" s="3143"/>
      <c r="AT182" s="3153"/>
      <c r="AU182" s="3154"/>
      <c r="AV182" s="270">
        <f t="shared" si="120"/>
        <v>0</v>
      </c>
      <c r="AW182" s="270">
        <f t="shared" si="121"/>
        <v>0</v>
      </c>
      <c r="AX182" s="270">
        <f t="shared" si="122"/>
        <v>0</v>
      </c>
      <c r="AY182" s="3168">
        <f t="shared" si="97"/>
        <v>0</v>
      </c>
      <c r="AZ182" s="3123">
        <f t="shared" si="98"/>
        <v>0</v>
      </c>
      <c r="BA182" s="3123">
        <f t="shared" si="99"/>
        <v>0</v>
      </c>
      <c r="BB182" s="3123">
        <f t="shared" si="100"/>
        <v>0</v>
      </c>
      <c r="BC182" s="3123">
        <f t="shared" si="101"/>
        <v>0</v>
      </c>
      <c r="BD182" s="3123">
        <f t="shared" si="102"/>
        <v>0</v>
      </c>
      <c r="BE182" s="3123">
        <f t="shared" si="103"/>
        <v>0</v>
      </c>
      <c r="BF182" s="3123">
        <f t="shared" si="104"/>
        <v>0</v>
      </c>
      <c r="BG182" s="3123">
        <f t="shared" si="105"/>
        <v>0</v>
      </c>
      <c r="BH182" s="3123">
        <f t="shared" si="106"/>
        <v>0</v>
      </c>
      <c r="BI182" s="3123">
        <f t="shared" si="107"/>
        <v>0</v>
      </c>
      <c r="BJ182" s="3123">
        <f t="shared" si="108"/>
        <v>0</v>
      </c>
      <c r="BK182" s="3123">
        <f t="shared" si="109"/>
        <v>0</v>
      </c>
      <c r="BL182" s="3123">
        <f t="shared" si="110"/>
        <v>0</v>
      </c>
      <c r="BM182" s="3123">
        <f t="shared" si="111"/>
        <v>0</v>
      </c>
      <c r="BN182" s="3123">
        <f t="shared" si="112"/>
        <v>0</v>
      </c>
      <c r="BO182" s="3123">
        <f t="shared" si="113"/>
        <v>0</v>
      </c>
      <c r="BP182" s="3123">
        <f t="shared" si="114"/>
        <v>0</v>
      </c>
      <c r="BQ182" s="3123">
        <f t="shared" si="115"/>
        <v>0</v>
      </c>
      <c r="BR182" s="3123">
        <f t="shared" si="116"/>
        <v>0</v>
      </c>
      <c r="BS182" s="3123">
        <f t="shared" si="117"/>
        <v>0</v>
      </c>
      <c r="BT182" s="3175">
        <f t="shared" si="118"/>
        <v>0</v>
      </c>
    </row>
    <row r="183" spans="1:72">
      <c r="A183" s="3120"/>
      <c r="B183" s="3121"/>
      <c r="C183" s="3121"/>
      <c r="D183" s="3122"/>
      <c r="E183" s="3123">
        <f t="shared" si="119"/>
        <v>0</v>
      </c>
      <c r="F183" s="3124"/>
      <c r="G183" s="3125">
        <f t="shared" si="94"/>
        <v>0</v>
      </c>
      <c r="H183" s="3126">
        <f t="shared" si="95"/>
        <v>0</v>
      </c>
      <c r="I183" s="3133"/>
      <c r="J183" s="3133"/>
      <c r="K183" s="3133"/>
      <c r="L183" s="3133"/>
      <c r="M183" s="3133"/>
      <c r="N183" s="3133"/>
      <c r="O183" s="3133"/>
      <c r="P183" s="3133"/>
      <c r="Q183" s="3133"/>
      <c r="R183" s="3133"/>
      <c r="S183" s="3133"/>
      <c r="T183" s="3133"/>
      <c r="U183" s="3133"/>
      <c r="V183" s="3133"/>
      <c r="W183" s="3133"/>
      <c r="X183" s="3133"/>
      <c r="Y183" s="3133"/>
      <c r="Z183" s="3133"/>
      <c r="AA183" s="3133"/>
      <c r="AB183" s="3133"/>
      <c r="AC183" s="3123">
        <f t="shared" si="96"/>
        <v>0</v>
      </c>
      <c r="AD183" s="3143"/>
      <c r="AE183" s="3143"/>
      <c r="AF183" s="3143"/>
      <c r="AG183" s="3143"/>
      <c r="AH183" s="3143"/>
      <c r="AI183" s="3143"/>
      <c r="AJ183" s="3143"/>
      <c r="AK183" s="3143"/>
      <c r="AL183" s="3143"/>
      <c r="AM183" s="3143"/>
      <c r="AN183" s="3143"/>
      <c r="AO183" s="3143"/>
      <c r="AP183" s="3143"/>
      <c r="AQ183" s="3143"/>
      <c r="AR183" s="3143"/>
      <c r="AS183" s="3143"/>
      <c r="AT183" s="3153"/>
      <c r="AU183" s="3154"/>
      <c r="AV183" s="270">
        <f t="shared" si="120"/>
        <v>0</v>
      </c>
      <c r="AW183" s="270">
        <f t="shared" si="121"/>
        <v>0</v>
      </c>
      <c r="AX183" s="270">
        <f t="shared" si="122"/>
        <v>0</v>
      </c>
      <c r="AY183" s="3168">
        <f t="shared" si="97"/>
        <v>0</v>
      </c>
      <c r="AZ183" s="3123">
        <f t="shared" si="98"/>
        <v>0</v>
      </c>
      <c r="BA183" s="3123">
        <f t="shared" si="99"/>
        <v>0</v>
      </c>
      <c r="BB183" s="3123">
        <f t="shared" si="100"/>
        <v>0</v>
      </c>
      <c r="BC183" s="3123">
        <f t="shared" si="101"/>
        <v>0</v>
      </c>
      <c r="BD183" s="3123">
        <f t="shared" si="102"/>
        <v>0</v>
      </c>
      <c r="BE183" s="3123">
        <f t="shared" si="103"/>
        <v>0</v>
      </c>
      <c r="BF183" s="3123">
        <f t="shared" si="104"/>
        <v>0</v>
      </c>
      <c r="BG183" s="3123">
        <f t="shared" si="105"/>
        <v>0</v>
      </c>
      <c r="BH183" s="3123">
        <f t="shared" si="106"/>
        <v>0</v>
      </c>
      <c r="BI183" s="3123">
        <f t="shared" si="107"/>
        <v>0</v>
      </c>
      <c r="BJ183" s="3123">
        <f t="shared" si="108"/>
        <v>0</v>
      </c>
      <c r="BK183" s="3123">
        <f t="shared" si="109"/>
        <v>0</v>
      </c>
      <c r="BL183" s="3123">
        <f t="shared" si="110"/>
        <v>0</v>
      </c>
      <c r="BM183" s="3123">
        <f t="shared" si="111"/>
        <v>0</v>
      </c>
      <c r="BN183" s="3123">
        <f t="shared" si="112"/>
        <v>0</v>
      </c>
      <c r="BO183" s="3123">
        <f t="shared" si="113"/>
        <v>0</v>
      </c>
      <c r="BP183" s="3123">
        <f t="shared" si="114"/>
        <v>0</v>
      </c>
      <c r="BQ183" s="3123">
        <f t="shared" si="115"/>
        <v>0</v>
      </c>
      <c r="BR183" s="3123">
        <f t="shared" si="116"/>
        <v>0</v>
      </c>
      <c r="BS183" s="3123">
        <f t="shared" si="117"/>
        <v>0</v>
      </c>
      <c r="BT183" s="3175">
        <f t="shared" si="118"/>
        <v>0</v>
      </c>
    </row>
    <row r="184" spans="1:72">
      <c r="A184" s="3120"/>
      <c r="B184" s="3121"/>
      <c r="C184" s="3121"/>
      <c r="D184" s="3122"/>
      <c r="E184" s="3123">
        <f t="shared" si="119"/>
        <v>0</v>
      </c>
      <c r="F184" s="3124"/>
      <c r="G184" s="3125">
        <f t="shared" si="94"/>
        <v>0</v>
      </c>
      <c r="H184" s="3126">
        <f t="shared" si="95"/>
        <v>0</v>
      </c>
      <c r="I184" s="3133"/>
      <c r="J184" s="3133"/>
      <c r="K184" s="3133"/>
      <c r="L184" s="3133"/>
      <c r="M184" s="3133"/>
      <c r="N184" s="3133"/>
      <c r="O184" s="3133"/>
      <c r="P184" s="3133"/>
      <c r="Q184" s="3133"/>
      <c r="R184" s="3133"/>
      <c r="S184" s="3133"/>
      <c r="T184" s="3133"/>
      <c r="U184" s="3133"/>
      <c r="V184" s="3133"/>
      <c r="W184" s="3133"/>
      <c r="X184" s="3133"/>
      <c r="Y184" s="3133"/>
      <c r="Z184" s="3133"/>
      <c r="AA184" s="3133"/>
      <c r="AB184" s="3133"/>
      <c r="AC184" s="3123">
        <f t="shared" si="96"/>
        <v>0</v>
      </c>
      <c r="AD184" s="3143"/>
      <c r="AE184" s="3143"/>
      <c r="AF184" s="3143"/>
      <c r="AG184" s="3143"/>
      <c r="AH184" s="3143"/>
      <c r="AI184" s="3143"/>
      <c r="AJ184" s="3143"/>
      <c r="AK184" s="3143"/>
      <c r="AL184" s="3143"/>
      <c r="AM184" s="3143"/>
      <c r="AN184" s="3143"/>
      <c r="AO184" s="3143"/>
      <c r="AP184" s="3143"/>
      <c r="AQ184" s="3143"/>
      <c r="AR184" s="3143"/>
      <c r="AS184" s="3143"/>
      <c r="AT184" s="3153"/>
      <c r="AU184" s="3154"/>
      <c r="AV184" s="270">
        <f t="shared" si="120"/>
        <v>0</v>
      </c>
      <c r="AW184" s="270">
        <f t="shared" si="121"/>
        <v>0</v>
      </c>
      <c r="AX184" s="270">
        <f t="shared" si="122"/>
        <v>0</v>
      </c>
      <c r="AY184" s="3168">
        <f t="shared" si="97"/>
        <v>0</v>
      </c>
      <c r="AZ184" s="3123">
        <f t="shared" si="98"/>
        <v>0</v>
      </c>
      <c r="BA184" s="3123">
        <f t="shared" si="99"/>
        <v>0</v>
      </c>
      <c r="BB184" s="3123">
        <f t="shared" si="100"/>
        <v>0</v>
      </c>
      <c r="BC184" s="3123">
        <f t="shared" si="101"/>
        <v>0</v>
      </c>
      <c r="BD184" s="3123">
        <f t="shared" si="102"/>
        <v>0</v>
      </c>
      <c r="BE184" s="3123">
        <f t="shared" si="103"/>
        <v>0</v>
      </c>
      <c r="BF184" s="3123">
        <f t="shared" si="104"/>
        <v>0</v>
      </c>
      <c r="BG184" s="3123">
        <f t="shared" si="105"/>
        <v>0</v>
      </c>
      <c r="BH184" s="3123">
        <f t="shared" si="106"/>
        <v>0</v>
      </c>
      <c r="BI184" s="3123">
        <f t="shared" si="107"/>
        <v>0</v>
      </c>
      <c r="BJ184" s="3123">
        <f t="shared" si="108"/>
        <v>0</v>
      </c>
      <c r="BK184" s="3123">
        <f t="shared" si="109"/>
        <v>0</v>
      </c>
      <c r="BL184" s="3123">
        <f t="shared" si="110"/>
        <v>0</v>
      </c>
      <c r="BM184" s="3123">
        <f t="shared" si="111"/>
        <v>0</v>
      </c>
      <c r="BN184" s="3123">
        <f t="shared" si="112"/>
        <v>0</v>
      </c>
      <c r="BO184" s="3123">
        <f t="shared" si="113"/>
        <v>0</v>
      </c>
      <c r="BP184" s="3123">
        <f t="shared" si="114"/>
        <v>0</v>
      </c>
      <c r="BQ184" s="3123">
        <f t="shared" si="115"/>
        <v>0</v>
      </c>
      <c r="BR184" s="3123">
        <f t="shared" si="116"/>
        <v>0</v>
      </c>
      <c r="BS184" s="3123">
        <f t="shared" si="117"/>
        <v>0</v>
      </c>
      <c r="BT184" s="3175">
        <f t="shared" si="118"/>
        <v>0</v>
      </c>
    </row>
    <row r="185" spans="1:72">
      <c r="A185" s="3120"/>
      <c r="B185" s="3121"/>
      <c r="C185" s="3121"/>
      <c r="D185" s="3122"/>
      <c r="E185" s="3123">
        <f t="shared" si="119"/>
        <v>0</v>
      </c>
      <c r="F185" s="3124"/>
      <c r="G185" s="3125">
        <f t="shared" si="94"/>
        <v>0</v>
      </c>
      <c r="H185" s="3126">
        <f t="shared" si="95"/>
        <v>0</v>
      </c>
      <c r="I185" s="3133"/>
      <c r="J185" s="3133"/>
      <c r="K185" s="3133"/>
      <c r="L185" s="3133"/>
      <c r="M185" s="3133"/>
      <c r="N185" s="3133"/>
      <c r="O185" s="3133"/>
      <c r="P185" s="3133"/>
      <c r="Q185" s="3133"/>
      <c r="R185" s="3133"/>
      <c r="S185" s="3133"/>
      <c r="T185" s="3133"/>
      <c r="U185" s="3133"/>
      <c r="V185" s="3133"/>
      <c r="W185" s="3133"/>
      <c r="X185" s="3133"/>
      <c r="Y185" s="3133"/>
      <c r="Z185" s="3133"/>
      <c r="AA185" s="3133"/>
      <c r="AB185" s="3133"/>
      <c r="AC185" s="3123">
        <f t="shared" si="96"/>
        <v>0</v>
      </c>
      <c r="AD185" s="3143"/>
      <c r="AE185" s="3143"/>
      <c r="AF185" s="3143"/>
      <c r="AG185" s="3143"/>
      <c r="AH185" s="3143"/>
      <c r="AI185" s="3143"/>
      <c r="AJ185" s="3143"/>
      <c r="AK185" s="3143"/>
      <c r="AL185" s="3143"/>
      <c r="AM185" s="3143"/>
      <c r="AN185" s="3143"/>
      <c r="AO185" s="3143"/>
      <c r="AP185" s="3143"/>
      <c r="AQ185" s="3143"/>
      <c r="AR185" s="3143"/>
      <c r="AS185" s="3143"/>
      <c r="AT185" s="3153"/>
      <c r="AU185" s="3154"/>
      <c r="AV185" s="270">
        <f t="shared" si="120"/>
        <v>0</v>
      </c>
      <c r="AW185" s="270">
        <f t="shared" si="121"/>
        <v>0</v>
      </c>
      <c r="AX185" s="270">
        <f t="shared" si="122"/>
        <v>0</v>
      </c>
      <c r="AY185" s="3168">
        <f t="shared" si="97"/>
        <v>0</v>
      </c>
      <c r="AZ185" s="3123">
        <f t="shared" si="98"/>
        <v>0</v>
      </c>
      <c r="BA185" s="3123">
        <f t="shared" si="99"/>
        <v>0</v>
      </c>
      <c r="BB185" s="3123">
        <f t="shared" si="100"/>
        <v>0</v>
      </c>
      <c r="BC185" s="3123">
        <f t="shared" si="101"/>
        <v>0</v>
      </c>
      <c r="BD185" s="3123">
        <f t="shared" si="102"/>
        <v>0</v>
      </c>
      <c r="BE185" s="3123">
        <f t="shared" si="103"/>
        <v>0</v>
      </c>
      <c r="BF185" s="3123">
        <f t="shared" si="104"/>
        <v>0</v>
      </c>
      <c r="BG185" s="3123">
        <f t="shared" si="105"/>
        <v>0</v>
      </c>
      <c r="BH185" s="3123">
        <f t="shared" si="106"/>
        <v>0</v>
      </c>
      <c r="BI185" s="3123">
        <f t="shared" si="107"/>
        <v>0</v>
      </c>
      <c r="BJ185" s="3123">
        <f t="shared" si="108"/>
        <v>0</v>
      </c>
      <c r="BK185" s="3123">
        <f t="shared" si="109"/>
        <v>0</v>
      </c>
      <c r="BL185" s="3123">
        <f t="shared" si="110"/>
        <v>0</v>
      </c>
      <c r="BM185" s="3123">
        <f t="shared" si="111"/>
        <v>0</v>
      </c>
      <c r="BN185" s="3123">
        <f t="shared" si="112"/>
        <v>0</v>
      </c>
      <c r="BO185" s="3123">
        <f t="shared" si="113"/>
        <v>0</v>
      </c>
      <c r="BP185" s="3123">
        <f t="shared" si="114"/>
        <v>0</v>
      </c>
      <c r="BQ185" s="3123">
        <f t="shared" si="115"/>
        <v>0</v>
      </c>
      <c r="BR185" s="3123">
        <f t="shared" si="116"/>
        <v>0</v>
      </c>
      <c r="BS185" s="3123">
        <f t="shared" si="117"/>
        <v>0</v>
      </c>
      <c r="BT185" s="3175">
        <f t="shared" si="118"/>
        <v>0</v>
      </c>
    </row>
    <row r="186" spans="1:72">
      <c r="A186" s="3120"/>
      <c r="B186" s="3121"/>
      <c r="C186" s="3121"/>
      <c r="D186" s="3122"/>
      <c r="E186" s="3123">
        <f t="shared" si="119"/>
        <v>0</v>
      </c>
      <c r="F186" s="3124"/>
      <c r="G186" s="3125">
        <f t="shared" si="94"/>
        <v>0</v>
      </c>
      <c r="H186" s="3126">
        <f t="shared" si="95"/>
        <v>0</v>
      </c>
      <c r="I186" s="3133"/>
      <c r="J186" s="3133"/>
      <c r="K186" s="3133"/>
      <c r="L186" s="3133"/>
      <c r="M186" s="3133"/>
      <c r="N186" s="3133"/>
      <c r="O186" s="3133"/>
      <c r="P186" s="3133"/>
      <c r="Q186" s="3133"/>
      <c r="R186" s="3133"/>
      <c r="S186" s="3133"/>
      <c r="T186" s="3133"/>
      <c r="U186" s="3133"/>
      <c r="V186" s="3133"/>
      <c r="W186" s="3133"/>
      <c r="X186" s="3133"/>
      <c r="Y186" s="3133"/>
      <c r="Z186" s="3133"/>
      <c r="AA186" s="3133"/>
      <c r="AB186" s="3133"/>
      <c r="AC186" s="3123">
        <f t="shared" si="96"/>
        <v>0</v>
      </c>
      <c r="AD186" s="3143"/>
      <c r="AE186" s="3143"/>
      <c r="AF186" s="3143"/>
      <c r="AG186" s="3143"/>
      <c r="AH186" s="3143"/>
      <c r="AI186" s="3143"/>
      <c r="AJ186" s="3143"/>
      <c r="AK186" s="3143"/>
      <c r="AL186" s="3143"/>
      <c r="AM186" s="3143"/>
      <c r="AN186" s="3143"/>
      <c r="AO186" s="3143"/>
      <c r="AP186" s="3143"/>
      <c r="AQ186" s="3143"/>
      <c r="AR186" s="3143"/>
      <c r="AS186" s="3143"/>
      <c r="AT186" s="3153"/>
      <c r="AU186" s="3154"/>
      <c r="AV186" s="270">
        <f t="shared" si="120"/>
        <v>0</v>
      </c>
      <c r="AW186" s="270">
        <f t="shared" si="121"/>
        <v>0</v>
      </c>
      <c r="AX186" s="270">
        <f t="shared" si="122"/>
        <v>0</v>
      </c>
      <c r="AY186" s="3168">
        <f t="shared" si="97"/>
        <v>0</v>
      </c>
      <c r="AZ186" s="3123">
        <f t="shared" si="98"/>
        <v>0</v>
      </c>
      <c r="BA186" s="3123">
        <f t="shared" si="99"/>
        <v>0</v>
      </c>
      <c r="BB186" s="3123">
        <f t="shared" si="100"/>
        <v>0</v>
      </c>
      <c r="BC186" s="3123">
        <f t="shared" si="101"/>
        <v>0</v>
      </c>
      <c r="BD186" s="3123">
        <f t="shared" si="102"/>
        <v>0</v>
      </c>
      <c r="BE186" s="3123">
        <f t="shared" si="103"/>
        <v>0</v>
      </c>
      <c r="BF186" s="3123">
        <f t="shared" si="104"/>
        <v>0</v>
      </c>
      <c r="BG186" s="3123">
        <f t="shared" si="105"/>
        <v>0</v>
      </c>
      <c r="BH186" s="3123">
        <f t="shared" si="106"/>
        <v>0</v>
      </c>
      <c r="BI186" s="3123">
        <f t="shared" si="107"/>
        <v>0</v>
      </c>
      <c r="BJ186" s="3123">
        <f t="shared" si="108"/>
        <v>0</v>
      </c>
      <c r="BK186" s="3123">
        <f t="shared" si="109"/>
        <v>0</v>
      </c>
      <c r="BL186" s="3123">
        <f t="shared" si="110"/>
        <v>0</v>
      </c>
      <c r="BM186" s="3123">
        <f t="shared" si="111"/>
        <v>0</v>
      </c>
      <c r="BN186" s="3123">
        <f t="shared" si="112"/>
        <v>0</v>
      </c>
      <c r="BO186" s="3123">
        <f t="shared" si="113"/>
        <v>0</v>
      </c>
      <c r="BP186" s="3123">
        <f t="shared" si="114"/>
        <v>0</v>
      </c>
      <c r="BQ186" s="3123">
        <f t="shared" si="115"/>
        <v>0</v>
      </c>
      <c r="BR186" s="3123">
        <f t="shared" si="116"/>
        <v>0</v>
      </c>
      <c r="BS186" s="3123">
        <f t="shared" si="117"/>
        <v>0</v>
      </c>
      <c r="BT186" s="3175">
        <f t="shared" si="118"/>
        <v>0</v>
      </c>
    </row>
    <row r="187" spans="1:72">
      <c r="A187" s="3120"/>
      <c r="B187" s="3121"/>
      <c r="C187" s="3121"/>
      <c r="D187" s="3122"/>
      <c r="E187" s="3123">
        <f t="shared" si="119"/>
        <v>0</v>
      </c>
      <c r="F187" s="3124"/>
      <c r="G187" s="3125">
        <f t="shared" si="94"/>
        <v>0</v>
      </c>
      <c r="H187" s="3126">
        <f t="shared" si="95"/>
        <v>0</v>
      </c>
      <c r="I187" s="3133"/>
      <c r="J187" s="3133"/>
      <c r="K187" s="3133"/>
      <c r="L187" s="3133"/>
      <c r="M187" s="3133"/>
      <c r="N187" s="3133"/>
      <c r="O187" s="3133"/>
      <c r="P187" s="3133"/>
      <c r="Q187" s="3133"/>
      <c r="R187" s="3133"/>
      <c r="S187" s="3133"/>
      <c r="T187" s="3133"/>
      <c r="U187" s="3133"/>
      <c r="V187" s="3133"/>
      <c r="W187" s="3133"/>
      <c r="X187" s="3133"/>
      <c r="Y187" s="3133"/>
      <c r="Z187" s="3133"/>
      <c r="AA187" s="3133"/>
      <c r="AB187" s="3133"/>
      <c r="AC187" s="3123">
        <f t="shared" si="96"/>
        <v>0</v>
      </c>
      <c r="AD187" s="3143"/>
      <c r="AE187" s="3143"/>
      <c r="AF187" s="3143"/>
      <c r="AG187" s="3143"/>
      <c r="AH187" s="3143"/>
      <c r="AI187" s="3143"/>
      <c r="AJ187" s="3143"/>
      <c r="AK187" s="3143"/>
      <c r="AL187" s="3143"/>
      <c r="AM187" s="3143"/>
      <c r="AN187" s="3143"/>
      <c r="AO187" s="3143"/>
      <c r="AP187" s="3143"/>
      <c r="AQ187" s="3143"/>
      <c r="AR187" s="3143"/>
      <c r="AS187" s="3143"/>
      <c r="AT187" s="3153"/>
      <c r="AU187" s="3154"/>
      <c r="AV187" s="270">
        <f t="shared" si="120"/>
        <v>0</v>
      </c>
      <c r="AW187" s="270">
        <f t="shared" si="121"/>
        <v>0</v>
      </c>
      <c r="AX187" s="270">
        <f t="shared" si="122"/>
        <v>0</v>
      </c>
      <c r="AY187" s="3168">
        <f t="shared" si="97"/>
        <v>0</v>
      </c>
      <c r="AZ187" s="3123">
        <f t="shared" si="98"/>
        <v>0</v>
      </c>
      <c r="BA187" s="3123">
        <f t="shared" si="99"/>
        <v>0</v>
      </c>
      <c r="BB187" s="3123">
        <f t="shared" si="100"/>
        <v>0</v>
      </c>
      <c r="BC187" s="3123">
        <f t="shared" si="101"/>
        <v>0</v>
      </c>
      <c r="BD187" s="3123">
        <f t="shared" si="102"/>
        <v>0</v>
      </c>
      <c r="BE187" s="3123">
        <f t="shared" si="103"/>
        <v>0</v>
      </c>
      <c r="BF187" s="3123">
        <f t="shared" si="104"/>
        <v>0</v>
      </c>
      <c r="BG187" s="3123">
        <f t="shared" si="105"/>
        <v>0</v>
      </c>
      <c r="BH187" s="3123">
        <f t="shared" si="106"/>
        <v>0</v>
      </c>
      <c r="BI187" s="3123">
        <f t="shared" si="107"/>
        <v>0</v>
      </c>
      <c r="BJ187" s="3123">
        <f t="shared" si="108"/>
        <v>0</v>
      </c>
      <c r="BK187" s="3123">
        <f t="shared" si="109"/>
        <v>0</v>
      </c>
      <c r="BL187" s="3123">
        <f t="shared" si="110"/>
        <v>0</v>
      </c>
      <c r="BM187" s="3123">
        <f t="shared" si="111"/>
        <v>0</v>
      </c>
      <c r="BN187" s="3123">
        <f t="shared" si="112"/>
        <v>0</v>
      </c>
      <c r="BO187" s="3123">
        <f t="shared" si="113"/>
        <v>0</v>
      </c>
      <c r="BP187" s="3123">
        <f t="shared" si="114"/>
        <v>0</v>
      </c>
      <c r="BQ187" s="3123">
        <f t="shared" si="115"/>
        <v>0</v>
      </c>
      <c r="BR187" s="3123">
        <f t="shared" si="116"/>
        <v>0</v>
      </c>
      <c r="BS187" s="3123">
        <f t="shared" si="117"/>
        <v>0</v>
      </c>
      <c r="BT187" s="3175">
        <f t="shared" si="118"/>
        <v>0</v>
      </c>
    </row>
    <row r="188" spans="1:72">
      <c r="A188" s="3120"/>
      <c r="B188" s="3121"/>
      <c r="C188" s="3121"/>
      <c r="D188" s="3122"/>
      <c r="E188" s="3123">
        <f t="shared" si="119"/>
        <v>0</v>
      </c>
      <c r="F188" s="3124"/>
      <c r="G188" s="3125">
        <f t="shared" si="94"/>
        <v>0</v>
      </c>
      <c r="H188" s="3126">
        <f t="shared" si="95"/>
        <v>0</v>
      </c>
      <c r="I188" s="3133"/>
      <c r="J188" s="3133"/>
      <c r="K188" s="3133"/>
      <c r="L188" s="3133"/>
      <c r="M188" s="3133"/>
      <c r="N188" s="3133"/>
      <c r="O188" s="3133"/>
      <c r="P188" s="3133"/>
      <c r="Q188" s="3133"/>
      <c r="R188" s="3133"/>
      <c r="S188" s="3133"/>
      <c r="T188" s="3133"/>
      <c r="U188" s="3133"/>
      <c r="V188" s="3133"/>
      <c r="W188" s="3133"/>
      <c r="X188" s="3133"/>
      <c r="Y188" s="3133"/>
      <c r="Z188" s="3133"/>
      <c r="AA188" s="3133"/>
      <c r="AB188" s="3133"/>
      <c r="AC188" s="3123">
        <f t="shared" si="96"/>
        <v>0</v>
      </c>
      <c r="AD188" s="3143"/>
      <c r="AE188" s="3143"/>
      <c r="AF188" s="3143"/>
      <c r="AG188" s="3143"/>
      <c r="AH188" s="3143"/>
      <c r="AI188" s="3143"/>
      <c r="AJ188" s="3143"/>
      <c r="AK188" s="3143"/>
      <c r="AL188" s="3143"/>
      <c r="AM188" s="3143"/>
      <c r="AN188" s="3143"/>
      <c r="AO188" s="3143"/>
      <c r="AP188" s="3143"/>
      <c r="AQ188" s="3143"/>
      <c r="AR188" s="3143"/>
      <c r="AS188" s="3143"/>
      <c r="AT188" s="3153"/>
      <c r="AU188" s="3154"/>
      <c r="AV188" s="270">
        <f t="shared" si="120"/>
        <v>0</v>
      </c>
      <c r="AW188" s="270">
        <f t="shared" si="121"/>
        <v>0</v>
      </c>
      <c r="AX188" s="270">
        <f t="shared" si="122"/>
        <v>0</v>
      </c>
      <c r="AY188" s="3168">
        <f t="shared" si="97"/>
        <v>0</v>
      </c>
      <c r="AZ188" s="3123">
        <f t="shared" si="98"/>
        <v>0</v>
      </c>
      <c r="BA188" s="3123">
        <f t="shared" si="99"/>
        <v>0</v>
      </c>
      <c r="BB188" s="3123">
        <f t="shared" si="100"/>
        <v>0</v>
      </c>
      <c r="BC188" s="3123">
        <f t="shared" si="101"/>
        <v>0</v>
      </c>
      <c r="BD188" s="3123">
        <f t="shared" si="102"/>
        <v>0</v>
      </c>
      <c r="BE188" s="3123">
        <f t="shared" si="103"/>
        <v>0</v>
      </c>
      <c r="BF188" s="3123">
        <f t="shared" si="104"/>
        <v>0</v>
      </c>
      <c r="BG188" s="3123">
        <f t="shared" si="105"/>
        <v>0</v>
      </c>
      <c r="BH188" s="3123">
        <f t="shared" si="106"/>
        <v>0</v>
      </c>
      <c r="BI188" s="3123">
        <f t="shared" si="107"/>
        <v>0</v>
      </c>
      <c r="BJ188" s="3123">
        <f t="shared" si="108"/>
        <v>0</v>
      </c>
      <c r="BK188" s="3123">
        <f t="shared" si="109"/>
        <v>0</v>
      </c>
      <c r="BL188" s="3123">
        <f t="shared" si="110"/>
        <v>0</v>
      </c>
      <c r="BM188" s="3123">
        <f t="shared" si="111"/>
        <v>0</v>
      </c>
      <c r="BN188" s="3123">
        <f t="shared" si="112"/>
        <v>0</v>
      </c>
      <c r="BO188" s="3123">
        <f t="shared" si="113"/>
        <v>0</v>
      </c>
      <c r="BP188" s="3123">
        <f t="shared" si="114"/>
        <v>0</v>
      </c>
      <c r="BQ188" s="3123">
        <f t="shared" si="115"/>
        <v>0</v>
      </c>
      <c r="BR188" s="3123">
        <f t="shared" si="116"/>
        <v>0</v>
      </c>
      <c r="BS188" s="3123">
        <f t="shared" si="117"/>
        <v>0</v>
      </c>
      <c r="BT188" s="3175">
        <f t="shared" si="118"/>
        <v>0</v>
      </c>
    </row>
    <row r="189" spans="1:72">
      <c r="A189" s="3120"/>
      <c r="B189" s="3121"/>
      <c r="C189" s="3121"/>
      <c r="D189" s="3122"/>
      <c r="E189" s="3123">
        <f t="shared" si="119"/>
        <v>0</v>
      </c>
      <c r="F189" s="3124"/>
      <c r="G189" s="3125">
        <f t="shared" si="94"/>
        <v>0</v>
      </c>
      <c r="H189" s="3126">
        <f t="shared" si="95"/>
        <v>0</v>
      </c>
      <c r="I189" s="3133"/>
      <c r="J189" s="3133"/>
      <c r="K189" s="3133"/>
      <c r="L189" s="3133"/>
      <c r="M189" s="3133"/>
      <c r="N189" s="3133"/>
      <c r="O189" s="3133"/>
      <c r="P189" s="3133"/>
      <c r="Q189" s="3133"/>
      <c r="R189" s="3133"/>
      <c r="S189" s="3133"/>
      <c r="T189" s="3133"/>
      <c r="U189" s="3133"/>
      <c r="V189" s="3133"/>
      <c r="W189" s="3133"/>
      <c r="X189" s="3133"/>
      <c r="Y189" s="3133"/>
      <c r="Z189" s="3133"/>
      <c r="AA189" s="3133"/>
      <c r="AB189" s="3133"/>
      <c r="AC189" s="3123">
        <f t="shared" si="96"/>
        <v>0</v>
      </c>
      <c r="AD189" s="3143"/>
      <c r="AE189" s="3143"/>
      <c r="AF189" s="3143"/>
      <c r="AG189" s="3143"/>
      <c r="AH189" s="3143"/>
      <c r="AI189" s="3143"/>
      <c r="AJ189" s="3143"/>
      <c r="AK189" s="3143"/>
      <c r="AL189" s="3143"/>
      <c r="AM189" s="3143"/>
      <c r="AN189" s="3143"/>
      <c r="AO189" s="3143"/>
      <c r="AP189" s="3143"/>
      <c r="AQ189" s="3143"/>
      <c r="AR189" s="3143"/>
      <c r="AS189" s="3143"/>
      <c r="AT189" s="3153"/>
      <c r="AU189" s="3154"/>
      <c r="AV189" s="270">
        <f t="shared" si="120"/>
        <v>0</v>
      </c>
      <c r="AW189" s="270">
        <f t="shared" si="121"/>
        <v>0</v>
      </c>
      <c r="AX189" s="270">
        <f t="shared" si="122"/>
        <v>0</v>
      </c>
      <c r="AY189" s="3168">
        <f t="shared" si="97"/>
        <v>0</v>
      </c>
      <c r="AZ189" s="3123">
        <f t="shared" si="98"/>
        <v>0</v>
      </c>
      <c r="BA189" s="3123">
        <f t="shared" si="99"/>
        <v>0</v>
      </c>
      <c r="BB189" s="3123">
        <f t="shared" si="100"/>
        <v>0</v>
      </c>
      <c r="BC189" s="3123">
        <f t="shared" si="101"/>
        <v>0</v>
      </c>
      <c r="BD189" s="3123">
        <f t="shared" si="102"/>
        <v>0</v>
      </c>
      <c r="BE189" s="3123">
        <f t="shared" si="103"/>
        <v>0</v>
      </c>
      <c r="BF189" s="3123">
        <f t="shared" si="104"/>
        <v>0</v>
      </c>
      <c r="BG189" s="3123">
        <f t="shared" si="105"/>
        <v>0</v>
      </c>
      <c r="BH189" s="3123">
        <f t="shared" si="106"/>
        <v>0</v>
      </c>
      <c r="BI189" s="3123">
        <f t="shared" si="107"/>
        <v>0</v>
      </c>
      <c r="BJ189" s="3123">
        <f t="shared" si="108"/>
        <v>0</v>
      </c>
      <c r="BK189" s="3123">
        <f t="shared" si="109"/>
        <v>0</v>
      </c>
      <c r="BL189" s="3123">
        <f t="shared" si="110"/>
        <v>0</v>
      </c>
      <c r="BM189" s="3123">
        <f t="shared" si="111"/>
        <v>0</v>
      </c>
      <c r="BN189" s="3123">
        <f t="shared" si="112"/>
        <v>0</v>
      </c>
      <c r="BO189" s="3123">
        <f t="shared" si="113"/>
        <v>0</v>
      </c>
      <c r="BP189" s="3123">
        <f t="shared" si="114"/>
        <v>0</v>
      </c>
      <c r="BQ189" s="3123">
        <f t="shared" si="115"/>
        <v>0</v>
      </c>
      <c r="BR189" s="3123">
        <f t="shared" si="116"/>
        <v>0</v>
      </c>
      <c r="BS189" s="3123">
        <f t="shared" si="117"/>
        <v>0</v>
      </c>
      <c r="BT189" s="3175">
        <f t="shared" si="118"/>
        <v>0</v>
      </c>
    </row>
    <row r="190" spans="1:72">
      <c r="A190" s="3120"/>
      <c r="B190" s="3121"/>
      <c r="C190" s="3121"/>
      <c r="D190" s="3122"/>
      <c r="E190" s="3123">
        <f t="shared" si="119"/>
        <v>0</v>
      </c>
      <c r="F190" s="3124"/>
      <c r="G190" s="3125">
        <f t="shared" si="94"/>
        <v>0</v>
      </c>
      <c r="H190" s="3126">
        <f t="shared" si="95"/>
        <v>0</v>
      </c>
      <c r="I190" s="3133"/>
      <c r="J190" s="3133"/>
      <c r="K190" s="3133"/>
      <c r="L190" s="3133"/>
      <c r="M190" s="3133"/>
      <c r="N190" s="3133"/>
      <c r="O190" s="3133"/>
      <c r="P190" s="3133"/>
      <c r="Q190" s="3133"/>
      <c r="R190" s="3133"/>
      <c r="S190" s="3133"/>
      <c r="T190" s="3133"/>
      <c r="U190" s="3133"/>
      <c r="V190" s="3133"/>
      <c r="W190" s="3133"/>
      <c r="X190" s="3133"/>
      <c r="Y190" s="3133"/>
      <c r="Z190" s="3133"/>
      <c r="AA190" s="3133"/>
      <c r="AB190" s="3133"/>
      <c r="AC190" s="3123">
        <f t="shared" si="96"/>
        <v>0</v>
      </c>
      <c r="AD190" s="3143"/>
      <c r="AE190" s="3143"/>
      <c r="AF190" s="3143"/>
      <c r="AG190" s="3143"/>
      <c r="AH190" s="3143"/>
      <c r="AI190" s="3143"/>
      <c r="AJ190" s="3143"/>
      <c r="AK190" s="3143"/>
      <c r="AL190" s="3143"/>
      <c r="AM190" s="3143"/>
      <c r="AN190" s="3143"/>
      <c r="AO190" s="3143"/>
      <c r="AP190" s="3143"/>
      <c r="AQ190" s="3143"/>
      <c r="AR190" s="3143"/>
      <c r="AS190" s="3143"/>
      <c r="AT190" s="3153"/>
      <c r="AU190" s="3154"/>
      <c r="AV190" s="270">
        <f t="shared" si="120"/>
        <v>0</v>
      </c>
      <c r="AW190" s="270">
        <f t="shared" si="121"/>
        <v>0</v>
      </c>
      <c r="AX190" s="270">
        <f t="shared" si="122"/>
        <v>0</v>
      </c>
      <c r="AY190" s="3168">
        <f t="shared" si="97"/>
        <v>0</v>
      </c>
      <c r="AZ190" s="3123">
        <f t="shared" si="98"/>
        <v>0</v>
      </c>
      <c r="BA190" s="3123">
        <f t="shared" si="99"/>
        <v>0</v>
      </c>
      <c r="BB190" s="3123">
        <f t="shared" si="100"/>
        <v>0</v>
      </c>
      <c r="BC190" s="3123">
        <f t="shared" si="101"/>
        <v>0</v>
      </c>
      <c r="BD190" s="3123">
        <f t="shared" si="102"/>
        <v>0</v>
      </c>
      <c r="BE190" s="3123">
        <f t="shared" si="103"/>
        <v>0</v>
      </c>
      <c r="BF190" s="3123">
        <f t="shared" si="104"/>
        <v>0</v>
      </c>
      <c r="BG190" s="3123">
        <f t="shared" si="105"/>
        <v>0</v>
      </c>
      <c r="BH190" s="3123">
        <f t="shared" si="106"/>
        <v>0</v>
      </c>
      <c r="BI190" s="3123">
        <f t="shared" si="107"/>
        <v>0</v>
      </c>
      <c r="BJ190" s="3123">
        <f t="shared" si="108"/>
        <v>0</v>
      </c>
      <c r="BK190" s="3123">
        <f t="shared" si="109"/>
        <v>0</v>
      </c>
      <c r="BL190" s="3123">
        <f t="shared" si="110"/>
        <v>0</v>
      </c>
      <c r="BM190" s="3123">
        <f t="shared" si="111"/>
        <v>0</v>
      </c>
      <c r="BN190" s="3123">
        <f t="shared" si="112"/>
        <v>0</v>
      </c>
      <c r="BO190" s="3123">
        <f t="shared" si="113"/>
        <v>0</v>
      </c>
      <c r="BP190" s="3123">
        <f t="shared" si="114"/>
        <v>0</v>
      </c>
      <c r="BQ190" s="3123">
        <f t="shared" si="115"/>
        <v>0</v>
      </c>
      <c r="BR190" s="3123">
        <f t="shared" si="116"/>
        <v>0</v>
      </c>
      <c r="BS190" s="3123">
        <f t="shared" si="117"/>
        <v>0</v>
      </c>
      <c r="BT190" s="3175">
        <f t="shared" si="118"/>
        <v>0</v>
      </c>
    </row>
    <row r="191" spans="1:72">
      <c r="A191" s="3120"/>
      <c r="B191" s="3121"/>
      <c r="C191" s="3121"/>
      <c r="D191" s="3122"/>
      <c r="E191" s="3123">
        <f t="shared" si="119"/>
        <v>0</v>
      </c>
      <c r="F191" s="3124"/>
      <c r="G191" s="3125">
        <f t="shared" si="94"/>
        <v>0</v>
      </c>
      <c r="H191" s="3126">
        <f t="shared" si="95"/>
        <v>0</v>
      </c>
      <c r="I191" s="3133"/>
      <c r="J191" s="3133"/>
      <c r="K191" s="3133"/>
      <c r="L191" s="3133"/>
      <c r="M191" s="3133"/>
      <c r="N191" s="3133"/>
      <c r="O191" s="3133"/>
      <c r="P191" s="3133"/>
      <c r="Q191" s="3133"/>
      <c r="R191" s="3133"/>
      <c r="S191" s="3133"/>
      <c r="T191" s="3133"/>
      <c r="U191" s="3133"/>
      <c r="V191" s="3133"/>
      <c r="W191" s="3133"/>
      <c r="X191" s="3133"/>
      <c r="Y191" s="3133"/>
      <c r="Z191" s="3133"/>
      <c r="AA191" s="3133"/>
      <c r="AB191" s="3133"/>
      <c r="AC191" s="3123">
        <f t="shared" si="96"/>
        <v>0</v>
      </c>
      <c r="AD191" s="3143"/>
      <c r="AE191" s="3143"/>
      <c r="AF191" s="3143"/>
      <c r="AG191" s="3143"/>
      <c r="AH191" s="3143"/>
      <c r="AI191" s="3143"/>
      <c r="AJ191" s="3143"/>
      <c r="AK191" s="3143"/>
      <c r="AL191" s="3143"/>
      <c r="AM191" s="3143"/>
      <c r="AN191" s="3143"/>
      <c r="AO191" s="3143"/>
      <c r="AP191" s="3143"/>
      <c r="AQ191" s="3143"/>
      <c r="AR191" s="3143"/>
      <c r="AS191" s="3143"/>
      <c r="AT191" s="3153"/>
      <c r="AU191" s="3154"/>
      <c r="AV191" s="270">
        <f t="shared" si="120"/>
        <v>0</v>
      </c>
      <c r="AW191" s="270">
        <f t="shared" si="121"/>
        <v>0</v>
      </c>
      <c r="AX191" s="270">
        <f t="shared" si="122"/>
        <v>0</v>
      </c>
      <c r="AY191" s="3168">
        <f t="shared" si="97"/>
        <v>0</v>
      </c>
      <c r="AZ191" s="3123">
        <f t="shared" si="98"/>
        <v>0</v>
      </c>
      <c r="BA191" s="3123">
        <f t="shared" si="99"/>
        <v>0</v>
      </c>
      <c r="BB191" s="3123">
        <f t="shared" si="100"/>
        <v>0</v>
      </c>
      <c r="BC191" s="3123">
        <f t="shared" si="101"/>
        <v>0</v>
      </c>
      <c r="BD191" s="3123">
        <f t="shared" si="102"/>
        <v>0</v>
      </c>
      <c r="BE191" s="3123">
        <f t="shared" si="103"/>
        <v>0</v>
      </c>
      <c r="BF191" s="3123">
        <f t="shared" si="104"/>
        <v>0</v>
      </c>
      <c r="BG191" s="3123">
        <f t="shared" si="105"/>
        <v>0</v>
      </c>
      <c r="BH191" s="3123">
        <f t="shared" si="106"/>
        <v>0</v>
      </c>
      <c r="BI191" s="3123">
        <f t="shared" si="107"/>
        <v>0</v>
      </c>
      <c r="BJ191" s="3123">
        <f t="shared" si="108"/>
        <v>0</v>
      </c>
      <c r="BK191" s="3123">
        <f t="shared" si="109"/>
        <v>0</v>
      </c>
      <c r="BL191" s="3123">
        <f t="shared" si="110"/>
        <v>0</v>
      </c>
      <c r="BM191" s="3123">
        <f t="shared" si="111"/>
        <v>0</v>
      </c>
      <c r="BN191" s="3123">
        <f t="shared" si="112"/>
        <v>0</v>
      </c>
      <c r="BO191" s="3123">
        <f t="shared" si="113"/>
        <v>0</v>
      </c>
      <c r="BP191" s="3123">
        <f t="shared" si="114"/>
        <v>0</v>
      </c>
      <c r="BQ191" s="3123">
        <f t="shared" si="115"/>
        <v>0</v>
      </c>
      <c r="BR191" s="3123">
        <f t="shared" si="116"/>
        <v>0</v>
      </c>
      <c r="BS191" s="3123">
        <f t="shared" si="117"/>
        <v>0</v>
      </c>
      <c r="BT191" s="3175">
        <f t="shared" si="118"/>
        <v>0</v>
      </c>
    </row>
    <row r="192" spans="1:72">
      <c r="A192" s="3120"/>
      <c r="B192" s="3121"/>
      <c r="C192" s="3121"/>
      <c r="D192" s="3122"/>
      <c r="E192" s="3123">
        <f t="shared" si="119"/>
        <v>0</v>
      </c>
      <c r="F192" s="3124"/>
      <c r="G192" s="3125">
        <f t="shared" si="94"/>
        <v>0</v>
      </c>
      <c r="H192" s="3126">
        <f t="shared" si="95"/>
        <v>0</v>
      </c>
      <c r="I192" s="3133"/>
      <c r="J192" s="3133"/>
      <c r="K192" s="3133"/>
      <c r="L192" s="3133"/>
      <c r="M192" s="3133"/>
      <c r="N192" s="3133"/>
      <c r="O192" s="3133"/>
      <c r="P192" s="3133"/>
      <c r="Q192" s="3133"/>
      <c r="R192" s="3133"/>
      <c r="S192" s="3133"/>
      <c r="T192" s="3133"/>
      <c r="U192" s="3133"/>
      <c r="V192" s="3133"/>
      <c r="W192" s="3133"/>
      <c r="X192" s="3133"/>
      <c r="Y192" s="3133"/>
      <c r="Z192" s="3133"/>
      <c r="AA192" s="3133"/>
      <c r="AB192" s="3133"/>
      <c r="AC192" s="3123">
        <f t="shared" si="96"/>
        <v>0</v>
      </c>
      <c r="AD192" s="3143"/>
      <c r="AE192" s="3143"/>
      <c r="AF192" s="3143"/>
      <c r="AG192" s="3143"/>
      <c r="AH192" s="3143"/>
      <c r="AI192" s="3143"/>
      <c r="AJ192" s="3143"/>
      <c r="AK192" s="3143"/>
      <c r="AL192" s="3143"/>
      <c r="AM192" s="3143"/>
      <c r="AN192" s="3143"/>
      <c r="AO192" s="3143"/>
      <c r="AP192" s="3143"/>
      <c r="AQ192" s="3143"/>
      <c r="AR192" s="3143"/>
      <c r="AS192" s="3143"/>
      <c r="AT192" s="3153"/>
      <c r="AU192" s="3154"/>
      <c r="AV192" s="270">
        <f t="shared" si="120"/>
        <v>0</v>
      </c>
      <c r="AW192" s="270">
        <f t="shared" si="121"/>
        <v>0</v>
      </c>
      <c r="AX192" s="270">
        <f t="shared" si="122"/>
        <v>0</v>
      </c>
      <c r="AY192" s="3168">
        <f t="shared" si="97"/>
        <v>0</v>
      </c>
      <c r="AZ192" s="3123">
        <f t="shared" si="98"/>
        <v>0</v>
      </c>
      <c r="BA192" s="3123">
        <f t="shared" si="99"/>
        <v>0</v>
      </c>
      <c r="BB192" s="3123">
        <f t="shared" si="100"/>
        <v>0</v>
      </c>
      <c r="BC192" s="3123">
        <f t="shared" si="101"/>
        <v>0</v>
      </c>
      <c r="BD192" s="3123">
        <f t="shared" si="102"/>
        <v>0</v>
      </c>
      <c r="BE192" s="3123">
        <f t="shared" si="103"/>
        <v>0</v>
      </c>
      <c r="BF192" s="3123">
        <f t="shared" si="104"/>
        <v>0</v>
      </c>
      <c r="BG192" s="3123">
        <f t="shared" si="105"/>
        <v>0</v>
      </c>
      <c r="BH192" s="3123">
        <f t="shared" si="106"/>
        <v>0</v>
      </c>
      <c r="BI192" s="3123">
        <f t="shared" si="107"/>
        <v>0</v>
      </c>
      <c r="BJ192" s="3123">
        <f t="shared" si="108"/>
        <v>0</v>
      </c>
      <c r="BK192" s="3123">
        <f t="shared" si="109"/>
        <v>0</v>
      </c>
      <c r="BL192" s="3123">
        <f t="shared" si="110"/>
        <v>0</v>
      </c>
      <c r="BM192" s="3123">
        <f t="shared" si="111"/>
        <v>0</v>
      </c>
      <c r="BN192" s="3123">
        <f t="shared" si="112"/>
        <v>0</v>
      </c>
      <c r="BO192" s="3123">
        <f t="shared" si="113"/>
        <v>0</v>
      </c>
      <c r="BP192" s="3123">
        <f t="shared" si="114"/>
        <v>0</v>
      </c>
      <c r="BQ192" s="3123">
        <f t="shared" si="115"/>
        <v>0</v>
      </c>
      <c r="BR192" s="3123">
        <f t="shared" si="116"/>
        <v>0</v>
      </c>
      <c r="BS192" s="3123">
        <f t="shared" si="117"/>
        <v>0</v>
      </c>
      <c r="BT192" s="3175">
        <f t="shared" si="118"/>
        <v>0</v>
      </c>
    </row>
    <row r="193" spans="1:72">
      <c r="A193" s="3120"/>
      <c r="B193" s="3121"/>
      <c r="C193" s="3121"/>
      <c r="D193" s="3122"/>
      <c r="E193" s="3123">
        <f t="shared" si="119"/>
        <v>0</v>
      </c>
      <c r="F193" s="3124"/>
      <c r="G193" s="3125">
        <f t="shared" si="94"/>
        <v>0</v>
      </c>
      <c r="H193" s="3126">
        <f t="shared" si="95"/>
        <v>0</v>
      </c>
      <c r="I193" s="3133"/>
      <c r="J193" s="3133"/>
      <c r="K193" s="3133"/>
      <c r="L193" s="3133"/>
      <c r="M193" s="3133"/>
      <c r="N193" s="3133"/>
      <c r="O193" s="3133"/>
      <c r="P193" s="3133"/>
      <c r="Q193" s="3133"/>
      <c r="R193" s="3133"/>
      <c r="S193" s="3133"/>
      <c r="T193" s="3133"/>
      <c r="U193" s="3133"/>
      <c r="V193" s="3133"/>
      <c r="W193" s="3133"/>
      <c r="X193" s="3133"/>
      <c r="Y193" s="3133"/>
      <c r="Z193" s="3133"/>
      <c r="AA193" s="3133"/>
      <c r="AB193" s="3133"/>
      <c r="AC193" s="3123">
        <f t="shared" si="96"/>
        <v>0</v>
      </c>
      <c r="AD193" s="3143"/>
      <c r="AE193" s="3143"/>
      <c r="AF193" s="3143"/>
      <c r="AG193" s="3143"/>
      <c r="AH193" s="3143"/>
      <c r="AI193" s="3143"/>
      <c r="AJ193" s="3143"/>
      <c r="AK193" s="3143"/>
      <c r="AL193" s="3143"/>
      <c r="AM193" s="3143"/>
      <c r="AN193" s="3143"/>
      <c r="AO193" s="3143"/>
      <c r="AP193" s="3143"/>
      <c r="AQ193" s="3143"/>
      <c r="AR193" s="3143"/>
      <c r="AS193" s="3143"/>
      <c r="AT193" s="3153"/>
      <c r="AU193" s="3154"/>
      <c r="AV193" s="270">
        <f t="shared" si="120"/>
        <v>0</v>
      </c>
      <c r="AW193" s="270">
        <f t="shared" si="121"/>
        <v>0</v>
      </c>
      <c r="AX193" s="270">
        <f t="shared" si="122"/>
        <v>0</v>
      </c>
      <c r="AY193" s="3168">
        <f t="shared" si="97"/>
        <v>0</v>
      </c>
      <c r="AZ193" s="3123">
        <f t="shared" si="98"/>
        <v>0</v>
      </c>
      <c r="BA193" s="3123">
        <f t="shared" si="99"/>
        <v>0</v>
      </c>
      <c r="BB193" s="3123">
        <f t="shared" si="100"/>
        <v>0</v>
      </c>
      <c r="BC193" s="3123">
        <f t="shared" si="101"/>
        <v>0</v>
      </c>
      <c r="BD193" s="3123">
        <f t="shared" si="102"/>
        <v>0</v>
      </c>
      <c r="BE193" s="3123">
        <f t="shared" si="103"/>
        <v>0</v>
      </c>
      <c r="BF193" s="3123">
        <f t="shared" si="104"/>
        <v>0</v>
      </c>
      <c r="BG193" s="3123">
        <f t="shared" si="105"/>
        <v>0</v>
      </c>
      <c r="BH193" s="3123">
        <f t="shared" si="106"/>
        <v>0</v>
      </c>
      <c r="BI193" s="3123">
        <f t="shared" si="107"/>
        <v>0</v>
      </c>
      <c r="BJ193" s="3123">
        <f t="shared" si="108"/>
        <v>0</v>
      </c>
      <c r="BK193" s="3123">
        <f t="shared" si="109"/>
        <v>0</v>
      </c>
      <c r="BL193" s="3123">
        <f t="shared" si="110"/>
        <v>0</v>
      </c>
      <c r="BM193" s="3123">
        <f t="shared" si="111"/>
        <v>0</v>
      </c>
      <c r="BN193" s="3123">
        <f t="shared" si="112"/>
        <v>0</v>
      </c>
      <c r="BO193" s="3123">
        <f t="shared" si="113"/>
        <v>0</v>
      </c>
      <c r="BP193" s="3123">
        <f t="shared" si="114"/>
        <v>0</v>
      </c>
      <c r="BQ193" s="3123">
        <f t="shared" si="115"/>
        <v>0</v>
      </c>
      <c r="BR193" s="3123">
        <f t="shared" si="116"/>
        <v>0</v>
      </c>
      <c r="BS193" s="3123">
        <f t="shared" si="117"/>
        <v>0</v>
      </c>
      <c r="BT193" s="3175">
        <f t="shared" si="118"/>
        <v>0</v>
      </c>
    </row>
    <row r="194" spans="1:72">
      <c r="A194" s="3120"/>
      <c r="B194" s="3121"/>
      <c r="C194" s="3121"/>
      <c r="D194" s="3122"/>
      <c r="E194" s="3123">
        <f t="shared" si="119"/>
        <v>0</v>
      </c>
      <c r="F194" s="3124"/>
      <c r="G194" s="3125">
        <f t="shared" si="94"/>
        <v>0</v>
      </c>
      <c r="H194" s="3126">
        <f t="shared" si="95"/>
        <v>0</v>
      </c>
      <c r="I194" s="3133"/>
      <c r="J194" s="3133"/>
      <c r="K194" s="3133"/>
      <c r="L194" s="3133"/>
      <c r="M194" s="3133"/>
      <c r="N194" s="3133"/>
      <c r="O194" s="3133"/>
      <c r="P194" s="3133"/>
      <c r="Q194" s="3133"/>
      <c r="R194" s="3133"/>
      <c r="S194" s="3133"/>
      <c r="T194" s="3133"/>
      <c r="U194" s="3133"/>
      <c r="V194" s="3133"/>
      <c r="W194" s="3133"/>
      <c r="X194" s="3133"/>
      <c r="Y194" s="3133"/>
      <c r="Z194" s="3133"/>
      <c r="AA194" s="3133"/>
      <c r="AB194" s="3133"/>
      <c r="AC194" s="3123">
        <f t="shared" si="96"/>
        <v>0</v>
      </c>
      <c r="AD194" s="3143"/>
      <c r="AE194" s="3143"/>
      <c r="AF194" s="3143"/>
      <c r="AG194" s="3143"/>
      <c r="AH194" s="3143"/>
      <c r="AI194" s="3143"/>
      <c r="AJ194" s="3143"/>
      <c r="AK194" s="3143"/>
      <c r="AL194" s="3143"/>
      <c r="AM194" s="3143"/>
      <c r="AN194" s="3143"/>
      <c r="AO194" s="3143"/>
      <c r="AP194" s="3143"/>
      <c r="AQ194" s="3143"/>
      <c r="AR194" s="3143"/>
      <c r="AS194" s="3143"/>
      <c r="AT194" s="3153"/>
      <c r="AU194" s="3154"/>
      <c r="AV194" s="270">
        <f t="shared" si="120"/>
        <v>0</v>
      </c>
      <c r="AW194" s="270">
        <f t="shared" si="121"/>
        <v>0</v>
      </c>
      <c r="AX194" s="270">
        <f t="shared" si="122"/>
        <v>0</v>
      </c>
      <c r="AY194" s="3168">
        <f t="shared" si="97"/>
        <v>0</v>
      </c>
      <c r="AZ194" s="3123">
        <f t="shared" si="98"/>
        <v>0</v>
      </c>
      <c r="BA194" s="3123">
        <f t="shared" si="99"/>
        <v>0</v>
      </c>
      <c r="BB194" s="3123">
        <f t="shared" si="100"/>
        <v>0</v>
      </c>
      <c r="BC194" s="3123">
        <f t="shared" si="101"/>
        <v>0</v>
      </c>
      <c r="BD194" s="3123">
        <f t="shared" si="102"/>
        <v>0</v>
      </c>
      <c r="BE194" s="3123">
        <f t="shared" si="103"/>
        <v>0</v>
      </c>
      <c r="BF194" s="3123">
        <f t="shared" si="104"/>
        <v>0</v>
      </c>
      <c r="BG194" s="3123">
        <f t="shared" si="105"/>
        <v>0</v>
      </c>
      <c r="BH194" s="3123">
        <f t="shared" si="106"/>
        <v>0</v>
      </c>
      <c r="BI194" s="3123">
        <f t="shared" si="107"/>
        <v>0</v>
      </c>
      <c r="BJ194" s="3123">
        <f t="shared" si="108"/>
        <v>0</v>
      </c>
      <c r="BK194" s="3123">
        <f t="shared" si="109"/>
        <v>0</v>
      </c>
      <c r="BL194" s="3123">
        <f t="shared" si="110"/>
        <v>0</v>
      </c>
      <c r="BM194" s="3123">
        <f t="shared" si="111"/>
        <v>0</v>
      </c>
      <c r="BN194" s="3123">
        <f t="shared" si="112"/>
        <v>0</v>
      </c>
      <c r="BO194" s="3123">
        <f t="shared" si="113"/>
        <v>0</v>
      </c>
      <c r="BP194" s="3123">
        <f t="shared" si="114"/>
        <v>0</v>
      </c>
      <c r="BQ194" s="3123">
        <f t="shared" si="115"/>
        <v>0</v>
      </c>
      <c r="BR194" s="3123">
        <f t="shared" si="116"/>
        <v>0</v>
      </c>
      <c r="BS194" s="3123">
        <f t="shared" si="117"/>
        <v>0</v>
      </c>
      <c r="BT194" s="3175">
        <f t="shared" si="118"/>
        <v>0</v>
      </c>
    </row>
    <row r="195" spans="1:72">
      <c r="A195" s="3120"/>
      <c r="B195" s="3121"/>
      <c r="C195" s="3121"/>
      <c r="D195" s="3122"/>
      <c r="E195" s="3123">
        <f t="shared" si="119"/>
        <v>0</v>
      </c>
      <c r="F195" s="3124"/>
      <c r="G195" s="3125">
        <f t="shared" si="94"/>
        <v>0</v>
      </c>
      <c r="H195" s="3126">
        <f t="shared" si="95"/>
        <v>0</v>
      </c>
      <c r="I195" s="3133"/>
      <c r="J195" s="3133"/>
      <c r="K195" s="3133"/>
      <c r="L195" s="3133"/>
      <c r="M195" s="3133"/>
      <c r="N195" s="3133"/>
      <c r="O195" s="3133"/>
      <c r="P195" s="3133"/>
      <c r="Q195" s="3133"/>
      <c r="R195" s="3133"/>
      <c r="S195" s="3133"/>
      <c r="T195" s="3133"/>
      <c r="U195" s="3133"/>
      <c r="V195" s="3133"/>
      <c r="W195" s="3133"/>
      <c r="X195" s="3133"/>
      <c r="Y195" s="3133"/>
      <c r="Z195" s="3133"/>
      <c r="AA195" s="3133"/>
      <c r="AB195" s="3133"/>
      <c r="AC195" s="3123">
        <f t="shared" si="96"/>
        <v>0</v>
      </c>
      <c r="AD195" s="3143"/>
      <c r="AE195" s="3143"/>
      <c r="AF195" s="3143"/>
      <c r="AG195" s="3143"/>
      <c r="AH195" s="3143"/>
      <c r="AI195" s="3143"/>
      <c r="AJ195" s="3143"/>
      <c r="AK195" s="3143"/>
      <c r="AL195" s="3143"/>
      <c r="AM195" s="3143"/>
      <c r="AN195" s="3143"/>
      <c r="AO195" s="3143"/>
      <c r="AP195" s="3143"/>
      <c r="AQ195" s="3143"/>
      <c r="AR195" s="3143"/>
      <c r="AS195" s="3143"/>
      <c r="AT195" s="3153"/>
      <c r="AU195" s="3154"/>
      <c r="AV195" s="270">
        <f t="shared" si="120"/>
        <v>0</v>
      </c>
      <c r="AW195" s="270">
        <f t="shared" si="121"/>
        <v>0</v>
      </c>
      <c r="AX195" s="270">
        <f t="shared" si="122"/>
        <v>0</v>
      </c>
      <c r="AY195" s="3168">
        <f t="shared" si="97"/>
        <v>0</v>
      </c>
      <c r="AZ195" s="3123">
        <f t="shared" si="98"/>
        <v>0</v>
      </c>
      <c r="BA195" s="3123">
        <f t="shared" si="99"/>
        <v>0</v>
      </c>
      <c r="BB195" s="3123">
        <f t="shared" si="100"/>
        <v>0</v>
      </c>
      <c r="BC195" s="3123">
        <f t="shared" si="101"/>
        <v>0</v>
      </c>
      <c r="BD195" s="3123">
        <f t="shared" si="102"/>
        <v>0</v>
      </c>
      <c r="BE195" s="3123">
        <f t="shared" si="103"/>
        <v>0</v>
      </c>
      <c r="BF195" s="3123">
        <f t="shared" si="104"/>
        <v>0</v>
      </c>
      <c r="BG195" s="3123">
        <f t="shared" si="105"/>
        <v>0</v>
      </c>
      <c r="BH195" s="3123">
        <f t="shared" si="106"/>
        <v>0</v>
      </c>
      <c r="BI195" s="3123">
        <f t="shared" si="107"/>
        <v>0</v>
      </c>
      <c r="BJ195" s="3123">
        <f t="shared" si="108"/>
        <v>0</v>
      </c>
      <c r="BK195" s="3123">
        <f t="shared" si="109"/>
        <v>0</v>
      </c>
      <c r="BL195" s="3123">
        <f t="shared" si="110"/>
        <v>0</v>
      </c>
      <c r="BM195" s="3123">
        <f t="shared" si="111"/>
        <v>0</v>
      </c>
      <c r="BN195" s="3123">
        <f t="shared" si="112"/>
        <v>0</v>
      </c>
      <c r="BO195" s="3123">
        <f t="shared" si="113"/>
        <v>0</v>
      </c>
      <c r="BP195" s="3123">
        <f t="shared" si="114"/>
        <v>0</v>
      </c>
      <c r="BQ195" s="3123">
        <f t="shared" si="115"/>
        <v>0</v>
      </c>
      <c r="BR195" s="3123">
        <f t="shared" si="116"/>
        <v>0</v>
      </c>
      <c r="BS195" s="3123">
        <f t="shared" si="117"/>
        <v>0</v>
      </c>
      <c r="BT195" s="3175">
        <f t="shared" si="118"/>
        <v>0</v>
      </c>
    </row>
    <row r="196" spans="1:72">
      <c r="A196" s="3120"/>
      <c r="B196" s="3121"/>
      <c r="C196" s="3121"/>
      <c r="D196" s="3122"/>
      <c r="E196" s="3123">
        <f t="shared" si="119"/>
        <v>0</v>
      </c>
      <c r="F196" s="3124"/>
      <c r="G196" s="3125">
        <f t="shared" si="94"/>
        <v>0</v>
      </c>
      <c r="H196" s="3126">
        <f t="shared" si="95"/>
        <v>0</v>
      </c>
      <c r="I196" s="3133"/>
      <c r="J196" s="3133"/>
      <c r="K196" s="3133"/>
      <c r="L196" s="3133"/>
      <c r="M196" s="3133"/>
      <c r="N196" s="3133"/>
      <c r="O196" s="3133"/>
      <c r="P196" s="3133"/>
      <c r="Q196" s="3133"/>
      <c r="R196" s="3133"/>
      <c r="S196" s="3133"/>
      <c r="T196" s="3133"/>
      <c r="U196" s="3133"/>
      <c r="V196" s="3133"/>
      <c r="W196" s="3133"/>
      <c r="X196" s="3133"/>
      <c r="Y196" s="3133"/>
      <c r="Z196" s="3133"/>
      <c r="AA196" s="3133"/>
      <c r="AB196" s="3133"/>
      <c r="AC196" s="3123">
        <f t="shared" si="96"/>
        <v>0</v>
      </c>
      <c r="AD196" s="3143"/>
      <c r="AE196" s="3143"/>
      <c r="AF196" s="3143"/>
      <c r="AG196" s="3143"/>
      <c r="AH196" s="3143"/>
      <c r="AI196" s="3143"/>
      <c r="AJ196" s="3143"/>
      <c r="AK196" s="3143"/>
      <c r="AL196" s="3143"/>
      <c r="AM196" s="3143"/>
      <c r="AN196" s="3143"/>
      <c r="AO196" s="3143"/>
      <c r="AP196" s="3143"/>
      <c r="AQ196" s="3143"/>
      <c r="AR196" s="3143"/>
      <c r="AS196" s="3143"/>
      <c r="AT196" s="3153"/>
      <c r="AU196" s="3154"/>
      <c r="AV196" s="270">
        <f t="shared" si="120"/>
        <v>0</v>
      </c>
      <c r="AW196" s="270">
        <f t="shared" si="121"/>
        <v>0</v>
      </c>
      <c r="AX196" s="270">
        <f t="shared" si="122"/>
        <v>0</v>
      </c>
      <c r="AY196" s="3168">
        <f t="shared" si="97"/>
        <v>0</v>
      </c>
      <c r="AZ196" s="3123">
        <f t="shared" si="98"/>
        <v>0</v>
      </c>
      <c r="BA196" s="3123">
        <f t="shared" si="99"/>
        <v>0</v>
      </c>
      <c r="BB196" s="3123">
        <f t="shared" si="100"/>
        <v>0</v>
      </c>
      <c r="BC196" s="3123">
        <f t="shared" si="101"/>
        <v>0</v>
      </c>
      <c r="BD196" s="3123">
        <f t="shared" si="102"/>
        <v>0</v>
      </c>
      <c r="BE196" s="3123">
        <f t="shared" si="103"/>
        <v>0</v>
      </c>
      <c r="BF196" s="3123">
        <f t="shared" si="104"/>
        <v>0</v>
      </c>
      <c r="BG196" s="3123">
        <f t="shared" si="105"/>
        <v>0</v>
      </c>
      <c r="BH196" s="3123">
        <f t="shared" si="106"/>
        <v>0</v>
      </c>
      <c r="BI196" s="3123">
        <f t="shared" si="107"/>
        <v>0</v>
      </c>
      <c r="BJ196" s="3123">
        <f t="shared" si="108"/>
        <v>0</v>
      </c>
      <c r="BK196" s="3123">
        <f t="shared" si="109"/>
        <v>0</v>
      </c>
      <c r="BL196" s="3123">
        <f t="shared" si="110"/>
        <v>0</v>
      </c>
      <c r="BM196" s="3123">
        <f t="shared" si="111"/>
        <v>0</v>
      </c>
      <c r="BN196" s="3123">
        <f t="shared" si="112"/>
        <v>0</v>
      </c>
      <c r="BO196" s="3123">
        <f t="shared" si="113"/>
        <v>0</v>
      </c>
      <c r="BP196" s="3123">
        <f t="shared" si="114"/>
        <v>0</v>
      </c>
      <c r="BQ196" s="3123">
        <f t="shared" si="115"/>
        <v>0</v>
      </c>
      <c r="BR196" s="3123">
        <f t="shared" si="116"/>
        <v>0</v>
      </c>
      <c r="BS196" s="3123">
        <f t="shared" si="117"/>
        <v>0</v>
      </c>
      <c r="BT196" s="3175">
        <f t="shared" si="118"/>
        <v>0</v>
      </c>
    </row>
    <row r="197" spans="1:72">
      <c r="A197" s="3120"/>
      <c r="B197" s="3121"/>
      <c r="C197" s="3121"/>
      <c r="D197" s="3122"/>
      <c r="E197" s="3123">
        <f t="shared" si="119"/>
        <v>0</v>
      </c>
      <c r="F197" s="3124"/>
      <c r="G197" s="3125">
        <f t="shared" si="94"/>
        <v>0</v>
      </c>
      <c r="H197" s="3126">
        <f t="shared" si="95"/>
        <v>0</v>
      </c>
      <c r="I197" s="3133"/>
      <c r="J197" s="3133"/>
      <c r="K197" s="3133"/>
      <c r="L197" s="3133"/>
      <c r="M197" s="3133"/>
      <c r="N197" s="3133"/>
      <c r="O197" s="3133"/>
      <c r="P197" s="3133"/>
      <c r="Q197" s="3133"/>
      <c r="R197" s="3133"/>
      <c r="S197" s="3133"/>
      <c r="T197" s="3133"/>
      <c r="U197" s="3133"/>
      <c r="V197" s="3133"/>
      <c r="W197" s="3133"/>
      <c r="X197" s="3133"/>
      <c r="Y197" s="3133"/>
      <c r="Z197" s="3133"/>
      <c r="AA197" s="3133"/>
      <c r="AB197" s="3133"/>
      <c r="AC197" s="3123">
        <f t="shared" si="96"/>
        <v>0</v>
      </c>
      <c r="AD197" s="3143"/>
      <c r="AE197" s="3143"/>
      <c r="AF197" s="3143"/>
      <c r="AG197" s="3143"/>
      <c r="AH197" s="3143"/>
      <c r="AI197" s="3143"/>
      <c r="AJ197" s="3143"/>
      <c r="AK197" s="3143"/>
      <c r="AL197" s="3143"/>
      <c r="AM197" s="3143"/>
      <c r="AN197" s="3143"/>
      <c r="AO197" s="3143"/>
      <c r="AP197" s="3143"/>
      <c r="AQ197" s="3143"/>
      <c r="AR197" s="3143"/>
      <c r="AS197" s="3143"/>
      <c r="AT197" s="3153"/>
      <c r="AU197" s="3154"/>
      <c r="AV197" s="270">
        <f t="shared" si="120"/>
        <v>0</v>
      </c>
      <c r="AW197" s="270">
        <f t="shared" si="121"/>
        <v>0</v>
      </c>
      <c r="AX197" s="270">
        <f t="shared" si="122"/>
        <v>0</v>
      </c>
      <c r="AY197" s="3168">
        <f t="shared" si="97"/>
        <v>0</v>
      </c>
      <c r="AZ197" s="3123">
        <f t="shared" si="98"/>
        <v>0</v>
      </c>
      <c r="BA197" s="3123">
        <f t="shared" si="99"/>
        <v>0</v>
      </c>
      <c r="BB197" s="3123">
        <f t="shared" si="100"/>
        <v>0</v>
      </c>
      <c r="BC197" s="3123">
        <f t="shared" si="101"/>
        <v>0</v>
      </c>
      <c r="BD197" s="3123">
        <f t="shared" si="102"/>
        <v>0</v>
      </c>
      <c r="BE197" s="3123">
        <f t="shared" si="103"/>
        <v>0</v>
      </c>
      <c r="BF197" s="3123">
        <f t="shared" si="104"/>
        <v>0</v>
      </c>
      <c r="BG197" s="3123">
        <f t="shared" si="105"/>
        <v>0</v>
      </c>
      <c r="BH197" s="3123">
        <f t="shared" si="106"/>
        <v>0</v>
      </c>
      <c r="BI197" s="3123">
        <f t="shared" si="107"/>
        <v>0</v>
      </c>
      <c r="BJ197" s="3123">
        <f t="shared" si="108"/>
        <v>0</v>
      </c>
      <c r="BK197" s="3123">
        <f t="shared" si="109"/>
        <v>0</v>
      </c>
      <c r="BL197" s="3123">
        <f t="shared" si="110"/>
        <v>0</v>
      </c>
      <c r="BM197" s="3123">
        <f t="shared" si="111"/>
        <v>0</v>
      </c>
      <c r="BN197" s="3123">
        <f t="shared" si="112"/>
        <v>0</v>
      </c>
      <c r="BO197" s="3123">
        <f t="shared" si="113"/>
        <v>0</v>
      </c>
      <c r="BP197" s="3123">
        <f t="shared" si="114"/>
        <v>0</v>
      </c>
      <c r="BQ197" s="3123">
        <f t="shared" si="115"/>
        <v>0</v>
      </c>
      <c r="BR197" s="3123">
        <f t="shared" si="116"/>
        <v>0</v>
      </c>
      <c r="BS197" s="3123">
        <f t="shared" si="117"/>
        <v>0</v>
      </c>
      <c r="BT197" s="3175">
        <f t="shared" si="118"/>
        <v>0</v>
      </c>
    </row>
    <row r="198" spans="1:72">
      <c r="A198" s="3120"/>
      <c r="B198" s="3121"/>
      <c r="C198" s="3121"/>
      <c r="D198" s="3122"/>
      <c r="E198" s="3123">
        <f t="shared" si="119"/>
        <v>0</v>
      </c>
      <c r="F198" s="3124"/>
      <c r="G198" s="3125">
        <f t="shared" si="94"/>
        <v>0</v>
      </c>
      <c r="H198" s="3126">
        <f t="shared" si="95"/>
        <v>0</v>
      </c>
      <c r="I198" s="3133"/>
      <c r="J198" s="3133"/>
      <c r="K198" s="3133"/>
      <c r="L198" s="3133"/>
      <c r="M198" s="3133"/>
      <c r="N198" s="3133"/>
      <c r="O198" s="3133"/>
      <c r="P198" s="3133"/>
      <c r="Q198" s="3133"/>
      <c r="R198" s="3133"/>
      <c r="S198" s="3133"/>
      <c r="T198" s="3133"/>
      <c r="U198" s="3133"/>
      <c r="V198" s="3133"/>
      <c r="W198" s="3133"/>
      <c r="X198" s="3133"/>
      <c r="Y198" s="3133"/>
      <c r="Z198" s="3133"/>
      <c r="AA198" s="3133"/>
      <c r="AB198" s="3133"/>
      <c r="AC198" s="3123">
        <f t="shared" si="96"/>
        <v>0</v>
      </c>
      <c r="AD198" s="3143"/>
      <c r="AE198" s="3143"/>
      <c r="AF198" s="3143"/>
      <c r="AG198" s="3143"/>
      <c r="AH198" s="3143"/>
      <c r="AI198" s="3143"/>
      <c r="AJ198" s="3143"/>
      <c r="AK198" s="3143"/>
      <c r="AL198" s="3143"/>
      <c r="AM198" s="3143"/>
      <c r="AN198" s="3143"/>
      <c r="AO198" s="3143"/>
      <c r="AP198" s="3143"/>
      <c r="AQ198" s="3143"/>
      <c r="AR198" s="3143"/>
      <c r="AS198" s="3143"/>
      <c r="AT198" s="3153"/>
      <c r="AU198" s="3154"/>
      <c r="AV198" s="270">
        <f t="shared" si="120"/>
        <v>0</v>
      </c>
      <c r="AW198" s="270">
        <f t="shared" si="121"/>
        <v>0</v>
      </c>
      <c r="AX198" s="270">
        <f t="shared" si="122"/>
        <v>0</v>
      </c>
      <c r="AY198" s="3168">
        <f t="shared" si="97"/>
        <v>0</v>
      </c>
      <c r="AZ198" s="3123">
        <f t="shared" si="98"/>
        <v>0</v>
      </c>
      <c r="BA198" s="3123">
        <f t="shared" si="99"/>
        <v>0</v>
      </c>
      <c r="BB198" s="3123">
        <f t="shared" si="100"/>
        <v>0</v>
      </c>
      <c r="BC198" s="3123">
        <f t="shared" si="101"/>
        <v>0</v>
      </c>
      <c r="BD198" s="3123">
        <f t="shared" si="102"/>
        <v>0</v>
      </c>
      <c r="BE198" s="3123">
        <f t="shared" si="103"/>
        <v>0</v>
      </c>
      <c r="BF198" s="3123">
        <f t="shared" si="104"/>
        <v>0</v>
      </c>
      <c r="BG198" s="3123">
        <f t="shared" si="105"/>
        <v>0</v>
      </c>
      <c r="BH198" s="3123">
        <f t="shared" si="106"/>
        <v>0</v>
      </c>
      <c r="BI198" s="3123">
        <f t="shared" si="107"/>
        <v>0</v>
      </c>
      <c r="BJ198" s="3123">
        <f t="shared" si="108"/>
        <v>0</v>
      </c>
      <c r="BK198" s="3123">
        <f t="shared" si="109"/>
        <v>0</v>
      </c>
      <c r="BL198" s="3123">
        <f t="shared" si="110"/>
        <v>0</v>
      </c>
      <c r="BM198" s="3123">
        <f t="shared" si="111"/>
        <v>0</v>
      </c>
      <c r="BN198" s="3123">
        <f t="shared" si="112"/>
        <v>0</v>
      </c>
      <c r="BO198" s="3123">
        <f t="shared" si="113"/>
        <v>0</v>
      </c>
      <c r="BP198" s="3123">
        <f t="shared" si="114"/>
        <v>0</v>
      </c>
      <c r="BQ198" s="3123">
        <f t="shared" si="115"/>
        <v>0</v>
      </c>
      <c r="BR198" s="3123">
        <f t="shared" si="116"/>
        <v>0</v>
      </c>
      <c r="BS198" s="3123">
        <f t="shared" si="117"/>
        <v>0</v>
      </c>
      <c r="BT198" s="3175">
        <f t="shared" si="118"/>
        <v>0</v>
      </c>
    </row>
    <row r="199" spans="1:72">
      <c r="A199" s="3120"/>
      <c r="B199" s="3121"/>
      <c r="C199" s="3121"/>
      <c r="D199" s="3122"/>
      <c r="E199" s="3123">
        <f t="shared" si="119"/>
        <v>0</v>
      </c>
      <c r="F199" s="3124"/>
      <c r="G199" s="3125">
        <f t="shared" si="94"/>
        <v>0</v>
      </c>
      <c r="H199" s="3126">
        <f t="shared" si="95"/>
        <v>0</v>
      </c>
      <c r="I199" s="3133"/>
      <c r="J199" s="3133"/>
      <c r="K199" s="3133"/>
      <c r="L199" s="3133"/>
      <c r="M199" s="3133"/>
      <c r="N199" s="3133"/>
      <c r="O199" s="3133"/>
      <c r="P199" s="3133"/>
      <c r="Q199" s="3133"/>
      <c r="R199" s="3133"/>
      <c r="S199" s="3133"/>
      <c r="T199" s="3133"/>
      <c r="U199" s="3133"/>
      <c r="V199" s="3133"/>
      <c r="W199" s="3133"/>
      <c r="X199" s="3133"/>
      <c r="Y199" s="3133"/>
      <c r="Z199" s="3133"/>
      <c r="AA199" s="3133"/>
      <c r="AB199" s="3133"/>
      <c r="AC199" s="3123">
        <f t="shared" si="96"/>
        <v>0</v>
      </c>
      <c r="AD199" s="3143"/>
      <c r="AE199" s="3143"/>
      <c r="AF199" s="3143"/>
      <c r="AG199" s="3143"/>
      <c r="AH199" s="3143"/>
      <c r="AI199" s="3143"/>
      <c r="AJ199" s="3143"/>
      <c r="AK199" s="3143"/>
      <c r="AL199" s="3143"/>
      <c r="AM199" s="3143"/>
      <c r="AN199" s="3143"/>
      <c r="AO199" s="3143"/>
      <c r="AP199" s="3143"/>
      <c r="AQ199" s="3143"/>
      <c r="AR199" s="3143"/>
      <c r="AS199" s="3143"/>
      <c r="AT199" s="3153"/>
      <c r="AU199" s="3154"/>
      <c r="AV199" s="270">
        <f t="shared" si="120"/>
        <v>0</v>
      </c>
      <c r="AW199" s="270">
        <f t="shared" si="121"/>
        <v>0</v>
      </c>
      <c r="AX199" s="270">
        <f t="shared" si="122"/>
        <v>0</v>
      </c>
      <c r="AY199" s="3168">
        <f t="shared" si="97"/>
        <v>0</v>
      </c>
      <c r="AZ199" s="3123">
        <f t="shared" si="98"/>
        <v>0</v>
      </c>
      <c r="BA199" s="3123">
        <f t="shared" si="99"/>
        <v>0</v>
      </c>
      <c r="BB199" s="3123">
        <f t="shared" si="100"/>
        <v>0</v>
      </c>
      <c r="BC199" s="3123">
        <f t="shared" si="101"/>
        <v>0</v>
      </c>
      <c r="BD199" s="3123">
        <f t="shared" si="102"/>
        <v>0</v>
      </c>
      <c r="BE199" s="3123">
        <f t="shared" si="103"/>
        <v>0</v>
      </c>
      <c r="BF199" s="3123">
        <f t="shared" si="104"/>
        <v>0</v>
      </c>
      <c r="BG199" s="3123">
        <f t="shared" si="105"/>
        <v>0</v>
      </c>
      <c r="BH199" s="3123">
        <f t="shared" si="106"/>
        <v>0</v>
      </c>
      <c r="BI199" s="3123">
        <f t="shared" si="107"/>
        <v>0</v>
      </c>
      <c r="BJ199" s="3123">
        <f t="shared" si="108"/>
        <v>0</v>
      </c>
      <c r="BK199" s="3123">
        <f t="shared" si="109"/>
        <v>0</v>
      </c>
      <c r="BL199" s="3123">
        <f t="shared" si="110"/>
        <v>0</v>
      </c>
      <c r="BM199" s="3123">
        <f t="shared" si="111"/>
        <v>0</v>
      </c>
      <c r="BN199" s="3123">
        <f t="shared" si="112"/>
        <v>0</v>
      </c>
      <c r="BO199" s="3123">
        <f t="shared" si="113"/>
        <v>0</v>
      </c>
      <c r="BP199" s="3123">
        <f t="shared" si="114"/>
        <v>0</v>
      </c>
      <c r="BQ199" s="3123">
        <f t="shared" si="115"/>
        <v>0</v>
      </c>
      <c r="BR199" s="3123">
        <f t="shared" si="116"/>
        <v>0</v>
      </c>
      <c r="BS199" s="3123">
        <f t="shared" si="117"/>
        <v>0</v>
      </c>
      <c r="BT199" s="3175">
        <f t="shared" si="118"/>
        <v>0</v>
      </c>
    </row>
    <row r="200" spans="1:72">
      <c r="A200" s="3120"/>
      <c r="B200" s="3121"/>
      <c r="C200" s="3121"/>
      <c r="D200" s="3122"/>
      <c r="E200" s="3123">
        <f t="shared" si="119"/>
        <v>0</v>
      </c>
      <c r="F200" s="3124"/>
      <c r="G200" s="3125">
        <f t="shared" si="94"/>
        <v>0</v>
      </c>
      <c r="H200" s="3126">
        <f t="shared" si="95"/>
        <v>0</v>
      </c>
      <c r="I200" s="3133"/>
      <c r="J200" s="3133"/>
      <c r="K200" s="3133"/>
      <c r="L200" s="3133"/>
      <c r="M200" s="3133"/>
      <c r="N200" s="3133"/>
      <c r="O200" s="3133"/>
      <c r="P200" s="3133"/>
      <c r="Q200" s="3133"/>
      <c r="R200" s="3133"/>
      <c r="S200" s="3133"/>
      <c r="T200" s="3133"/>
      <c r="U200" s="3133"/>
      <c r="V200" s="3133"/>
      <c r="W200" s="3133"/>
      <c r="X200" s="3133"/>
      <c r="Y200" s="3133"/>
      <c r="Z200" s="3133"/>
      <c r="AA200" s="3133"/>
      <c r="AB200" s="3133"/>
      <c r="AC200" s="3123">
        <f t="shared" si="96"/>
        <v>0</v>
      </c>
      <c r="AD200" s="3143"/>
      <c r="AE200" s="3143"/>
      <c r="AF200" s="3143"/>
      <c r="AG200" s="3143"/>
      <c r="AH200" s="3143"/>
      <c r="AI200" s="3143"/>
      <c r="AJ200" s="3143"/>
      <c r="AK200" s="3143"/>
      <c r="AL200" s="3143"/>
      <c r="AM200" s="3143"/>
      <c r="AN200" s="3143"/>
      <c r="AO200" s="3143"/>
      <c r="AP200" s="3143"/>
      <c r="AQ200" s="3143"/>
      <c r="AR200" s="3143"/>
      <c r="AS200" s="3143"/>
      <c r="AT200" s="3153"/>
      <c r="AU200" s="3154"/>
      <c r="AV200" s="270">
        <f t="shared" si="120"/>
        <v>0</v>
      </c>
      <c r="AW200" s="270">
        <f t="shared" si="121"/>
        <v>0</v>
      </c>
      <c r="AX200" s="270">
        <f t="shared" si="122"/>
        <v>0</v>
      </c>
      <c r="AY200" s="3168">
        <f t="shared" si="97"/>
        <v>0</v>
      </c>
      <c r="AZ200" s="3123">
        <f t="shared" si="98"/>
        <v>0</v>
      </c>
      <c r="BA200" s="3123">
        <f t="shared" si="99"/>
        <v>0</v>
      </c>
      <c r="BB200" s="3123">
        <f t="shared" si="100"/>
        <v>0</v>
      </c>
      <c r="BC200" s="3123">
        <f t="shared" si="101"/>
        <v>0</v>
      </c>
      <c r="BD200" s="3123">
        <f t="shared" si="102"/>
        <v>0</v>
      </c>
      <c r="BE200" s="3123">
        <f t="shared" si="103"/>
        <v>0</v>
      </c>
      <c r="BF200" s="3123">
        <f t="shared" si="104"/>
        <v>0</v>
      </c>
      <c r="BG200" s="3123">
        <f t="shared" si="105"/>
        <v>0</v>
      </c>
      <c r="BH200" s="3123">
        <f t="shared" si="106"/>
        <v>0</v>
      </c>
      <c r="BI200" s="3123">
        <f t="shared" si="107"/>
        <v>0</v>
      </c>
      <c r="BJ200" s="3123">
        <f t="shared" si="108"/>
        <v>0</v>
      </c>
      <c r="BK200" s="3123">
        <f t="shared" si="109"/>
        <v>0</v>
      </c>
      <c r="BL200" s="3123">
        <f t="shared" si="110"/>
        <v>0</v>
      </c>
      <c r="BM200" s="3123">
        <f t="shared" si="111"/>
        <v>0</v>
      </c>
      <c r="BN200" s="3123">
        <f t="shared" si="112"/>
        <v>0</v>
      </c>
      <c r="BO200" s="3123">
        <f t="shared" si="113"/>
        <v>0</v>
      </c>
      <c r="BP200" s="3123">
        <f t="shared" si="114"/>
        <v>0</v>
      </c>
      <c r="BQ200" s="3123">
        <f t="shared" si="115"/>
        <v>0</v>
      </c>
      <c r="BR200" s="3123">
        <f t="shared" si="116"/>
        <v>0</v>
      </c>
      <c r="BS200" s="3123">
        <f t="shared" si="117"/>
        <v>0</v>
      </c>
      <c r="BT200" s="3175">
        <f t="shared" si="118"/>
        <v>0</v>
      </c>
    </row>
    <row r="201" spans="1:72">
      <c r="A201" s="3120"/>
      <c r="B201" s="3121"/>
      <c r="C201" s="3121"/>
      <c r="D201" s="3122"/>
      <c r="E201" s="3123">
        <f t="shared" si="119"/>
        <v>0</v>
      </c>
      <c r="F201" s="3124"/>
      <c r="G201" s="3125">
        <f t="shared" si="94"/>
        <v>0</v>
      </c>
      <c r="H201" s="3126">
        <f t="shared" si="95"/>
        <v>0</v>
      </c>
      <c r="I201" s="3133"/>
      <c r="J201" s="3133"/>
      <c r="K201" s="3133"/>
      <c r="L201" s="3133"/>
      <c r="M201" s="3133"/>
      <c r="N201" s="3133"/>
      <c r="O201" s="3133"/>
      <c r="P201" s="3133"/>
      <c r="Q201" s="3133"/>
      <c r="R201" s="3133"/>
      <c r="S201" s="3133"/>
      <c r="T201" s="3133"/>
      <c r="U201" s="3133"/>
      <c r="V201" s="3133"/>
      <c r="W201" s="3133"/>
      <c r="X201" s="3133"/>
      <c r="Y201" s="3133"/>
      <c r="Z201" s="3133"/>
      <c r="AA201" s="3133"/>
      <c r="AB201" s="3133"/>
      <c r="AC201" s="3123">
        <f t="shared" si="96"/>
        <v>0</v>
      </c>
      <c r="AD201" s="3143"/>
      <c r="AE201" s="3143"/>
      <c r="AF201" s="3143"/>
      <c r="AG201" s="3143"/>
      <c r="AH201" s="3143"/>
      <c r="AI201" s="3143"/>
      <c r="AJ201" s="3143"/>
      <c r="AK201" s="3143"/>
      <c r="AL201" s="3143"/>
      <c r="AM201" s="3143"/>
      <c r="AN201" s="3143"/>
      <c r="AO201" s="3143"/>
      <c r="AP201" s="3143"/>
      <c r="AQ201" s="3143"/>
      <c r="AR201" s="3143"/>
      <c r="AS201" s="3143"/>
      <c r="AT201" s="3153"/>
      <c r="AU201" s="3154"/>
      <c r="AV201" s="270">
        <f t="shared" si="120"/>
        <v>0</v>
      </c>
      <c r="AW201" s="270">
        <f t="shared" si="121"/>
        <v>0</v>
      </c>
      <c r="AX201" s="270">
        <f t="shared" si="122"/>
        <v>0</v>
      </c>
      <c r="AY201" s="3168">
        <f t="shared" si="97"/>
        <v>0</v>
      </c>
      <c r="AZ201" s="3123">
        <f t="shared" si="98"/>
        <v>0</v>
      </c>
      <c r="BA201" s="3123">
        <f t="shared" si="99"/>
        <v>0</v>
      </c>
      <c r="BB201" s="3123">
        <f t="shared" si="100"/>
        <v>0</v>
      </c>
      <c r="BC201" s="3123">
        <f t="shared" si="101"/>
        <v>0</v>
      </c>
      <c r="BD201" s="3123">
        <f t="shared" si="102"/>
        <v>0</v>
      </c>
      <c r="BE201" s="3123">
        <f t="shared" si="103"/>
        <v>0</v>
      </c>
      <c r="BF201" s="3123">
        <f t="shared" si="104"/>
        <v>0</v>
      </c>
      <c r="BG201" s="3123">
        <f t="shared" si="105"/>
        <v>0</v>
      </c>
      <c r="BH201" s="3123">
        <f t="shared" si="106"/>
        <v>0</v>
      </c>
      <c r="BI201" s="3123">
        <f t="shared" si="107"/>
        <v>0</v>
      </c>
      <c r="BJ201" s="3123">
        <f t="shared" si="108"/>
        <v>0</v>
      </c>
      <c r="BK201" s="3123">
        <f t="shared" si="109"/>
        <v>0</v>
      </c>
      <c r="BL201" s="3123">
        <f t="shared" si="110"/>
        <v>0</v>
      </c>
      <c r="BM201" s="3123">
        <f t="shared" si="111"/>
        <v>0</v>
      </c>
      <c r="BN201" s="3123">
        <f t="shared" si="112"/>
        <v>0</v>
      </c>
      <c r="BO201" s="3123">
        <f t="shared" si="113"/>
        <v>0</v>
      </c>
      <c r="BP201" s="3123">
        <f t="shared" si="114"/>
        <v>0</v>
      </c>
      <c r="BQ201" s="3123">
        <f t="shared" si="115"/>
        <v>0</v>
      </c>
      <c r="BR201" s="3123">
        <f t="shared" si="116"/>
        <v>0</v>
      </c>
      <c r="BS201" s="3123">
        <f t="shared" si="117"/>
        <v>0</v>
      </c>
      <c r="BT201" s="3175">
        <f t="shared" si="118"/>
        <v>0</v>
      </c>
    </row>
    <row r="202" spans="1:72">
      <c r="A202" s="3120"/>
      <c r="B202" s="3121"/>
      <c r="C202" s="3121"/>
      <c r="D202" s="3122"/>
      <c r="E202" s="3123">
        <f t="shared" si="119"/>
        <v>0</v>
      </c>
      <c r="F202" s="3124"/>
      <c r="G202" s="3125">
        <f t="shared" si="94"/>
        <v>0</v>
      </c>
      <c r="H202" s="3126">
        <f t="shared" si="95"/>
        <v>0</v>
      </c>
      <c r="I202" s="3133"/>
      <c r="J202" s="3133"/>
      <c r="K202" s="3133"/>
      <c r="L202" s="3133"/>
      <c r="M202" s="3133"/>
      <c r="N202" s="3133"/>
      <c r="O202" s="3133"/>
      <c r="P202" s="3133"/>
      <c r="Q202" s="3133"/>
      <c r="R202" s="3133"/>
      <c r="S202" s="3133"/>
      <c r="T202" s="3133"/>
      <c r="U202" s="3133"/>
      <c r="V202" s="3133"/>
      <c r="W202" s="3133"/>
      <c r="X202" s="3133"/>
      <c r="Y202" s="3133"/>
      <c r="Z202" s="3133"/>
      <c r="AA202" s="3133"/>
      <c r="AB202" s="3133"/>
      <c r="AC202" s="3123">
        <f t="shared" si="96"/>
        <v>0</v>
      </c>
      <c r="AD202" s="3143"/>
      <c r="AE202" s="3143"/>
      <c r="AF202" s="3143"/>
      <c r="AG202" s="3143"/>
      <c r="AH202" s="3143"/>
      <c r="AI202" s="3143"/>
      <c r="AJ202" s="3143"/>
      <c r="AK202" s="3143"/>
      <c r="AL202" s="3143"/>
      <c r="AM202" s="3143"/>
      <c r="AN202" s="3143"/>
      <c r="AO202" s="3143"/>
      <c r="AP202" s="3143"/>
      <c r="AQ202" s="3143"/>
      <c r="AR202" s="3143"/>
      <c r="AS202" s="3143"/>
      <c r="AT202" s="3153"/>
      <c r="AU202" s="3154"/>
      <c r="AV202" s="270">
        <f t="shared" si="120"/>
        <v>0</v>
      </c>
      <c r="AW202" s="270">
        <f t="shared" si="121"/>
        <v>0</v>
      </c>
      <c r="AX202" s="270">
        <f t="shared" si="122"/>
        <v>0</v>
      </c>
      <c r="AY202" s="3168">
        <f t="shared" si="97"/>
        <v>0</v>
      </c>
      <c r="AZ202" s="3123">
        <f t="shared" si="98"/>
        <v>0</v>
      </c>
      <c r="BA202" s="3123">
        <f t="shared" si="99"/>
        <v>0</v>
      </c>
      <c r="BB202" s="3123">
        <f t="shared" si="100"/>
        <v>0</v>
      </c>
      <c r="BC202" s="3123">
        <f t="shared" si="101"/>
        <v>0</v>
      </c>
      <c r="BD202" s="3123">
        <f t="shared" si="102"/>
        <v>0</v>
      </c>
      <c r="BE202" s="3123">
        <f t="shared" si="103"/>
        <v>0</v>
      </c>
      <c r="BF202" s="3123">
        <f t="shared" si="104"/>
        <v>0</v>
      </c>
      <c r="BG202" s="3123">
        <f t="shared" si="105"/>
        <v>0</v>
      </c>
      <c r="BH202" s="3123">
        <f t="shared" si="106"/>
        <v>0</v>
      </c>
      <c r="BI202" s="3123">
        <f t="shared" si="107"/>
        <v>0</v>
      </c>
      <c r="BJ202" s="3123">
        <f t="shared" si="108"/>
        <v>0</v>
      </c>
      <c r="BK202" s="3123">
        <f t="shared" si="109"/>
        <v>0</v>
      </c>
      <c r="BL202" s="3123">
        <f t="shared" si="110"/>
        <v>0</v>
      </c>
      <c r="BM202" s="3123">
        <f t="shared" si="111"/>
        <v>0</v>
      </c>
      <c r="BN202" s="3123">
        <f t="shared" si="112"/>
        <v>0</v>
      </c>
      <c r="BO202" s="3123">
        <f t="shared" si="113"/>
        <v>0</v>
      </c>
      <c r="BP202" s="3123">
        <f t="shared" si="114"/>
        <v>0</v>
      </c>
      <c r="BQ202" s="3123">
        <f t="shared" si="115"/>
        <v>0</v>
      </c>
      <c r="BR202" s="3123">
        <f t="shared" si="116"/>
        <v>0</v>
      </c>
      <c r="BS202" s="3123">
        <f t="shared" si="117"/>
        <v>0</v>
      </c>
      <c r="BT202" s="3175">
        <f t="shared" si="118"/>
        <v>0</v>
      </c>
    </row>
    <row r="203" spans="1:72">
      <c r="A203" s="3120"/>
      <c r="B203" s="3121"/>
      <c r="C203" s="3121"/>
      <c r="D203" s="3122"/>
      <c r="E203" s="3123">
        <f t="shared" si="119"/>
        <v>0</v>
      </c>
      <c r="F203" s="3124"/>
      <c r="G203" s="3125">
        <f t="shared" si="94"/>
        <v>0</v>
      </c>
      <c r="H203" s="3126">
        <f t="shared" si="95"/>
        <v>0</v>
      </c>
      <c r="I203" s="3133"/>
      <c r="J203" s="3133"/>
      <c r="K203" s="3133"/>
      <c r="L203" s="3133"/>
      <c r="M203" s="3133"/>
      <c r="N203" s="3133"/>
      <c r="O203" s="3133"/>
      <c r="P203" s="3133"/>
      <c r="Q203" s="3133"/>
      <c r="R203" s="3133"/>
      <c r="S203" s="3133"/>
      <c r="T203" s="3133"/>
      <c r="U203" s="3133"/>
      <c r="V203" s="3133"/>
      <c r="W203" s="3133"/>
      <c r="X203" s="3133"/>
      <c r="Y203" s="3133"/>
      <c r="Z203" s="3133"/>
      <c r="AA203" s="3133"/>
      <c r="AB203" s="3133"/>
      <c r="AC203" s="3123">
        <f t="shared" si="96"/>
        <v>0</v>
      </c>
      <c r="AD203" s="3143"/>
      <c r="AE203" s="3143"/>
      <c r="AF203" s="3143"/>
      <c r="AG203" s="3143"/>
      <c r="AH203" s="3143"/>
      <c r="AI203" s="3143"/>
      <c r="AJ203" s="3143"/>
      <c r="AK203" s="3143"/>
      <c r="AL203" s="3143"/>
      <c r="AM203" s="3143"/>
      <c r="AN203" s="3143"/>
      <c r="AO203" s="3143"/>
      <c r="AP203" s="3143"/>
      <c r="AQ203" s="3143"/>
      <c r="AR203" s="3143"/>
      <c r="AS203" s="3143"/>
      <c r="AT203" s="3153"/>
      <c r="AU203" s="3154"/>
      <c r="AV203" s="270">
        <f t="shared" si="120"/>
        <v>0</v>
      </c>
      <c r="AW203" s="270">
        <f t="shared" si="121"/>
        <v>0</v>
      </c>
      <c r="AX203" s="270">
        <f t="shared" si="122"/>
        <v>0</v>
      </c>
      <c r="AY203" s="3168">
        <f t="shared" si="97"/>
        <v>0</v>
      </c>
      <c r="AZ203" s="3123">
        <f t="shared" si="98"/>
        <v>0</v>
      </c>
      <c r="BA203" s="3123">
        <f t="shared" si="99"/>
        <v>0</v>
      </c>
      <c r="BB203" s="3123">
        <f t="shared" si="100"/>
        <v>0</v>
      </c>
      <c r="BC203" s="3123">
        <f t="shared" si="101"/>
        <v>0</v>
      </c>
      <c r="BD203" s="3123">
        <f t="shared" si="102"/>
        <v>0</v>
      </c>
      <c r="BE203" s="3123">
        <f t="shared" si="103"/>
        <v>0</v>
      </c>
      <c r="BF203" s="3123">
        <f t="shared" si="104"/>
        <v>0</v>
      </c>
      <c r="BG203" s="3123">
        <f t="shared" si="105"/>
        <v>0</v>
      </c>
      <c r="BH203" s="3123">
        <f t="shared" si="106"/>
        <v>0</v>
      </c>
      <c r="BI203" s="3123">
        <f t="shared" si="107"/>
        <v>0</v>
      </c>
      <c r="BJ203" s="3123">
        <f t="shared" si="108"/>
        <v>0</v>
      </c>
      <c r="BK203" s="3123">
        <f t="shared" si="109"/>
        <v>0</v>
      </c>
      <c r="BL203" s="3123">
        <f t="shared" si="110"/>
        <v>0</v>
      </c>
      <c r="BM203" s="3123">
        <f t="shared" si="111"/>
        <v>0</v>
      </c>
      <c r="BN203" s="3123">
        <f t="shared" si="112"/>
        <v>0</v>
      </c>
      <c r="BO203" s="3123">
        <f t="shared" si="113"/>
        <v>0</v>
      </c>
      <c r="BP203" s="3123">
        <f t="shared" si="114"/>
        <v>0</v>
      </c>
      <c r="BQ203" s="3123">
        <f t="shared" si="115"/>
        <v>0</v>
      </c>
      <c r="BR203" s="3123">
        <f t="shared" si="116"/>
        <v>0</v>
      </c>
      <c r="BS203" s="3123">
        <f t="shared" si="117"/>
        <v>0</v>
      </c>
      <c r="BT203" s="3175">
        <f t="shared" si="118"/>
        <v>0</v>
      </c>
    </row>
    <row r="204" spans="1:72">
      <c r="A204" s="3120"/>
      <c r="B204" s="3121"/>
      <c r="C204" s="3121"/>
      <c r="D204" s="3122"/>
      <c r="E204" s="3123">
        <f t="shared" si="119"/>
        <v>0</v>
      </c>
      <c r="F204" s="3124"/>
      <c r="G204" s="3125">
        <f t="shared" si="94"/>
        <v>0</v>
      </c>
      <c r="H204" s="3126">
        <f t="shared" si="95"/>
        <v>0</v>
      </c>
      <c r="I204" s="3133"/>
      <c r="J204" s="3133"/>
      <c r="K204" s="3133"/>
      <c r="L204" s="3133"/>
      <c r="M204" s="3133"/>
      <c r="N204" s="3133"/>
      <c r="O204" s="3133"/>
      <c r="P204" s="3133"/>
      <c r="Q204" s="3133"/>
      <c r="R204" s="3133"/>
      <c r="S204" s="3133"/>
      <c r="T204" s="3133"/>
      <c r="U204" s="3133"/>
      <c r="V204" s="3133"/>
      <c r="W204" s="3133"/>
      <c r="X204" s="3133"/>
      <c r="Y204" s="3133"/>
      <c r="Z204" s="3133"/>
      <c r="AA204" s="3133"/>
      <c r="AB204" s="3133"/>
      <c r="AC204" s="3123">
        <f t="shared" si="96"/>
        <v>0</v>
      </c>
      <c r="AD204" s="3143"/>
      <c r="AE204" s="3143"/>
      <c r="AF204" s="3143"/>
      <c r="AG204" s="3143"/>
      <c r="AH204" s="3143"/>
      <c r="AI204" s="3143"/>
      <c r="AJ204" s="3143"/>
      <c r="AK204" s="3143"/>
      <c r="AL204" s="3143"/>
      <c r="AM204" s="3143"/>
      <c r="AN204" s="3143"/>
      <c r="AO204" s="3143"/>
      <c r="AP204" s="3143"/>
      <c r="AQ204" s="3143"/>
      <c r="AR204" s="3143"/>
      <c r="AS204" s="3143"/>
      <c r="AT204" s="3153"/>
      <c r="AU204" s="3154"/>
      <c r="AV204" s="270">
        <f t="shared" si="120"/>
        <v>0</v>
      </c>
      <c r="AW204" s="270">
        <f t="shared" si="121"/>
        <v>0</v>
      </c>
      <c r="AX204" s="270">
        <f t="shared" si="122"/>
        <v>0</v>
      </c>
      <c r="AY204" s="3168">
        <f t="shared" si="97"/>
        <v>0</v>
      </c>
      <c r="AZ204" s="3123">
        <f t="shared" si="98"/>
        <v>0</v>
      </c>
      <c r="BA204" s="3123">
        <f t="shared" si="99"/>
        <v>0</v>
      </c>
      <c r="BB204" s="3123">
        <f t="shared" si="100"/>
        <v>0</v>
      </c>
      <c r="BC204" s="3123">
        <f t="shared" si="101"/>
        <v>0</v>
      </c>
      <c r="BD204" s="3123">
        <f t="shared" si="102"/>
        <v>0</v>
      </c>
      <c r="BE204" s="3123">
        <f t="shared" si="103"/>
        <v>0</v>
      </c>
      <c r="BF204" s="3123">
        <f t="shared" si="104"/>
        <v>0</v>
      </c>
      <c r="BG204" s="3123">
        <f t="shared" si="105"/>
        <v>0</v>
      </c>
      <c r="BH204" s="3123">
        <f t="shared" si="106"/>
        <v>0</v>
      </c>
      <c r="BI204" s="3123">
        <f t="shared" si="107"/>
        <v>0</v>
      </c>
      <c r="BJ204" s="3123">
        <f t="shared" si="108"/>
        <v>0</v>
      </c>
      <c r="BK204" s="3123">
        <f t="shared" si="109"/>
        <v>0</v>
      </c>
      <c r="BL204" s="3123">
        <f t="shared" si="110"/>
        <v>0</v>
      </c>
      <c r="BM204" s="3123">
        <f t="shared" si="111"/>
        <v>0</v>
      </c>
      <c r="BN204" s="3123">
        <f t="shared" si="112"/>
        <v>0</v>
      </c>
      <c r="BO204" s="3123">
        <f t="shared" si="113"/>
        <v>0</v>
      </c>
      <c r="BP204" s="3123">
        <f t="shared" si="114"/>
        <v>0</v>
      </c>
      <c r="BQ204" s="3123">
        <f t="shared" si="115"/>
        <v>0</v>
      </c>
      <c r="BR204" s="3123">
        <f t="shared" si="116"/>
        <v>0</v>
      </c>
      <c r="BS204" s="3123">
        <f t="shared" si="117"/>
        <v>0</v>
      </c>
      <c r="BT204" s="3175">
        <f t="shared" si="118"/>
        <v>0</v>
      </c>
    </row>
    <row r="205" spans="1:72">
      <c r="A205" s="3120"/>
      <c r="B205" s="3120"/>
      <c r="C205" s="3120"/>
      <c r="D205" s="3122"/>
      <c r="E205" s="3123">
        <f t="shared" si="119"/>
        <v>0</v>
      </c>
      <c r="F205" s="3176"/>
      <c r="G205" s="3125">
        <f t="shared" si="94"/>
        <v>0</v>
      </c>
      <c r="H205" s="3126">
        <f t="shared" si="95"/>
        <v>0</v>
      </c>
      <c r="I205" s="3177"/>
      <c r="J205" s="3177"/>
      <c r="K205" s="3133"/>
      <c r="L205" s="3133"/>
      <c r="M205" s="3133"/>
      <c r="N205" s="3133"/>
      <c r="O205" s="3133"/>
      <c r="P205" s="3133"/>
      <c r="Q205" s="3133"/>
      <c r="R205" s="3133"/>
      <c r="S205" s="3133"/>
      <c r="T205" s="3133"/>
      <c r="U205" s="3133"/>
      <c r="V205" s="3133"/>
      <c r="W205" s="3133"/>
      <c r="X205" s="3133"/>
      <c r="Y205" s="3133"/>
      <c r="Z205" s="3133"/>
      <c r="AA205" s="3133"/>
      <c r="AB205" s="3133"/>
      <c r="AC205" s="3123">
        <f t="shared" si="96"/>
        <v>0</v>
      </c>
      <c r="AD205" s="3143"/>
      <c r="AE205" s="3143"/>
      <c r="AF205" s="3143"/>
      <c r="AG205" s="3143"/>
      <c r="AH205" s="3143"/>
      <c r="AI205" s="3143"/>
      <c r="AJ205" s="3143"/>
      <c r="AK205" s="3143"/>
      <c r="AL205" s="3143"/>
      <c r="AM205" s="3143"/>
      <c r="AN205" s="3143"/>
      <c r="AO205" s="3143"/>
      <c r="AP205" s="3143"/>
      <c r="AQ205" s="3143"/>
      <c r="AR205" s="3143"/>
      <c r="AS205" s="3143"/>
      <c r="AT205" s="3143"/>
      <c r="AU205" s="3178"/>
      <c r="AV205" s="270">
        <f t="shared" si="120"/>
        <v>0</v>
      </c>
      <c r="AW205" s="270">
        <f t="shared" si="121"/>
        <v>0</v>
      </c>
      <c r="AX205" s="270">
        <f t="shared" si="122"/>
        <v>0</v>
      </c>
      <c r="AY205" s="3168">
        <f t="shared" si="97"/>
        <v>0</v>
      </c>
      <c r="AZ205" s="3123">
        <f t="shared" si="98"/>
        <v>0</v>
      </c>
      <c r="BA205" s="3123">
        <f t="shared" si="99"/>
        <v>0</v>
      </c>
      <c r="BB205" s="3123">
        <f t="shared" si="100"/>
        <v>0</v>
      </c>
      <c r="BC205" s="3123">
        <f t="shared" si="101"/>
        <v>0</v>
      </c>
      <c r="BD205" s="3123">
        <f t="shared" si="102"/>
        <v>0</v>
      </c>
      <c r="BE205" s="3123">
        <f t="shared" si="103"/>
        <v>0</v>
      </c>
      <c r="BF205" s="3123">
        <f t="shared" si="104"/>
        <v>0</v>
      </c>
      <c r="BG205" s="3123">
        <f t="shared" si="105"/>
        <v>0</v>
      </c>
      <c r="BH205" s="3123">
        <f t="shared" si="106"/>
        <v>0</v>
      </c>
      <c r="BI205" s="3123">
        <f t="shared" si="107"/>
        <v>0</v>
      </c>
      <c r="BJ205" s="3123">
        <f t="shared" si="108"/>
        <v>0</v>
      </c>
      <c r="BK205" s="3123">
        <f t="shared" si="109"/>
        <v>0</v>
      </c>
      <c r="BL205" s="3123">
        <f t="shared" si="110"/>
        <v>0</v>
      </c>
      <c r="BM205" s="3123">
        <f t="shared" si="111"/>
        <v>0</v>
      </c>
      <c r="BN205" s="3123">
        <f t="shared" si="112"/>
        <v>0</v>
      </c>
      <c r="BO205" s="3123">
        <f t="shared" si="113"/>
        <v>0</v>
      </c>
      <c r="BP205" s="3123">
        <f t="shared" si="114"/>
        <v>0</v>
      </c>
      <c r="BQ205" s="3123">
        <f t="shared" si="115"/>
        <v>0</v>
      </c>
      <c r="BR205" s="3123">
        <f t="shared" si="116"/>
        <v>0</v>
      </c>
      <c r="BS205" s="3123">
        <f t="shared" si="117"/>
        <v>0</v>
      </c>
      <c r="BT205" s="3175">
        <f t="shared" si="118"/>
        <v>0</v>
      </c>
    </row>
    <row r="206" spans="1:72">
      <c r="A206" s="3120"/>
      <c r="B206" s="3120"/>
      <c r="C206" s="3120"/>
      <c r="D206" s="3122"/>
      <c r="E206" s="3123">
        <f t="shared" si="119"/>
        <v>0</v>
      </c>
      <c r="F206" s="3176"/>
      <c r="G206" s="3125">
        <f t="shared" si="94"/>
        <v>0</v>
      </c>
      <c r="H206" s="3126">
        <f t="shared" si="95"/>
        <v>0</v>
      </c>
      <c r="I206" s="3133"/>
      <c r="J206" s="3133"/>
      <c r="K206" s="3133"/>
      <c r="L206" s="3133"/>
      <c r="M206" s="3133"/>
      <c r="N206" s="3133"/>
      <c r="O206" s="3133"/>
      <c r="P206" s="3133"/>
      <c r="Q206" s="3133"/>
      <c r="R206" s="3133"/>
      <c r="S206" s="3133"/>
      <c r="T206" s="3133"/>
      <c r="U206" s="3133"/>
      <c r="V206" s="3133"/>
      <c r="W206" s="3133"/>
      <c r="X206" s="3133"/>
      <c r="Y206" s="3133"/>
      <c r="Z206" s="3133"/>
      <c r="AA206" s="3133"/>
      <c r="AB206" s="3133"/>
      <c r="AC206" s="3123">
        <f t="shared" si="96"/>
        <v>0</v>
      </c>
      <c r="AD206" s="3143"/>
      <c r="AE206" s="3143"/>
      <c r="AF206" s="3143"/>
      <c r="AG206" s="3143"/>
      <c r="AH206" s="3143"/>
      <c r="AI206" s="3143"/>
      <c r="AJ206" s="3143"/>
      <c r="AK206" s="3143"/>
      <c r="AL206" s="3143"/>
      <c r="AM206" s="3143"/>
      <c r="AN206" s="3143"/>
      <c r="AO206" s="3143"/>
      <c r="AP206" s="3143"/>
      <c r="AQ206" s="3143"/>
      <c r="AR206" s="3143"/>
      <c r="AS206" s="3143"/>
      <c r="AT206" s="3143"/>
      <c r="AU206" s="3178"/>
      <c r="AV206" s="270">
        <f t="shared" si="120"/>
        <v>0</v>
      </c>
      <c r="AW206" s="270">
        <f t="shared" si="121"/>
        <v>0</v>
      </c>
      <c r="AX206" s="270">
        <f t="shared" si="122"/>
        <v>0</v>
      </c>
      <c r="AY206" s="3168">
        <f t="shared" si="97"/>
        <v>0</v>
      </c>
      <c r="AZ206" s="3123">
        <f t="shared" si="98"/>
        <v>0</v>
      </c>
      <c r="BA206" s="3123">
        <f t="shared" si="99"/>
        <v>0</v>
      </c>
      <c r="BB206" s="3123">
        <f t="shared" si="100"/>
        <v>0</v>
      </c>
      <c r="BC206" s="3123">
        <f t="shared" si="101"/>
        <v>0</v>
      </c>
      <c r="BD206" s="3123">
        <f t="shared" si="102"/>
        <v>0</v>
      </c>
      <c r="BE206" s="3123">
        <f t="shared" si="103"/>
        <v>0</v>
      </c>
      <c r="BF206" s="3123">
        <f t="shared" si="104"/>
        <v>0</v>
      </c>
      <c r="BG206" s="3123">
        <f t="shared" si="105"/>
        <v>0</v>
      </c>
      <c r="BH206" s="3123">
        <f t="shared" si="106"/>
        <v>0</v>
      </c>
      <c r="BI206" s="3123">
        <f t="shared" si="107"/>
        <v>0</v>
      </c>
      <c r="BJ206" s="3123">
        <f t="shared" si="108"/>
        <v>0</v>
      </c>
      <c r="BK206" s="3123">
        <f t="shared" si="109"/>
        <v>0</v>
      </c>
      <c r="BL206" s="3123">
        <f t="shared" si="110"/>
        <v>0</v>
      </c>
      <c r="BM206" s="3123">
        <f t="shared" si="111"/>
        <v>0</v>
      </c>
      <c r="BN206" s="3123">
        <f t="shared" si="112"/>
        <v>0</v>
      </c>
      <c r="BO206" s="3123">
        <f t="shared" si="113"/>
        <v>0</v>
      </c>
      <c r="BP206" s="3123">
        <f t="shared" si="114"/>
        <v>0</v>
      </c>
      <c r="BQ206" s="3123">
        <f t="shared" si="115"/>
        <v>0</v>
      </c>
      <c r="BR206" s="3123">
        <f t="shared" si="116"/>
        <v>0</v>
      </c>
      <c r="BS206" s="3123">
        <f t="shared" si="117"/>
        <v>0</v>
      </c>
      <c r="BT206" s="3175">
        <f t="shared" si="118"/>
        <v>0</v>
      </c>
    </row>
    <row r="207" spans="1:72">
      <c r="A207" s="3120"/>
      <c r="B207" s="3120"/>
      <c r="C207" s="3120"/>
      <c r="D207" s="3122"/>
      <c r="E207" s="3123">
        <f t="shared" si="119"/>
        <v>0</v>
      </c>
      <c r="F207" s="3176"/>
      <c r="G207" s="3125">
        <f t="shared" si="94"/>
        <v>0</v>
      </c>
      <c r="H207" s="3126">
        <f t="shared" si="95"/>
        <v>0</v>
      </c>
      <c r="I207" s="3133"/>
      <c r="J207" s="3133"/>
      <c r="K207" s="3133"/>
      <c r="L207" s="3133"/>
      <c r="M207" s="3133"/>
      <c r="N207" s="3133"/>
      <c r="O207" s="3133"/>
      <c r="P207" s="3133"/>
      <c r="Q207" s="3133"/>
      <c r="R207" s="3133"/>
      <c r="S207" s="3133"/>
      <c r="T207" s="3133"/>
      <c r="U207" s="3133"/>
      <c r="V207" s="3133"/>
      <c r="W207" s="3133"/>
      <c r="X207" s="3133"/>
      <c r="Y207" s="3133"/>
      <c r="Z207" s="3133"/>
      <c r="AA207" s="3133"/>
      <c r="AB207" s="3133"/>
      <c r="AC207" s="3123">
        <f t="shared" si="96"/>
        <v>0</v>
      </c>
      <c r="AD207" s="3143"/>
      <c r="AE207" s="3143"/>
      <c r="AF207" s="3143"/>
      <c r="AG207" s="3143"/>
      <c r="AH207" s="3143"/>
      <c r="AI207" s="3143"/>
      <c r="AJ207" s="3143"/>
      <c r="AK207" s="3143"/>
      <c r="AL207" s="3143"/>
      <c r="AM207" s="3143"/>
      <c r="AN207" s="3143"/>
      <c r="AO207" s="3143"/>
      <c r="AP207" s="3143"/>
      <c r="AQ207" s="3143"/>
      <c r="AR207" s="3143"/>
      <c r="AS207" s="3143"/>
      <c r="AT207" s="3143"/>
      <c r="AU207" s="3178"/>
      <c r="AV207" s="270">
        <f t="shared" si="120"/>
        <v>0</v>
      </c>
      <c r="AW207" s="270">
        <f t="shared" si="121"/>
        <v>0</v>
      </c>
      <c r="AX207" s="270">
        <f t="shared" si="122"/>
        <v>0</v>
      </c>
      <c r="AY207" s="3168">
        <f t="shared" si="97"/>
        <v>0</v>
      </c>
      <c r="AZ207" s="3123">
        <f t="shared" si="98"/>
        <v>0</v>
      </c>
      <c r="BA207" s="3123">
        <f t="shared" si="99"/>
        <v>0</v>
      </c>
      <c r="BB207" s="3123">
        <f t="shared" si="100"/>
        <v>0</v>
      </c>
      <c r="BC207" s="3123">
        <f t="shared" si="101"/>
        <v>0</v>
      </c>
      <c r="BD207" s="3123">
        <f t="shared" si="102"/>
        <v>0</v>
      </c>
      <c r="BE207" s="3123">
        <f t="shared" si="103"/>
        <v>0</v>
      </c>
      <c r="BF207" s="3123">
        <f t="shared" si="104"/>
        <v>0</v>
      </c>
      <c r="BG207" s="3123">
        <f t="shared" si="105"/>
        <v>0</v>
      </c>
      <c r="BH207" s="3123">
        <f t="shared" si="106"/>
        <v>0</v>
      </c>
      <c r="BI207" s="3123">
        <f t="shared" si="107"/>
        <v>0</v>
      </c>
      <c r="BJ207" s="3123">
        <f t="shared" si="108"/>
        <v>0</v>
      </c>
      <c r="BK207" s="3123">
        <f t="shared" si="109"/>
        <v>0</v>
      </c>
      <c r="BL207" s="3123">
        <f t="shared" si="110"/>
        <v>0</v>
      </c>
      <c r="BM207" s="3123">
        <f t="shared" si="111"/>
        <v>0</v>
      </c>
      <c r="BN207" s="3123">
        <f t="shared" si="112"/>
        <v>0</v>
      </c>
      <c r="BO207" s="3123">
        <f t="shared" si="113"/>
        <v>0</v>
      </c>
      <c r="BP207" s="3123">
        <f t="shared" si="114"/>
        <v>0</v>
      </c>
      <c r="BQ207" s="3123">
        <f t="shared" si="115"/>
        <v>0</v>
      </c>
      <c r="BR207" s="3123">
        <f t="shared" si="116"/>
        <v>0</v>
      </c>
      <c r="BS207" s="3123">
        <f t="shared" si="117"/>
        <v>0</v>
      </c>
      <c r="BT207" s="3175">
        <f t="shared" si="118"/>
        <v>0</v>
      </c>
    </row>
    <row r="208" spans="1:72">
      <c r="A208" s="3120"/>
      <c r="B208" s="3121"/>
      <c r="C208" s="3121"/>
      <c r="D208" s="3122"/>
      <c r="E208" s="3123">
        <f t="shared" ref="E208:E302" si="123">IF($C$3="是",ROUND($A$3*G208/$B$3,2),ROUND($A$3*(G208-AT208)/$B$3,2))</f>
        <v>0</v>
      </c>
      <c r="F208" s="3124"/>
      <c r="G208" s="3125">
        <f t="shared" ref="G208:G299" si="124">H208+AC208+AT208</f>
        <v>0</v>
      </c>
      <c r="H208" s="3126">
        <f t="shared" ref="H208:H299" si="125">SUMIF(I$12:AB$12,"总值",I208:AB208)</f>
        <v>0</v>
      </c>
      <c r="I208" s="3133"/>
      <c r="J208" s="3133"/>
      <c r="K208" s="3133"/>
      <c r="L208" s="3133"/>
      <c r="M208" s="3133"/>
      <c r="N208" s="3133"/>
      <c r="O208" s="3133"/>
      <c r="P208" s="3133"/>
      <c r="Q208" s="3133"/>
      <c r="R208" s="3133"/>
      <c r="S208" s="3133"/>
      <c r="T208" s="3133"/>
      <c r="U208" s="3133"/>
      <c r="V208" s="3133"/>
      <c r="W208" s="3133"/>
      <c r="X208" s="3133"/>
      <c r="Y208" s="3133"/>
      <c r="Z208" s="3133"/>
      <c r="AA208" s="3133"/>
      <c r="AB208" s="3133"/>
      <c r="AC208" s="3123">
        <f t="shared" ref="AC208:AC299" si="126">SUMIF(AD$12:AS$12,"总值",AD208:AS208)</f>
        <v>0</v>
      </c>
      <c r="AD208" s="3143"/>
      <c r="AE208" s="3143"/>
      <c r="AF208" s="3143"/>
      <c r="AG208" s="3143"/>
      <c r="AH208" s="3143"/>
      <c r="AI208" s="3143"/>
      <c r="AJ208" s="3143"/>
      <c r="AK208" s="3143"/>
      <c r="AL208" s="3143"/>
      <c r="AM208" s="3143"/>
      <c r="AN208" s="3143"/>
      <c r="AO208" s="3143"/>
      <c r="AP208" s="3143"/>
      <c r="AQ208" s="3143"/>
      <c r="AR208" s="3143"/>
      <c r="AS208" s="3143"/>
      <c r="AT208" s="3153"/>
      <c r="AU208" s="3154"/>
      <c r="AV208" s="270">
        <f t="shared" ref="AV208:AV302" si="127">A208</f>
        <v>0</v>
      </c>
      <c r="AW208" s="270">
        <f t="shared" ref="AW208:AW302" si="128">B208</f>
        <v>0</v>
      </c>
      <c r="AX208" s="270">
        <f t="shared" ref="AX208:AX302" si="129">C208</f>
        <v>0</v>
      </c>
      <c r="AY208" s="3168">
        <f t="shared" ref="AY208:AY299" si="130">ROUND($AY$6*AZ208/$AZ$5,2)</f>
        <v>0</v>
      </c>
      <c r="AZ208" s="3123">
        <f t="shared" ref="AZ208:AZ299" si="131">BA208+BL208</f>
        <v>0</v>
      </c>
      <c r="BA208" s="3123">
        <f t="shared" ref="BA208:BA299" si="132">SUM(BB208:BK208)</f>
        <v>0</v>
      </c>
      <c r="BB208" s="3123">
        <f t="shared" ref="BB208:BB299" si="133">IF($D208="是",I208-J208,0)</f>
        <v>0</v>
      </c>
      <c r="BC208" s="3123">
        <f t="shared" ref="BC208:BC299" si="134">IF($D208="是",K208-L208,0)</f>
        <v>0</v>
      </c>
      <c r="BD208" s="3123">
        <f t="shared" ref="BD208:BD299" si="135">IF($D208="是",M208-N208,0)</f>
        <v>0</v>
      </c>
      <c r="BE208" s="3123">
        <f t="shared" ref="BE208:BE299" si="136">IF($D208="是",O208-P208,0)</f>
        <v>0</v>
      </c>
      <c r="BF208" s="3123">
        <f t="shared" ref="BF208:BF299" si="137">IF($D208="是",Q208-R208,0)</f>
        <v>0</v>
      </c>
      <c r="BG208" s="3123">
        <f t="shared" ref="BG208:BG299" si="138">IF($D208="是",S208-T208,0)</f>
        <v>0</v>
      </c>
      <c r="BH208" s="3123">
        <f t="shared" ref="BH208:BH299" si="139">IF($D208="是",U208-V208,0)</f>
        <v>0</v>
      </c>
      <c r="BI208" s="3123">
        <f t="shared" ref="BI208:BI299" si="140">IF($D208="是",W208-X208,0)</f>
        <v>0</v>
      </c>
      <c r="BJ208" s="3123">
        <f t="shared" ref="BJ208:BJ299" si="141">IF($D208="是",Y208-Z208,0)</f>
        <v>0</v>
      </c>
      <c r="BK208" s="3123">
        <f t="shared" ref="BK208:BK299" si="142">IF($D208="是",AA208-AB208,0)</f>
        <v>0</v>
      </c>
      <c r="BL208" s="3123">
        <f t="shared" ref="BL208:BL299" si="143">SUM(BM208:BT208)</f>
        <v>0</v>
      </c>
      <c r="BM208" s="3123">
        <f t="shared" ref="BM208:BM299" si="144">IF($D208="是",AD208-AE208,0)</f>
        <v>0</v>
      </c>
      <c r="BN208" s="3123">
        <f t="shared" ref="BN208:BN299" si="145">IF($D208="是",AF208-AG208,0)</f>
        <v>0</v>
      </c>
      <c r="BO208" s="3123">
        <f t="shared" ref="BO208:BO299" si="146">IF($D208="是",AH208-AI208,0)</f>
        <v>0</v>
      </c>
      <c r="BP208" s="3123">
        <f t="shared" ref="BP208:BP299" si="147">IF($D208="是",AJ208-AK208,0)</f>
        <v>0</v>
      </c>
      <c r="BQ208" s="3123">
        <f t="shared" ref="BQ208:BQ299" si="148">IF($D208="是",AL208-AM208,0)</f>
        <v>0</v>
      </c>
      <c r="BR208" s="3123">
        <f t="shared" ref="BR208:BR299" si="149">IF($D208="是",AN208-AO208,0)</f>
        <v>0</v>
      </c>
      <c r="BS208" s="3123">
        <f t="shared" ref="BS208:BS299" si="150">IF($D208="是",AP208-AQ208,0)</f>
        <v>0</v>
      </c>
      <c r="BT208" s="3175">
        <f t="shared" ref="BT208:BT299" si="151">IF($D208="是",AR208-AS208,0)</f>
        <v>0</v>
      </c>
    </row>
    <row r="209" spans="1:72">
      <c r="A209" s="3120"/>
      <c r="B209" s="3121"/>
      <c r="C209" s="3121"/>
      <c r="D209" s="3122"/>
      <c r="E209" s="3123">
        <f t="shared" si="123"/>
        <v>0</v>
      </c>
      <c r="F209" s="3124"/>
      <c r="G209" s="3125">
        <f t="shared" si="124"/>
        <v>0</v>
      </c>
      <c r="H209" s="3126">
        <f t="shared" si="125"/>
        <v>0</v>
      </c>
      <c r="I209" s="3133"/>
      <c r="J209" s="3133"/>
      <c r="K209" s="3133"/>
      <c r="L209" s="3133"/>
      <c r="M209" s="3133"/>
      <c r="N209" s="3133"/>
      <c r="O209" s="3133"/>
      <c r="P209" s="3133"/>
      <c r="Q209" s="3133"/>
      <c r="R209" s="3133"/>
      <c r="S209" s="3133"/>
      <c r="T209" s="3133"/>
      <c r="U209" s="3133"/>
      <c r="V209" s="3133"/>
      <c r="W209" s="3133"/>
      <c r="X209" s="3133"/>
      <c r="Y209" s="3133"/>
      <c r="Z209" s="3133"/>
      <c r="AA209" s="3133"/>
      <c r="AB209" s="3133"/>
      <c r="AC209" s="3123">
        <f t="shared" si="126"/>
        <v>0</v>
      </c>
      <c r="AD209" s="3143"/>
      <c r="AE209" s="3143"/>
      <c r="AF209" s="3143"/>
      <c r="AG209" s="3143"/>
      <c r="AH209" s="3143"/>
      <c r="AI209" s="3143"/>
      <c r="AJ209" s="3143"/>
      <c r="AK209" s="3143"/>
      <c r="AL209" s="3143"/>
      <c r="AM209" s="3143"/>
      <c r="AN209" s="3143"/>
      <c r="AO209" s="3143"/>
      <c r="AP209" s="3143"/>
      <c r="AQ209" s="3143"/>
      <c r="AR209" s="3143"/>
      <c r="AS209" s="3143"/>
      <c r="AT209" s="3153"/>
      <c r="AU209" s="3154"/>
      <c r="AV209" s="270">
        <f t="shared" si="127"/>
        <v>0</v>
      </c>
      <c r="AW209" s="270">
        <f t="shared" si="128"/>
        <v>0</v>
      </c>
      <c r="AX209" s="270">
        <f t="shared" si="129"/>
        <v>0</v>
      </c>
      <c r="AY209" s="3168">
        <f t="shared" si="130"/>
        <v>0</v>
      </c>
      <c r="AZ209" s="3123">
        <f t="shared" si="131"/>
        <v>0</v>
      </c>
      <c r="BA209" s="3123">
        <f t="shared" si="132"/>
        <v>0</v>
      </c>
      <c r="BB209" s="3123">
        <f t="shared" si="133"/>
        <v>0</v>
      </c>
      <c r="BC209" s="3123">
        <f t="shared" si="134"/>
        <v>0</v>
      </c>
      <c r="BD209" s="3123">
        <f t="shared" si="135"/>
        <v>0</v>
      </c>
      <c r="BE209" s="3123">
        <f t="shared" si="136"/>
        <v>0</v>
      </c>
      <c r="BF209" s="3123">
        <f t="shared" si="137"/>
        <v>0</v>
      </c>
      <c r="BG209" s="3123">
        <f t="shared" si="138"/>
        <v>0</v>
      </c>
      <c r="BH209" s="3123">
        <f t="shared" si="139"/>
        <v>0</v>
      </c>
      <c r="BI209" s="3123">
        <f t="shared" si="140"/>
        <v>0</v>
      </c>
      <c r="BJ209" s="3123">
        <f t="shared" si="141"/>
        <v>0</v>
      </c>
      <c r="BK209" s="3123">
        <f t="shared" si="142"/>
        <v>0</v>
      </c>
      <c r="BL209" s="3123">
        <f t="shared" si="143"/>
        <v>0</v>
      </c>
      <c r="BM209" s="3123">
        <f t="shared" si="144"/>
        <v>0</v>
      </c>
      <c r="BN209" s="3123">
        <f t="shared" si="145"/>
        <v>0</v>
      </c>
      <c r="BO209" s="3123">
        <f t="shared" si="146"/>
        <v>0</v>
      </c>
      <c r="BP209" s="3123">
        <f t="shared" si="147"/>
        <v>0</v>
      </c>
      <c r="BQ209" s="3123">
        <f t="shared" si="148"/>
        <v>0</v>
      </c>
      <c r="BR209" s="3123">
        <f t="shared" si="149"/>
        <v>0</v>
      </c>
      <c r="BS209" s="3123">
        <f t="shared" si="150"/>
        <v>0</v>
      </c>
      <c r="BT209" s="3175">
        <f t="shared" si="151"/>
        <v>0</v>
      </c>
    </row>
    <row r="210" spans="1:72">
      <c r="A210" s="3120"/>
      <c r="B210" s="3121"/>
      <c r="C210" s="3121"/>
      <c r="D210" s="3122"/>
      <c r="E210" s="3123">
        <f t="shared" si="123"/>
        <v>0</v>
      </c>
      <c r="F210" s="3124"/>
      <c r="G210" s="3125">
        <f t="shared" si="124"/>
        <v>0</v>
      </c>
      <c r="H210" s="3126">
        <f t="shared" si="125"/>
        <v>0</v>
      </c>
      <c r="I210" s="3133"/>
      <c r="J210" s="3133"/>
      <c r="K210" s="3133"/>
      <c r="L210" s="3133"/>
      <c r="M210" s="3133"/>
      <c r="N210" s="3133"/>
      <c r="O210" s="3133"/>
      <c r="P210" s="3133"/>
      <c r="Q210" s="3133"/>
      <c r="R210" s="3133"/>
      <c r="S210" s="3133"/>
      <c r="T210" s="3133"/>
      <c r="U210" s="3133"/>
      <c r="V210" s="3133"/>
      <c r="W210" s="3133"/>
      <c r="X210" s="3133"/>
      <c r="Y210" s="3133"/>
      <c r="Z210" s="3133"/>
      <c r="AA210" s="3133"/>
      <c r="AB210" s="3133"/>
      <c r="AC210" s="3123">
        <f t="shared" si="126"/>
        <v>0</v>
      </c>
      <c r="AD210" s="3143"/>
      <c r="AE210" s="3143"/>
      <c r="AF210" s="3143"/>
      <c r="AG210" s="3143"/>
      <c r="AH210" s="3143"/>
      <c r="AI210" s="3143"/>
      <c r="AJ210" s="3143"/>
      <c r="AK210" s="3143"/>
      <c r="AL210" s="3143"/>
      <c r="AM210" s="3143"/>
      <c r="AN210" s="3143"/>
      <c r="AO210" s="3143"/>
      <c r="AP210" s="3143"/>
      <c r="AQ210" s="3143"/>
      <c r="AR210" s="3143"/>
      <c r="AS210" s="3143"/>
      <c r="AT210" s="3153"/>
      <c r="AU210" s="3154"/>
      <c r="AV210" s="270">
        <f t="shared" si="127"/>
        <v>0</v>
      </c>
      <c r="AW210" s="270">
        <f t="shared" si="128"/>
        <v>0</v>
      </c>
      <c r="AX210" s="270">
        <f t="shared" si="129"/>
        <v>0</v>
      </c>
      <c r="AY210" s="3168">
        <f t="shared" si="130"/>
        <v>0</v>
      </c>
      <c r="AZ210" s="3123">
        <f t="shared" si="131"/>
        <v>0</v>
      </c>
      <c r="BA210" s="3123">
        <f t="shared" si="132"/>
        <v>0</v>
      </c>
      <c r="BB210" s="3123">
        <f t="shared" si="133"/>
        <v>0</v>
      </c>
      <c r="BC210" s="3123">
        <f t="shared" si="134"/>
        <v>0</v>
      </c>
      <c r="BD210" s="3123">
        <f t="shared" si="135"/>
        <v>0</v>
      </c>
      <c r="BE210" s="3123">
        <f t="shared" si="136"/>
        <v>0</v>
      </c>
      <c r="BF210" s="3123">
        <f t="shared" si="137"/>
        <v>0</v>
      </c>
      <c r="BG210" s="3123">
        <f t="shared" si="138"/>
        <v>0</v>
      </c>
      <c r="BH210" s="3123">
        <f t="shared" si="139"/>
        <v>0</v>
      </c>
      <c r="BI210" s="3123">
        <f t="shared" si="140"/>
        <v>0</v>
      </c>
      <c r="BJ210" s="3123">
        <f t="shared" si="141"/>
        <v>0</v>
      </c>
      <c r="BK210" s="3123">
        <f t="shared" si="142"/>
        <v>0</v>
      </c>
      <c r="BL210" s="3123">
        <f t="shared" si="143"/>
        <v>0</v>
      </c>
      <c r="BM210" s="3123">
        <f t="shared" si="144"/>
        <v>0</v>
      </c>
      <c r="BN210" s="3123">
        <f t="shared" si="145"/>
        <v>0</v>
      </c>
      <c r="BO210" s="3123">
        <f t="shared" si="146"/>
        <v>0</v>
      </c>
      <c r="BP210" s="3123">
        <f t="shared" si="147"/>
        <v>0</v>
      </c>
      <c r="BQ210" s="3123">
        <f t="shared" si="148"/>
        <v>0</v>
      </c>
      <c r="BR210" s="3123">
        <f t="shared" si="149"/>
        <v>0</v>
      </c>
      <c r="BS210" s="3123">
        <f t="shared" si="150"/>
        <v>0</v>
      </c>
      <c r="BT210" s="3175">
        <f t="shared" si="151"/>
        <v>0</v>
      </c>
    </row>
    <row r="211" spans="1:72">
      <c r="A211" s="3120"/>
      <c r="B211" s="3121"/>
      <c r="C211" s="3121"/>
      <c r="D211" s="3122"/>
      <c r="E211" s="3123">
        <f t="shared" si="123"/>
        <v>0</v>
      </c>
      <c r="F211" s="3124"/>
      <c r="G211" s="3125">
        <f t="shared" si="124"/>
        <v>0</v>
      </c>
      <c r="H211" s="3126">
        <f t="shared" si="125"/>
        <v>0</v>
      </c>
      <c r="I211" s="3133"/>
      <c r="J211" s="3133"/>
      <c r="K211" s="3133"/>
      <c r="L211" s="3133"/>
      <c r="M211" s="3133"/>
      <c r="N211" s="3133"/>
      <c r="O211" s="3133"/>
      <c r="P211" s="3133"/>
      <c r="Q211" s="3133"/>
      <c r="R211" s="3133"/>
      <c r="S211" s="3133"/>
      <c r="T211" s="3133"/>
      <c r="U211" s="3133"/>
      <c r="V211" s="3133"/>
      <c r="W211" s="3133"/>
      <c r="X211" s="3133"/>
      <c r="Y211" s="3133"/>
      <c r="Z211" s="3133"/>
      <c r="AA211" s="3133"/>
      <c r="AB211" s="3133"/>
      <c r="AC211" s="3123">
        <f t="shared" si="126"/>
        <v>0</v>
      </c>
      <c r="AD211" s="3143"/>
      <c r="AE211" s="3143"/>
      <c r="AF211" s="3143"/>
      <c r="AG211" s="3143"/>
      <c r="AH211" s="3143"/>
      <c r="AI211" s="3143"/>
      <c r="AJ211" s="3143"/>
      <c r="AK211" s="3143"/>
      <c r="AL211" s="3143"/>
      <c r="AM211" s="3143"/>
      <c r="AN211" s="3143"/>
      <c r="AO211" s="3143"/>
      <c r="AP211" s="3143"/>
      <c r="AQ211" s="3143"/>
      <c r="AR211" s="3143"/>
      <c r="AS211" s="3143"/>
      <c r="AT211" s="3153"/>
      <c r="AU211" s="3154"/>
      <c r="AV211" s="270">
        <f t="shared" si="127"/>
        <v>0</v>
      </c>
      <c r="AW211" s="270">
        <f t="shared" si="128"/>
        <v>0</v>
      </c>
      <c r="AX211" s="270">
        <f t="shared" si="129"/>
        <v>0</v>
      </c>
      <c r="AY211" s="3168">
        <f t="shared" si="130"/>
        <v>0</v>
      </c>
      <c r="AZ211" s="3123">
        <f t="shared" si="131"/>
        <v>0</v>
      </c>
      <c r="BA211" s="3123">
        <f t="shared" si="132"/>
        <v>0</v>
      </c>
      <c r="BB211" s="3123">
        <f t="shared" si="133"/>
        <v>0</v>
      </c>
      <c r="BC211" s="3123">
        <f t="shared" si="134"/>
        <v>0</v>
      </c>
      <c r="BD211" s="3123">
        <f t="shared" si="135"/>
        <v>0</v>
      </c>
      <c r="BE211" s="3123">
        <f t="shared" si="136"/>
        <v>0</v>
      </c>
      <c r="BF211" s="3123">
        <f t="shared" si="137"/>
        <v>0</v>
      </c>
      <c r="BG211" s="3123">
        <f t="shared" si="138"/>
        <v>0</v>
      </c>
      <c r="BH211" s="3123">
        <f t="shared" si="139"/>
        <v>0</v>
      </c>
      <c r="BI211" s="3123">
        <f t="shared" si="140"/>
        <v>0</v>
      </c>
      <c r="BJ211" s="3123">
        <f t="shared" si="141"/>
        <v>0</v>
      </c>
      <c r="BK211" s="3123">
        <f t="shared" si="142"/>
        <v>0</v>
      </c>
      <c r="BL211" s="3123">
        <f t="shared" si="143"/>
        <v>0</v>
      </c>
      <c r="BM211" s="3123">
        <f t="shared" si="144"/>
        <v>0</v>
      </c>
      <c r="BN211" s="3123">
        <f t="shared" si="145"/>
        <v>0</v>
      </c>
      <c r="BO211" s="3123">
        <f t="shared" si="146"/>
        <v>0</v>
      </c>
      <c r="BP211" s="3123">
        <f t="shared" si="147"/>
        <v>0</v>
      </c>
      <c r="BQ211" s="3123">
        <f t="shared" si="148"/>
        <v>0</v>
      </c>
      <c r="BR211" s="3123">
        <f t="shared" si="149"/>
        <v>0</v>
      </c>
      <c r="BS211" s="3123">
        <f t="shared" si="150"/>
        <v>0</v>
      </c>
      <c r="BT211" s="3175">
        <f t="shared" si="151"/>
        <v>0</v>
      </c>
    </row>
    <row r="212" spans="1:72">
      <c r="A212" s="3120"/>
      <c r="B212" s="3121"/>
      <c r="C212" s="3121"/>
      <c r="D212" s="3122"/>
      <c r="E212" s="3123">
        <f t="shared" si="123"/>
        <v>0</v>
      </c>
      <c r="F212" s="3124"/>
      <c r="G212" s="3125">
        <f t="shared" si="124"/>
        <v>0</v>
      </c>
      <c r="H212" s="3126">
        <f t="shared" si="125"/>
        <v>0</v>
      </c>
      <c r="I212" s="3133"/>
      <c r="J212" s="3133"/>
      <c r="K212" s="3133"/>
      <c r="L212" s="3133"/>
      <c r="M212" s="3133"/>
      <c r="N212" s="3133"/>
      <c r="O212" s="3133"/>
      <c r="P212" s="3133"/>
      <c r="Q212" s="3133"/>
      <c r="R212" s="3133"/>
      <c r="S212" s="3133"/>
      <c r="T212" s="3133"/>
      <c r="U212" s="3133"/>
      <c r="V212" s="3133"/>
      <c r="W212" s="3133"/>
      <c r="X212" s="3133"/>
      <c r="Y212" s="3133"/>
      <c r="Z212" s="3133"/>
      <c r="AA212" s="3133"/>
      <c r="AB212" s="3133"/>
      <c r="AC212" s="3123">
        <f t="shared" si="126"/>
        <v>0</v>
      </c>
      <c r="AD212" s="3143"/>
      <c r="AE212" s="3143"/>
      <c r="AF212" s="3143"/>
      <c r="AG212" s="3143"/>
      <c r="AH212" s="3143"/>
      <c r="AI212" s="3143"/>
      <c r="AJ212" s="3143"/>
      <c r="AK212" s="3143"/>
      <c r="AL212" s="3143"/>
      <c r="AM212" s="3143"/>
      <c r="AN212" s="3143"/>
      <c r="AO212" s="3143"/>
      <c r="AP212" s="3143"/>
      <c r="AQ212" s="3143"/>
      <c r="AR212" s="3143"/>
      <c r="AS212" s="3143"/>
      <c r="AT212" s="3153"/>
      <c r="AU212" s="3154"/>
      <c r="AV212" s="270">
        <f t="shared" si="127"/>
        <v>0</v>
      </c>
      <c r="AW212" s="270">
        <f t="shared" si="128"/>
        <v>0</v>
      </c>
      <c r="AX212" s="270">
        <f t="shared" si="129"/>
        <v>0</v>
      </c>
      <c r="AY212" s="3168">
        <f t="shared" si="130"/>
        <v>0</v>
      </c>
      <c r="AZ212" s="3123">
        <f t="shared" si="131"/>
        <v>0</v>
      </c>
      <c r="BA212" s="3123">
        <f t="shared" si="132"/>
        <v>0</v>
      </c>
      <c r="BB212" s="3123">
        <f t="shared" si="133"/>
        <v>0</v>
      </c>
      <c r="BC212" s="3123">
        <f t="shared" si="134"/>
        <v>0</v>
      </c>
      <c r="BD212" s="3123">
        <f t="shared" si="135"/>
        <v>0</v>
      </c>
      <c r="BE212" s="3123">
        <f t="shared" si="136"/>
        <v>0</v>
      </c>
      <c r="BF212" s="3123">
        <f t="shared" si="137"/>
        <v>0</v>
      </c>
      <c r="BG212" s="3123">
        <f t="shared" si="138"/>
        <v>0</v>
      </c>
      <c r="BH212" s="3123">
        <f t="shared" si="139"/>
        <v>0</v>
      </c>
      <c r="BI212" s="3123">
        <f t="shared" si="140"/>
        <v>0</v>
      </c>
      <c r="BJ212" s="3123">
        <f t="shared" si="141"/>
        <v>0</v>
      </c>
      <c r="BK212" s="3123">
        <f t="shared" si="142"/>
        <v>0</v>
      </c>
      <c r="BL212" s="3123">
        <f t="shared" si="143"/>
        <v>0</v>
      </c>
      <c r="BM212" s="3123">
        <f t="shared" si="144"/>
        <v>0</v>
      </c>
      <c r="BN212" s="3123">
        <f t="shared" si="145"/>
        <v>0</v>
      </c>
      <c r="BO212" s="3123">
        <f t="shared" si="146"/>
        <v>0</v>
      </c>
      <c r="BP212" s="3123">
        <f t="shared" si="147"/>
        <v>0</v>
      </c>
      <c r="BQ212" s="3123">
        <f t="shared" si="148"/>
        <v>0</v>
      </c>
      <c r="BR212" s="3123">
        <f t="shared" si="149"/>
        <v>0</v>
      </c>
      <c r="BS212" s="3123">
        <f t="shared" si="150"/>
        <v>0</v>
      </c>
      <c r="BT212" s="3175">
        <f t="shared" si="151"/>
        <v>0</v>
      </c>
    </row>
    <row r="213" spans="1:72">
      <c r="A213" s="3120"/>
      <c r="B213" s="3121"/>
      <c r="C213" s="3121"/>
      <c r="D213" s="3122"/>
      <c r="E213" s="3123">
        <f t="shared" si="123"/>
        <v>0</v>
      </c>
      <c r="F213" s="3124"/>
      <c r="G213" s="3125">
        <f t="shared" si="124"/>
        <v>0</v>
      </c>
      <c r="H213" s="3126">
        <f t="shared" si="125"/>
        <v>0</v>
      </c>
      <c r="I213" s="3133"/>
      <c r="J213" s="3133"/>
      <c r="K213" s="3133"/>
      <c r="L213" s="3133"/>
      <c r="M213" s="3133"/>
      <c r="N213" s="3133"/>
      <c r="O213" s="3133"/>
      <c r="P213" s="3133"/>
      <c r="Q213" s="3133"/>
      <c r="R213" s="3133"/>
      <c r="S213" s="3133"/>
      <c r="T213" s="3133"/>
      <c r="U213" s="3133"/>
      <c r="V213" s="3133"/>
      <c r="W213" s="3133"/>
      <c r="X213" s="3133"/>
      <c r="Y213" s="3133"/>
      <c r="Z213" s="3133"/>
      <c r="AA213" s="3133"/>
      <c r="AB213" s="3133"/>
      <c r="AC213" s="3123">
        <f t="shared" si="126"/>
        <v>0</v>
      </c>
      <c r="AD213" s="3143"/>
      <c r="AE213" s="3143"/>
      <c r="AF213" s="3143"/>
      <c r="AG213" s="3143"/>
      <c r="AH213" s="3143"/>
      <c r="AI213" s="3143"/>
      <c r="AJ213" s="3143"/>
      <c r="AK213" s="3143"/>
      <c r="AL213" s="3143"/>
      <c r="AM213" s="3143"/>
      <c r="AN213" s="3143"/>
      <c r="AO213" s="3143"/>
      <c r="AP213" s="3143"/>
      <c r="AQ213" s="3143"/>
      <c r="AR213" s="3143"/>
      <c r="AS213" s="3143"/>
      <c r="AT213" s="3153"/>
      <c r="AU213" s="3154"/>
      <c r="AV213" s="270">
        <f t="shared" si="127"/>
        <v>0</v>
      </c>
      <c r="AW213" s="270">
        <f t="shared" si="128"/>
        <v>0</v>
      </c>
      <c r="AX213" s="270">
        <f t="shared" si="129"/>
        <v>0</v>
      </c>
      <c r="AY213" s="3168">
        <f t="shared" si="130"/>
        <v>0</v>
      </c>
      <c r="AZ213" s="3123">
        <f t="shared" si="131"/>
        <v>0</v>
      </c>
      <c r="BA213" s="3123">
        <f t="shared" si="132"/>
        <v>0</v>
      </c>
      <c r="BB213" s="3123">
        <f t="shared" si="133"/>
        <v>0</v>
      </c>
      <c r="BC213" s="3123">
        <f t="shared" si="134"/>
        <v>0</v>
      </c>
      <c r="BD213" s="3123">
        <f t="shared" si="135"/>
        <v>0</v>
      </c>
      <c r="BE213" s="3123">
        <f t="shared" si="136"/>
        <v>0</v>
      </c>
      <c r="BF213" s="3123">
        <f t="shared" si="137"/>
        <v>0</v>
      </c>
      <c r="BG213" s="3123">
        <f t="shared" si="138"/>
        <v>0</v>
      </c>
      <c r="BH213" s="3123">
        <f t="shared" si="139"/>
        <v>0</v>
      </c>
      <c r="BI213" s="3123">
        <f t="shared" si="140"/>
        <v>0</v>
      </c>
      <c r="BJ213" s="3123">
        <f t="shared" si="141"/>
        <v>0</v>
      </c>
      <c r="BK213" s="3123">
        <f t="shared" si="142"/>
        <v>0</v>
      </c>
      <c r="BL213" s="3123">
        <f t="shared" si="143"/>
        <v>0</v>
      </c>
      <c r="BM213" s="3123">
        <f t="shared" si="144"/>
        <v>0</v>
      </c>
      <c r="BN213" s="3123">
        <f t="shared" si="145"/>
        <v>0</v>
      </c>
      <c r="BO213" s="3123">
        <f t="shared" si="146"/>
        <v>0</v>
      </c>
      <c r="BP213" s="3123">
        <f t="shared" si="147"/>
        <v>0</v>
      </c>
      <c r="BQ213" s="3123">
        <f t="shared" si="148"/>
        <v>0</v>
      </c>
      <c r="BR213" s="3123">
        <f t="shared" si="149"/>
        <v>0</v>
      </c>
      <c r="BS213" s="3123">
        <f t="shared" si="150"/>
        <v>0</v>
      </c>
      <c r="BT213" s="3175">
        <f t="shared" si="151"/>
        <v>0</v>
      </c>
    </row>
    <row r="214" spans="1:72">
      <c r="A214" s="3120"/>
      <c r="B214" s="3121"/>
      <c r="C214" s="3121"/>
      <c r="D214" s="3122"/>
      <c r="E214" s="3123">
        <f t="shared" si="123"/>
        <v>0</v>
      </c>
      <c r="F214" s="3124"/>
      <c r="G214" s="3125">
        <f t="shared" si="124"/>
        <v>0</v>
      </c>
      <c r="H214" s="3126">
        <f t="shared" si="125"/>
        <v>0</v>
      </c>
      <c r="I214" s="3133"/>
      <c r="J214" s="3133"/>
      <c r="K214" s="3133"/>
      <c r="L214" s="3133"/>
      <c r="M214" s="3133"/>
      <c r="N214" s="3133"/>
      <c r="O214" s="3133"/>
      <c r="P214" s="3133"/>
      <c r="Q214" s="3133"/>
      <c r="R214" s="3133"/>
      <c r="S214" s="3133"/>
      <c r="T214" s="3133"/>
      <c r="U214" s="3133"/>
      <c r="V214" s="3133"/>
      <c r="W214" s="3133"/>
      <c r="X214" s="3133"/>
      <c r="Y214" s="3133"/>
      <c r="Z214" s="3133"/>
      <c r="AA214" s="3133"/>
      <c r="AB214" s="3133"/>
      <c r="AC214" s="3123">
        <f t="shared" si="126"/>
        <v>0</v>
      </c>
      <c r="AD214" s="3143"/>
      <c r="AE214" s="3143"/>
      <c r="AF214" s="3143"/>
      <c r="AG214" s="3143"/>
      <c r="AH214" s="3143"/>
      <c r="AI214" s="3143"/>
      <c r="AJ214" s="3143"/>
      <c r="AK214" s="3143"/>
      <c r="AL214" s="3143"/>
      <c r="AM214" s="3143"/>
      <c r="AN214" s="3143"/>
      <c r="AO214" s="3143"/>
      <c r="AP214" s="3143"/>
      <c r="AQ214" s="3143"/>
      <c r="AR214" s="3143"/>
      <c r="AS214" s="3143"/>
      <c r="AT214" s="3153"/>
      <c r="AU214" s="3154"/>
      <c r="AV214" s="270">
        <f t="shared" si="127"/>
        <v>0</v>
      </c>
      <c r="AW214" s="270">
        <f t="shared" si="128"/>
        <v>0</v>
      </c>
      <c r="AX214" s="270">
        <f t="shared" si="129"/>
        <v>0</v>
      </c>
      <c r="AY214" s="3168">
        <f t="shared" si="130"/>
        <v>0</v>
      </c>
      <c r="AZ214" s="3123">
        <f t="shared" si="131"/>
        <v>0</v>
      </c>
      <c r="BA214" s="3123">
        <f t="shared" si="132"/>
        <v>0</v>
      </c>
      <c r="BB214" s="3123">
        <f t="shared" si="133"/>
        <v>0</v>
      </c>
      <c r="BC214" s="3123">
        <f t="shared" si="134"/>
        <v>0</v>
      </c>
      <c r="BD214" s="3123">
        <f t="shared" si="135"/>
        <v>0</v>
      </c>
      <c r="BE214" s="3123">
        <f t="shared" si="136"/>
        <v>0</v>
      </c>
      <c r="BF214" s="3123">
        <f t="shared" si="137"/>
        <v>0</v>
      </c>
      <c r="BG214" s="3123">
        <f t="shared" si="138"/>
        <v>0</v>
      </c>
      <c r="BH214" s="3123">
        <f t="shared" si="139"/>
        <v>0</v>
      </c>
      <c r="BI214" s="3123">
        <f t="shared" si="140"/>
        <v>0</v>
      </c>
      <c r="BJ214" s="3123">
        <f t="shared" si="141"/>
        <v>0</v>
      </c>
      <c r="BK214" s="3123">
        <f t="shared" si="142"/>
        <v>0</v>
      </c>
      <c r="BL214" s="3123">
        <f t="shared" si="143"/>
        <v>0</v>
      </c>
      <c r="BM214" s="3123">
        <f t="shared" si="144"/>
        <v>0</v>
      </c>
      <c r="BN214" s="3123">
        <f t="shared" si="145"/>
        <v>0</v>
      </c>
      <c r="BO214" s="3123">
        <f t="shared" si="146"/>
        <v>0</v>
      </c>
      <c r="BP214" s="3123">
        <f t="shared" si="147"/>
        <v>0</v>
      </c>
      <c r="BQ214" s="3123">
        <f t="shared" si="148"/>
        <v>0</v>
      </c>
      <c r="BR214" s="3123">
        <f t="shared" si="149"/>
        <v>0</v>
      </c>
      <c r="BS214" s="3123">
        <f t="shared" si="150"/>
        <v>0</v>
      </c>
      <c r="BT214" s="3175">
        <f t="shared" si="151"/>
        <v>0</v>
      </c>
    </row>
    <row r="215" spans="1:72">
      <c r="A215" s="3120"/>
      <c r="B215" s="3121"/>
      <c r="C215" s="3121"/>
      <c r="D215" s="3122"/>
      <c r="E215" s="3123">
        <f t="shared" si="123"/>
        <v>0</v>
      </c>
      <c r="F215" s="3124"/>
      <c r="G215" s="3125">
        <f t="shared" si="124"/>
        <v>0</v>
      </c>
      <c r="H215" s="3126">
        <f t="shared" si="125"/>
        <v>0</v>
      </c>
      <c r="I215" s="3133"/>
      <c r="J215" s="3133"/>
      <c r="K215" s="3133"/>
      <c r="L215" s="3133"/>
      <c r="M215" s="3133"/>
      <c r="N215" s="3133"/>
      <c r="O215" s="3133"/>
      <c r="P215" s="3133"/>
      <c r="Q215" s="3133"/>
      <c r="R215" s="3133"/>
      <c r="S215" s="3133"/>
      <c r="T215" s="3133"/>
      <c r="U215" s="3133"/>
      <c r="V215" s="3133"/>
      <c r="W215" s="3133"/>
      <c r="X215" s="3133"/>
      <c r="Y215" s="3133"/>
      <c r="Z215" s="3133"/>
      <c r="AA215" s="3133"/>
      <c r="AB215" s="3133"/>
      <c r="AC215" s="3123">
        <f t="shared" si="126"/>
        <v>0</v>
      </c>
      <c r="AD215" s="3143"/>
      <c r="AE215" s="3143"/>
      <c r="AF215" s="3143"/>
      <c r="AG215" s="3143"/>
      <c r="AH215" s="3143"/>
      <c r="AI215" s="3143"/>
      <c r="AJ215" s="3143"/>
      <c r="AK215" s="3143"/>
      <c r="AL215" s="3143"/>
      <c r="AM215" s="3143"/>
      <c r="AN215" s="3143"/>
      <c r="AO215" s="3143"/>
      <c r="AP215" s="3143"/>
      <c r="AQ215" s="3143"/>
      <c r="AR215" s="3143"/>
      <c r="AS215" s="3143"/>
      <c r="AT215" s="3153"/>
      <c r="AU215" s="3154"/>
      <c r="AV215" s="270">
        <f t="shared" si="127"/>
        <v>0</v>
      </c>
      <c r="AW215" s="270">
        <f t="shared" si="128"/>
        <v>0</v>
      </c>
      <c r="AX215" s="270">
        <f t="shared" si="129"/>
        <v>0</v>
      </c>
      <c r="AY215" s="3168">
        <f t="shared" si="130"/>
        <v>0</v>
      </c>
      <c r="AZ215" s="3123">
        <f t="shared" si="131"/>
        <v>0</v>
      </c>
      <c r="BA215" s="3123">
        <f t="shared" si="132"/>
        <v>0</v>
      </c>
      <c r="BB215" s="3123">
        <f t="shared" si="133"/>
        <v>0</v>
      </c>
      <c r="BC215" s="3123">
        <f t="shared" si="134"/>
        <v>0</v>
      </c>
      <c r="BD215" s="3123">
        <f t="shared" si="135"/>
        <v>0</v>
      </c>
      <c r="BE215" s="3123">
        <f t="shared" si="136"/>
        <v>0</v>
      </c>
      <c r="BF215" s="3123">
        <f t="shared" si="137"/>
        <v>0</v>
      </c>
      <c r="BG215" s="3123">
        <f t="shared" si="138"/>
        <v>0</v>
      </c>
      <c r="BH215" s="3123">
        <f t="shared" si="139"/>
        <v>0</v>
      </c>
      <c r="BI215" s="3123">
        <f t="shared" si="140"/>
        <v>0</v>
      </c>
      <c r="BJ215" s="3123">
        <f t="shared" si="141"/>
        <v>0</v>
      </c>
      <c r="BK215" s="3123">
        <f t="shared" si="142"/>
        <v>0</v>
      </c>
      <c r="BL215" s="3123">
        <f t="shared" si="143"/>
        <v>0</v>
      </c>
      <c r="BM215" s="3123">
        <f t="shared" si="144"/>
        <v>0</v>
      </c>
      <c r="BN215" s="3123">
        <f t="shared" si="145"/>
        <v>0</v>
      </c>
      <c r="BO215" s="3123">
        <f t="shared" si="146"/>
        <v>0</v>
      </c>
      <c r="BP215" s="3123">
        <f t="shared" si="147"/>
        <v>0</v>
      </c>
      <c r="BQ215" s="3123">
        <f t="shared" si="148"/>
        <v>0</v>
      </c>
      <c r="BR215" s="3123">
        <f t="shared" si="149"/>
        <v>0</v>
      </c>
      <c r="BS215" s="3123">
        <f t="shared" si="150"/>
        <v>0</v>
      </c>
      <c r="BT215" s="3175">
        <f t="shared" si="151"/>
        <v>0</v>
      </c>
    </row>
    <row r="216" spans="1:72">
      <c r="A216" s="3120"/>
      <c r="B216" s="3121"/>
      <c r="C216" s="3121"/>
      <c r="D216" s="3122"/>
      <c r="E216" s="3123">
        <f t="shared" si="123"/>
        <v>0</v>
      </c>
      <c r="F216" s="3124"/>
      <c r="G216" s="3125">
        <f t="shared" si="124"/>
        <v>0</v>
      </c>
      <c r="H216" s="3126">
        <f t="shared" si="125"/>
        <v>0</v>
      </c>
      <c r="I216" s="3133"/>
      <c r="J216" s="3133"/>
      <c r="K216" s="3133"/>
      <c r="L216" s="3133"/>
      <c r="M216" s="3133"/>
      <c r="N216" s="3133"/>
      <c r="O216" s="3133"/>
      <c r="P216" s="3133"/>
      <c r="Q216" s="3133"/>
      <c r="R216" s="3133"/>
      <c r="S216" s="3133"/>
      <c r="T216" s="3133"/>
      <c r="U216" s="3133"/>
      <c r="V216" s="3133"/>
      <c r="W216" s="3133"/>
      <c r="X216" s="3133"/>
      <c r="Y216" s="3133"/>
      <c r="Z216" s="3133"/>
      <c r="AA216" s="3133"/>
      <c r="AB216" s="3133"/>
      <c r="AC216" s="3123">
        <f t="shared" si="126"/>
        <v>0</v>
      </c>
      <c r="AD216" s="3143"/>
      <c r="AE216" s="3143"/>
      <c r="AF216" s="3143"/>
      <c r="AG216" s="3143"/>
      <c r="AH216" s="3143"/>
      <c r="AI216" s="3143"/>
      <c r="AJ216" s="3143"/>
      <c r="AK216" s="3143"/>
      <c r="AL216" s="3143"/>
      <c r="AM216" s="3143"/>
      <c r="AN216" s="3143"/>
      <c r="AO216" s="3143"/>
      <c r="AP216" s="3143"/>
      <c r="AQ216" s="3143"/>
      <c r="AR216" s="3143"/>
      <c r="AS216" s="3143"/>
      <c r="AT216" s="3153"/>
      <c r="AU216" s="3154"/>
      <c r="AV216" s="270">
        <f t="shared" si="127"/>
        <v>0</v>
      </c>
      <c r="AW216" s="270">
        <f t="shared" si="128"/>
        <v>0</v>
      </c>
      <c r="AX216" s="270">
        <f t="shared" si="129"/>
        <v>0</v>
      </c>
      <c r="AY216" s="3168">
        <f t="shared" si="130"/>
        <v>0</v>
      </c>
      <c r="AZ216" s="3123">
        <f t="shared" si="131"/>
        <v>0</v>
      </c>
      <c r="BA216" s="3123">
        <f t="shared" si="132"/>
        <v>0</v>
      </c>
      <c r="BB216" s="3123">
        <f t="shared" si="133"/>
        <v>0</v>
      </c>
      <c r="BC216" s="3123">
        <f t="shared" si="134"/>
        <v>0</v>
      </c>
      <c r="BD216" s="3123">
        <f t="shared" si="135"/>
        <v>0</v>
      </c>
      <c r="BE216" s="3123">
        <f t="shared" si="136"/>
        <v>0</v>
      </c>
      <c r="BF216" s="3123">
        <f t="shared" si="137"/>
        <v>0</v>
      </c>
      <c r="BG216" s="3123">
        <f t="shared" si="138"/>
        <v>0</v>
      </c>
      <c r="BH216" s="3123">
        <f t="shared" si="139"/>
        <v>0</v>
      </c>
      <c r="BI216" s="3123">
        <f t="shared" si="140"/>
        <v>0</v>
      </c>
      <c r="BJ216" s="3123">
        <f t="shared" si="141"/>
        <v>0</v>
      </c>
      <c r="BK216" s="3123">
        <f t="shared" si="142"/>
        <v>0</v>
      </c>
      <c r="BL216" s="3123">
        <f t="shared" si="143"/>
        <v>0</v>
      </c>
      <c r="BM216" s="3123">
        <f t="shared" si="144"/>
        <v>0</v>
      </c>
      <c r="BN216" s="3123">
        <f t="shared" si="145"/>
        <v>0</v>
      </c>
      <c r="BO216" s="3123">
        <f t="shared" si="146"/>
        <v>0</v>
      </c>
      <c r="BP216" s="3123">
        <f t="shared" si="147"/>
        <v>0</v>
      </c>
      <c r="BQ216" s="3123">
        <f t="shared" si="148"/>
        <v>0</v>
      </c>
      <c r="BR216" s="3123">
        <f t="shared" si="149"/>
        <v>0</v>
      </c>
      <c r="BS216" s="3123">
        <f t="shared" si="150"/>
        <v>0</v>
      </c>
      <c r="BT216" s="3175">
        <f t="shared" si="151"/>
        <v>0</v>
      </c>
    </row>
    <row r="217" spans="1:72">
      <c r="A217" s="3120"/>
      <c r="B217" s="3121"/>
      <c r="C217" s="3121"/>
      <c r="D217" s="3122"/>
      <c r="E217" s="3123">
        <f t="shared" si="123"/>
        <v>0</v>
      </c>
      <c r="F217" s="3124"/>
      <c r="G217" s="3125">
        <f t="shared" si="124"/>
        <v>0</v>
      </c>
      <c r="H217" s="3126">
        <f t="shared" si="125"/>
        <v>0</v>
      </c>
      <c r="I217" s="3133"/>
      <c r="J217" s="3133"/>
      <c r="K217" s="3133"/>
      <c r="L217" s="3133"/>
      <c r="M217" s="3133"/>
      <c r="N217" s="3133"/>
      <c r="O217" s="3133"/>
      <c r="P217" s="3133"/>
      <c r="Q217" s="3133"/>
      <c r="R217" s="3133"/>
      <c r="S217" s="3133"/>
      <c r="T217" s="3133"/>
      <c r="U217" s="3133"/>
      <c r="V217" s="3133"/>
      <c r="W217" s="3133"/>
      <c r="X217" s="3133"/>
      <c r="Y217" s="3133"/>
      <c r="Z217" s="3133"/>
      <c r="AA217" s="3133"/>
      <c r="AB217" s="3133"/>
      <c r="AC217" s="3123">
        <f t="shared" si="126"/>
        <v>0</v>
      </c>
      <c r="AD217" s="3143"/>
      <c r="AE217" s="3143"/>
      <c r="AF217" s="3143"/>
      <c r="AG217" s="3143"/>
      <c r="AH217" s="3143"/>
      <c r="AI217" s="3143"/>
      <c r="AJ217" s="3143"/>
      <c r="AK217" s="3143"/>
      <c r="AL217" s="3143"/>
      <c r="AM217" s="3143"/>
      <c r="AN217" s="3143"/>
      <c r="AO217" s="3143"/>
      <c r="AP217" s="3143"/>
      <c r="AQ217" s="3143"/>
      <c r="AR217" s="3143"/>
      <c r="AS217" s="3143"/>
      <c r="AT217" s="3153"/>
      <c r="AU217" s="3154"/>
      <c r="AV217" s="270">
        <f t="shared" si="127"/>
        <v>0</v>
      </c>
      <c r="AW217" s="270">
        <f t="shared" si="128"/>
        <v>0</v>
      </c>
      <c r="AX217" s="270">
        <f t="shared" si="129"/>
        <v>0</v>
      </c>
      <c r="AY217" s="3168">
        <f t="shared" si="130"/>
        <v>0</v>
      </c>
      <c r="AZ217" s="3123">
        <f t="shared" si="131"/>
        <v>0</v>
      </c>
      <c r="BA217" s="3123">
        <f t="shared" si="132"/>
        <v>0</v>
      </c>
      <c r="BB217" s="3123">
        <f t="shared" si="133"/>
        <v>0</v>
      </c>
      <c r="BC217" s="3123">
        <f t="shared" si="134"/>
        <v>0</v>
      </c>
      <c r="BD217" s="3123">
        <f t="shared" si="135"/>
        <v>0</v>
      </c>
      <c r="BE217" s="3123">
        <f t="shared" si="136"/>
        <v>0</v>
      </c>
      <c r="BF217" s="3123">
        <f t="shared" si="137"/>
        <v>0</v>
      </c>
      <c r="BG217" s="3123">
        <f t="shared" si="138"/>
        <v>0</v>
      </c>
      <c r="BH217" s="3123">
        <f t="shared" si="139"/>
        <v>0</v>
      </c>
      <c r="BI217" s="3123">
        <f t="shared" si="140"/>
        <v>0</v>
      </c>
      <c r="BJ217" s="3123">
        <f t="shared" si="141"/>
        <v>0</v>
      </c>
      <c r="BK217" s="3123">
        <f t="shared" si="142"/>
        <v>0</v>
      </c>
      <c r="BL217" s="3123">
        <f t="shared" si="143"/>
        <v>0</v>
      </c>
      <c r="BM217" s="3123">
        <f t="shared" si="144"/>
        <v>0</v>
      </c>
      <c r="BN217" s="3123">
        <f t="shared" si="145"/>
        <v>0</v>
      </c>
      <c r="BO217" s="3123">
        <f t="shared" si="146"/>
        <v>0</v>
      </c>
      <c r="BP217" s="3123">
        <f t="shared" si="147"/>
        <v>0</v>
      </c>
      <c r="BQ217" s="3123">
        <f t="shared" si="148"/>
        <v>0</v>
      </c>
      <c r="BR217" s="3123">
        <f t="shared" si="149"/>
        <v>0</v>
      </c>
      <c r="BS217" s="3123">
        <f t="shared" si="150"/>
        <v>0</v>
      </c>
      <c r="BT217" s="3175">
        <f t="shared" si="151"/>
        <v>0</v>
      </c>
    </row>
    <row r="218" spans="1:72">
      <c r="A218" s="3120"/>
      <c r="B218" s="3121"/>
      <c r="C218" s="3121"/>
      <c r="D218" s="3122"/>
      <c r="E218" s="3123">
        <f t="shared" si="123"/>
        <v>0</v>
      </c>
      <c r="F218" s="3124"/>
      <c r="G218" s="3125">
        <f t="shared" si="124"/>
        <v>0</v>
      </c>
      <c r="H218" s="3126">
        <f t="shared" si="125"/>
        <v>0</v>
      </c>
      <c r="I218" s="3133"/>
      <c r="J218" s="3133"/>
      <c r="K218" s="3133"/>
      <c r="L218" s="3133"/>
      <c r="M218" s="3133"/>
      <c r="N218" s="3133"/>
      <c r="O218" s="3133"/>
      <c r="P218" s="3133"/>
      <c r="Q218" s="3133"/>
      <c r="R218" s="3133"/>
      <c r="S218" s="3133"/>
      <c r="T218" s="3133"/>
      <c r="U218" s="3133"/>
      <c r="V218" s="3133"/>
      <c r="W218" s="3133"/>
      <c r="X218" s="3133"/>
      <c r="Y218" s="3133"/>
      <c r="Z218" s="3133"/>
      <c r="AA218" s="3133"/>
      <c r="AB218" s="3133"/>
      <c r="AC218" s="3123">
        <f t="shared" si="126"/>
        <v>0</v>
      </c>
      <c r="AD218" s="3143"/>
      <c r="AE218" s="3143"/>
      <c r="AF218" s="3143"/>
      <c r="AG218" s="3143"/>
      <c r="AH218" s="3143"/>
      <c r="AI218" s="3143"/>
      <c r="AJ218" s="3143"/>
      <c r="AK218" s="3143"/>
      <c r="AL218" s="3143"/>
      <c r="AM218" s="3143"/>
      <c r="AN218" s="3143"/>
      <c r="AO218" s="3143"/>
      <c r="AP218" s="3143"/>
      <c r="AQ218" s="3143"/>
      <c r="AR218" s="3143"/>
      <c r="AS218" s="3143"/>
      <c r="AT218" s="3153"/>
      <c r="AU218" s="3154"/>
      <c r="AV218" s="270">
        <f t="shared" si="127"/>
        <v>0</v>
      </c>
      <c r="AW218" s="270">
        <f t="shared" si="128"/>
        <v>0</v>
      </c>
      <c r="AX218" s="270">
        <f t="shared" si="129"/>
        <v>0</v>
      </c>
      <c r="AY218" s="3168">
        <f t="shared" si="130"/>
        <v>0</v>
      </c>
      <c r="AZ218" s="3123">
        <f t="shared" si="131"/>
        <v>0</v>
      </c>
      <c r="BA218" s="3123">
        <f t="shared" si="132"/>
        <v>0</v>
      </c>
      <c r="BB218" s="3123">
        <f t="shared" si="133"/>
        <v>0</v>
      </c>
      <c r="BC218" s="3123">
        <f t="shared" si="134"/>
        <v>0</v>
      </c>
      <c r="BD218" s="3123">
        <f t="shared" si="135"/>
        <v>0</v>
      </c>
      <c r="BE218" s="3123">
        <f t="shared" si="136"/>
        <v>0</v>
      </c>
      <c r="BF218" s="3123">
        <f t="shared" si="137"/>
        <v>0</v>
      </c>
      <c r="BG218" s="3123">
        <f t="shared" si="138"/>
        <v>0</v>
      </c>
      <c r="BH218" s="3123">
        <f t="shared" si="139"/>
        <v>0</v>
      </c>
      <c r="BI218" s="3123">
        <f t="shared" si="140"/>
        <v>0</v>
      </c>
      <c r="BJ218" s="3123">
        <f t="shared" si="141"/>
        <v>0</v>
      </c>
      <c r="BK218" s="3123">
        <f t="shared" si="142"/>
        <v>0</v>
      </c>
      <c r="BL218" s="3123">
        <f t="shared" si="143"/>
        <v>0</v>
      </c>
      <c r="BM218" s="3123">
        <f t="shared" si="144"/>
        <v>0</v>
      </c>
      <c r="BN218" s="3123">
        <f t="shared" si="145"/>
        <v>0</v>
      </c>
      <c r="BO218" s="3123">
        <f t="shared" si="146"/>
        <v>0</v>
      </c>
      <c r="BP218" s="3123">
        <f t="shared" si="147"/>
        <v>0</v>
      </c>
      <c r="BQ218" s="3123">
        <f t="shared" si="148"/>
        <v>0</v>
      </c>
      <c r="BR218" s="3123">
        <f t="shared" si="149"/>
        <v>0</v>
      </c>
      <c r="BS218" s="3123">
        <f t="shared" si="150"/>
        <v>0</v>
      </c>
      <c r="BT218" s="3175">
        <f t="shared" si="151"/>
        <v>0</v>
      </c>
    </row>
    <row r="219" spans="1:72">
      <c r="A219" s="3120"/>
      <c r="B219" s="3121"/>
      <c r="C219" s="3121"/>
      <c r="D219" s="3122"/>
      <c r="E219" s="3123">
        <f t="shared" si="123"/>
        <v>0</v>
      </c>
      <c r="F219" s="3124"/>
      <c r="G219" s="3125">
        <f t="shared" si="124"/>
        <v>0</v>
      </c>
      <c r="H219" s="3126">
        <f t="shared" si="125"/>
        <v>0</v>
      </c>
      <c r="I219" s="3133"/>
      <c r="J219" s="3133"/>
      <c r="K219" s="3133"/>
      <c r="L219" s="3133"/>
      <c r="M219" s="3133"/>
      <c r="N219" s="3133"/>
      <c r="O219" s="3133"/>
      <c r="P219" s="3133"/>
      <c r="Q219" s="3133"/>
      <c r="R219" s="3133"/>
      <c r="S219" s="3133"/>
      <c r="T219" s="3133"/>
      <c r="U219" s="3133"/>
      <c r="V219" s="3133"/>
      <c r="W219" s="3133"/>
      <c r="X219" s="3133"/>
      <c r="Y219" s="3133"/>
      <c r="Z219" s="3133"/>
      <c r="AA219" s="3133"/>
      <c r="AB219" s="3133"/>
      <c r="AC219" s="3123">
        <f t="shared" si="126"/>
        <v>0</v>
      </c>
      <c r="AD219" s="3143"/>
      <c r="AE219" s="3143"/>
      <c r="AF219" s="3143"/>
      <c r="AG219" s="3143"/>
      <c r="AH219" s="3143"/>
      <c r="AI219" s="3143"/>
      <c r="AJ219" s="3143"/>
      <c r="AK219" s="3143"/>
      <c r="AL219" s="3143"/>
      <c r="AM219" s="3143"/>
      <c r="AN219" s="3143"/>
      <c r="AO219" s="3143"/>
      <c r="AP219" s="3143"/>
      <c r="AQ219" s="3143"/>
      <c r="AR219" s="3143"/>
      <c r="AS219" s="3143"/>
      <c r="AT219" s="3153"/>
      <c r="AU219" s="3154"/>
      <c r="AV219" s="270">
        <f t="shared" si="127"/>
        <v>0</v>
      </c>
      <c r="AW219" s="270">
        <f t="shared" si="128"/>
        <v>0</v>
      </c>
      <c r="AX219" s="270">
        <f t="shared" si="129"/>
        <v>0</v>
      </c>
      <c r="AY219" s="3168">
        <f t="shared" si="130"/>
        <v>0</v>
      </c>
      <c r="AZ219" s="3123">
        <f t="shared" si="131"/>
        <v>0</v>
      </c>
      <c r="BA219" s="3123">
        <f t="shared" si="132"/>
        <v>0</v>
      </c>
      <c r="BB219" s="3123">
        <f t="shared" si="133"/>
        <v>0</v>
      </c>
      <c r="BC219" s="3123">
        <f t="shared" si="134"/>
        <v>0</v>
      </c>
      <c r="BD219" s="3123">
        <f t="shared" si="135"/>
        <v>0</v>
      </c>
      <c r="BE219" s="3123">
        <f t="shared" si="136"/>
        <v>0</v>
      </c>
      <c r="BF219" s="3123">
        <f t="shared" si="137"/>
        <v>0</v>
      </c>
      <c r="BG219" s="3123">
        <f t="shared" si="138"/>
        <v>0</v>
      </c>
      <c r="BH219" s="3123">
        <f t="shared" si="139"/>
        <v>0</v>
      </c>
      <c r="BI219" s="3123">
        <f t="shared" si="140"/>
        <v>0</v>
      </c>
      <c r="BJ219" s="3123">
        <f t="shared" si="141"/>
        <v>0</v>
      </c>
      <c r="BK219" s="3123">
        <f t="shared" si="142"/>
        <v>0</v>
      </c>
      <c r="BL219" s="3123">
        <f t="shared" si="143"/>
        <v>0</v>
      </c>
      <c r="BM219" s="3123">
        <f t="shared" si="144"/>
        <v>0</v>
      </c>
      <c r="BN219" s="3123">
        <f t="shared" si="145"/>
        <v>0</v>
      </c>
      <c r="BO219" s="3123">
        <f t="shared" si="146"/>
        <v>0</v>
      </c>
      <c r="BP219" s="3123">
        <f t="shared" si="147"/>
        <v>0</v>
      </c>
      <c r="BQ219" s="3123">
        <f t="shared" si="148"/>
        <v>0</v>
      </c>
      <c r="BR219" s="3123">
        <f t="shared" si="149"/>
        <v>0</v>
      </c>
      <c r="BS219" s="3123">
        <f t="shared" si="150"/>
        <v>0</v>
      </c>
      <c r="BT219" s="3175">
        <f t="shared" si="151"/>
        <v>0</v>
      </c>
    </row>
    <row r="220" spans="1:72">
      <c r="A220" s="3120"/>
      <c r="B220" s="3121"/>
      <c r="C220" s="3121"/>
      <c r="D220" s="3122"/>
      <c r="E220" s="3123">
        <f t="shared" si="123"/>
        <v>0</v>
      </c>
      <c r="F220" s="3124"/>
      <c r="G220" s="3125">
        <f t="shared" si="124"/>
        <v>0</v>
      </c>
      <c r="H220" s="3126">
        <f t="shared" si="125"/>
        <v>0</v>
      </c>
      <c r="I220" s="3133"/>
      <c r="J220" s="3133"/>
      <c r="K220" s="3133"/>
      <c r="L220" s="3133"/>
      <c r="M220" s="3133"/>
      <c r="N220" s="3133"/>
      <c r="O220" s="3133"/>
      <c r="P220" s="3133"/>
      <c r="Q220" s="3133"/>
      <c r="R220" s="3133"/>
      <c r="S220" s="3133"/>
      <c r="T220" s="3133"/>
      <c r="U220" s="3133"/>
      <c r="V220" s="3133"/>
      <c r="W220" s="3133"/>
      <c r="X220" s="3133"/>
      <c r="Y220" s="3133"/>
      <c r="Z220" s="3133"/>
      <c r="AA220" s="3133"/>
      <c r="AB220" s="3133"/>
      <c r="AC220" s="3123">
        <f t="shared" si="126"/>
        <v>0</v>
      </c>
      <c r="AD220" s="3143"/>
      <c r="AE220" s="3143"/>
      <c r="AF220" s="3143"/>
      <c r="AG220" s="3143"/>
      <c r="AH220" s="3143"/>
      <c r="AI220" s="3143"/>
      <c r="AJ220" s="3143"/>
      <c r="AK220" s="3143"/>
      <c r="AL220" s="3143"/>
      <c r="AM220" s="3143"/>
      <c r="AN220" s="3143"/>
      <c r="AO220" s="3143"/>
      <c r="AP220" s="3143"/>
      <c r="AQ220" s="3143"/>
      <c r="AR220" s="3143"/>
      <c r="AS220" s="3143"/>
      <c r="AT220" s="3153"/>
      <c r="AU220" s="3154"/>
      <c r="AV220" s="270">
        <f t="shared" si="127"/>
        <v>0</v>
      </c>
      <c r="AW220" s="270">
        <f t="shared" si="128"/>
        <v>0</v>
      </c>
      <c r="AX220" s="270">
        <f t="shared" si="129"/>
        <v>0</v>
      </c>
      <c r="AY220" s="3168">
        <f t="shared" si="130"/>
        <v>0</v>
      </c>
      <c r="AZ220" s="3123">
        <f t="shared" si="131"/>
        <v>0</v>
      </c>
      <c r="BA220" s="3123">
        <f t="shared" si="132"/>
        <v>0</v>
      </c>
      <c r="BB220" s="3123">
        <f t="shared" si="133"/>
        <v>0</v>
      </c>
      <c r="BC220" s="3123">
        <f t="shared" si="134"/>
        <v>0</v>
      </c>
      <c r="BD220" s="3123">
        <f t="shared" si="135"/>
        <v>0</v>
      </c>
      <c r="BE220" s="3123">
        <f t="shared" si="136"/>
        <v>0</v>
      </c>
      <c r="BF220" s="3123">
        <f t="shared" si="137"/>
        <v>0</v>
      </c>
      <c r="BG220" s="3123">
        <f t="shared" si="138"/>
        <v>0</v>
      </c>
      <c r="BH220" s="3123">
        <f t="shared" si="139"/>
        <v>0</v>
      </c>
      <c r="BI220" s="3123">
        <f t="shared" si="140"/>
        <v>0</v>
      </c>
      <c r="BJ220" s="3123">
        <f t="shared" si="141"/>
        <v>0</v>
      </c>
      <c r="BK220" s="3123">
        <f t="shared" si="142"/>
        <v>0</v>
      </c>
      <c r="BL220" s="3123">
        <f t="shared" si="143"/>
        <v>0</v>
      </c>
      <c r="BM220" s="3123">
        <f t="shared" si="144"/>
        <v>0</v>
      </c>
      <c r="BN220" s="3123">
        <f t="shared" si="145"/>
        <v>0</v>
      </c>
      <c r="BO220" s="3123">
        <f t="shared" si="146"/>
        <v>0</v>
      </c>
      <c r="BP220" s="3123">
        <f t="shared" si="147"/>
        <v>0</v>
      </c>
      <c r="BQ220" s="3123">
        <f t="shared" si="148"/>
        <v>0</v>
      </c>
      <c r="BR220" s="3123">
        <f t="shared" si="149"/>
        <v>0</v>
      </c>
      <c r="BS220" s="3123">
        <f t="shared" si="150"/>
        <v>0</v>
      </c>
      <c r="BT220" s="3175">
        <f t="shared" si="151"/>
        <v>0</v>
      </c>
    </row>
    <row r="221" spans="1:72">
      <c r="A221" s="3120"/>
      <c r="B221" s="3121"/>
      <c r="C221" s="3121"/>
      <c r="D221" s="3122"/>
      <c r="E221" s="3123">
        <f t="shared" si="123"/>
        <v>0</v>
      </c>
      <c r="F221" s="3124"/>
      <c r="G221" s="3125">
        <f t="shared" si="124"/>
        <v>0</v>
      </c>
      <c r="H221" s="3126">
        <f t="shared" si="125"/>
        <v>0</v>
      </c>
      <c r="I221" s="3133"/>
      <c r="J221" s="3133"/>
      <c r="K221" s="3133"/>
      <c r="L221" s="3133"/>
      <c r="M221" s="3133"/>
      <c r="N221" s="3133"/>
      <c r="O221" s="3133"/>
      <c r="P221" s="3133"/>
      <c r="Q221" s="3133"/>
      <c r="R221" s="3133"/>
      <c r="S221" s="3133"/>
      <c r="T221" s="3133"/>
      <c r="U221" s="3133"/>
      <c r="V221" s="3133"/>
      <c r="W221" s="3133"/>
      <c r="X221" s="3133"/>
      <c r="Y221" s="3133"/>
      <c r="Z221" s="3133"/>
      <c r="AA221" s="3133"/>
      <c r="AB221" s="3133"/>
      <c r="AC221" s="3123">
        <f t="shared" si="126"/>
        <v>0</v>
      </c>
      <c r="AD221" s="3143"/>
      <c r="AE221" s="3143"/>
      <c r="AF221" s="3143"/>
      <c r="AG221" s="3143"/>
      <c r="AH221" s="3143"/>
      <c r="AI221" s="3143"/>
      <c r="AJ221" s="3143"/>
      <c r="AK221" s="3143"/>
      <c r="AL221" s="3143"/>
      <c r="AM221" s="3143"/>
      <c r="AN221" s="3143"/>
      <c r="AO221" s="3143"/>
      <c r="AP221" s="3143"/>
      <c r="AQ221" s="3143"/>
      <c r="AR221" s="3143"/>
      <c r="AS221" s="3143"/>
      <c r="AT221" s="3153"/>
      <c r="AU221" s="3154"/>
      <c r="AV221" s="270">
        <f t="shared" si="127"/>
        <v>0</v>
      </c>
      <c r="AW221" s="270">
        <f t="shared" si="128"/>
        <v>0</v>
      </c>
      <c r="AX221" s="270">
        <f t="shared" si="129"/>
        <v>0</v>
      </c>
      <c r="AY221" s="3168">
        <f t="shared" si="130"/>
        <v>0</v>
      </c>
      <c r="AZ221" s="3123">
        <f t="shared" si="131"/>
        <v>0</v>
      </c>
      <c r="BA221" s="3123">
        <f t="shared" si="132"/>
        <v>0</v>
      </c>
      <c r="BB221" s="3123">
        <f t="shared" si="133"/>
        <v>0</v>
      </c>
      <c r="BC221" s="3123">
        <f t="shared" si="134"/>
        <v>0</v>
      </c>
      <c r="BD221" s="3123">
        <f t="shared" si="135"/>
        <v>0</v>
      </c>
      <c r="BE221" s="3123">
        <f t="shared" si="136"/>
        <v>0</v>
      </c>
      <c r="BF221" s="3123">
        <f t="shared" si="137"/>
        <v>0</v>
      </c>
      <c r="BG221" s="3123">
        <f t="shared" si="138"/>
        <v>0</v>
      </c>
      <c r="BH221" s="3123">
        <f t="shared" si="139"/>
        <v>0</v>
      </c>
      <c r="BI221" s="3123">
        <f t="shared" si="140"/>
        <v>0</v>
      </c>
      <c r="BJ221" s="3123">
        <f t="shared" si="141"/>
        <v>0</v>
      </c>
      <c r="BK221" s="3123">
        <f t="shared" si="142"/>
        <v>0</v>
      </c>
      <c r="BL221" s="3123">
        <f t="shared" si="143"/>
        <v>0</v>
      </c>
      <c r="BM221" s="3123">
        <f t="shared" si="144"/>
        <v>0</v>
      </c>
      <c r="BN221" s="3123">
        <f t="shared" si="145"/>
        <v>0</v>
      </c>
      <c r="BO221" s="3123">
        <f t="shared" si="146"/>
        <v>0</v>
      </c>
      <c r="BP221" s="3123">
        <f t="shared" si="147"/>
        <v>0</v>
      </c>
      <c r="BQ221" s="3123">
        <f t="shared" si="148"/>
        <v>0</v>
      </c>
      <c r="BR221" s="3123">
        <f t="shared" si="149"/>
        <v>0</v>
      </c>
      <c r="BS221" s="3123">
        <f t="shared" si="150"/>
        <v>0</v>
      </c>
      <c r="BT221" s="3175">
        <f t="shared" si="151"/>
        <v>0</v>
      </c>
    </row>
    <row r="222" spans="1:72">
      <c r="A222" s="3120"/>
      <c r="B222" s="3121"/>
      <c r="C222" s="3121"/>
      <c r="D222" s="3122"/>
      <c r="E222" s="3123">
        <f t="shared" si="123"/>
        <v>0</v>
      </c>
      <c r="F222" s="3124"/>
      <c r="G222" s="3125">
        <f t="shared" si="124"/>
        <v>0</v>
      </c>
      <c r="H222" s="3126">
        <f t="shared" si="125"/>
        <v>0</v>
      </c>
      <c r="I222" s="3133"/>
      <c r="J222" s="3133"/>
      <c r="K222" s="3133"/>
      <c r="L222" s="3133"/>
      <c r="M222" s="3133"/>
      <c r="N222" s="3133"/>
      <c r="O222" s="3133"/>
      <c r="P222" s="3133"/>
      <c r="Q222" s="3133"/>
      <c r="R222" s="3133"/>
      <c r="S222" s="3133"/>
      <c r="T222" s="3133"/>
      <c r="U222" s="3133"/>
      <c r="V222" s="3133"/>
      <c r="W222" s="3133"/>
      <c r="X222" s="3133"/>
      <c r="Y222" s="3133"/>
      <c r="Z222" s="3133"/>
      <c r="AA222" s="3133"/>
      <c r="AB222" s="3133"/>
      <c r="AC222" s="3123">
        <f t="shared" si="126"/>
        <v>0</v>
      </c>
      <c r="AD222" s="3143"/>
      <c r="AE222" s="3143"/>
      <c r="AF222" s="3143"/>
      <c r="AG222" s="3143"/>
      <c r="AH222" s="3143"/>
      <c r="AI222" s="3143"/>
      <c r="AJ222" s="3143"/>
      <c r="AK222" s="3143"/>
      <c r="AL222" s="3143"/>
      <c r="AM222" s="3143"/>
      <c r="AN222" s="3143"/>
      <c r="AO222" s="3143"/>
      <c r="AP222" s="3143"/>
      <c r="AQ222" s="3143"/>
      <c r="AR222" s="3143"/>
      <c r="AS222" s="3143"/>
      <c r="AT222" s="3153"/>
      <c r="AU222" s="3154"/>
      <c r="AV222" s="270">
        <f t="shared" si="127"/>
        <v>0</v>
      </c>
      <c r="AW222" s="270">
        <f t="shared" si="128"/>
        <v>0</v>
      </c>
      <c r="AX222" s="270">
        <f t="shared" si="129"/>
        <v>0</v>
      </c>
      <c r="AY222" s="3168">
        <f t="shared" si="130"/>
        <v>0</v>
      </c>
      <c r="AZ222" s="3123">
        <f t="shared" si="131"/>
        <v>0</v>
      </c>
      <c r="BA222" s="3123">
        <f t="shared" si="132"/>
        <v>0</v>
      </c>
      <c r="BB222" s="3123">
        <f t="shared" si="133"/>
        <v>0</v>
      </c>
      <c r="BC222" s="3123">
        <f t="shared" si="134"/>
        <v>0</v>
      </c>
      <c r="BD222" s="3123">
        <f t="shared" si="135"/>
        <v>0</v>
      </c>
      <c r="BE222" s="3123">
        <f t="shared" si="136"/>
        <v>0</v>
      </c>
      <c r="BF222" s="3123">
        <f t="shared" si="137"/>
        <v>0</v>
      </c>
      <c r="BG222" s="3123">
        <f t="shared" si="138"/>
        <v>0</v>
      </c>
      <c r="BH222" s="3123">
        <f t="shared" si="139"/>
        <v>0</v>
      </c>
      <c r="BI222" s="3123">
        <f t="shared" si="140"/>
        <v>0</v>
      </c>
      <c r="BJ222" s="3123">
        <f t="shared" si="141"/>
        <v>0</v>
      </c>
      <c r="BK222" s="3123">
        <f t="shared" si="142"/>
        <v>0</v>
      </c>
      <c r="BL222" s="3123">
        <f t="shared" si="143"/>
        <v>0</v>
      </c>
      <c r="BM222" s="3123">
        <f t="shared" si="144"/>
        <v>0</v>
      </c>
      <c r="BN222" s="3123">
        <f t="shared" si="145"/>
        <v>0</v>
      </c>
      <c r="BO222" s="3123">
        <f t="shared" si="146"/>
        <v>0</v>
      </c>
      <c r="BP222" s="3123">
        <f t="shared" si="147"/>
        <v>0</v>
      </c>
      <c r="BQ222" s="3123">
        <f t="shared" si="148"/>
        <v>0</v>
      </c>
      <c r="BR222" s="3123">
        <f t="shared" si="149"/>
        <v>0</v>
      </c>
      <c r="BS222" s="3123">
        <f t="shared" si="150"/>
        <v>0</v>
      </c>
      <c r="BT222" s="3175">
        <f t="shared" si="151"/>
        <v>0</v>
      </c>
    </row>
    <row r="223" spans="1:72">
      <c r="A223" s="3120"/>
      <c r="B223" s="3121"/>
      <c r="C223" s="3121"/>
      <c r="D223" s="3122"/>
      <c r="E223" s="3123">
        <f t="shared" si="123"/>
        <v>0</v>
      </c>
      <c r="F223" s="3124"/>
      <c r="G223" s="3125">
        <f t="shared" si="124"/>
        <v>0</v>
      </c>
      <c r="H223" s="3126">
        <f t="shared" si="125"/>
        <v>0</v>
      </c>
      <c r="I223" s="3133"/>
      <c r="J223" s="3133"/>
      <c r="K223" s="3133"/>
      <c r="L223" s="3133"/>
      <c r="M223" s="3133"/>
      <c r="N223" s="3133"/>
      <c r="O223" s="3133"/>
      <c r="P223" s="3133"/>
      <c r="Q223" s="3133"/>
      <c r="R223" s="3133"/>
      <c r="S223" s="3133"/>
      <c r="T223" s="3133"/>
      <c r="U223" s="3133"/>
      <c r="V223" s="3133"/>
      <c r="W223" s="3133"/>
      <c r="X223" s="3133"/>
      <c r="Y223" s="3133"/>
      <c r="Z223" s="3133"/>
      <c r="AA223" s="3133"/>
      <c r="AB223" s="3133"/>
      <c r="AC223" s="3123">
        <f t="shared" si="126"/>
        <v>0</v>
      </c>
      <c r="AD223" s="3143"/>
      <c r="AE223" s="3143"/>
      <c r="AF223" s="3143"/>
      <c r="AG223" s="3143"/>
      <c r="AH223" s="3143"/>
      <c r="AI223" s="3143"/>
      <c r="AJ223" s="3143"/>
      <c r="AK223" s="3143"/>
      <c r="AL223" s="3143"/>
      <c r="AM223" s="3143"/>
      <c r="AN223" s="3143"/>
      <c r="AO223" s="3143"/>
      <c r="AP223" s="3143"/>
      <c r="AQ223" s="3143"/>
      <c r="AR223" s="3143"/>
      <c r="AS223" s="3143"/>
      <c r="AT223" s="3153"/>
      <c r="AU223" s="3154"/>
      <c r="AV223" s="270">
        <f t="shared" si="127"/>
        <v>0</v>
      </c>
      <c r="AW223" s="270">
        <f t="shared" si="128"/>
        <v>0</v>
      </c>
      <c r="AX223" s="270">
        <f t="shared" si="129"/>
        <v>0</v>
      </c>
      <c r="AY223" s="3168">
        <f t="shared" si="130"/>
        <v>0</v>
      </c>
      <c r="AZ223" s="3123">
        <f t="shared" si="131"/>
        <v>0</v>
      </c>
      <c r="BA223" s="3123">
        <f t="shared" si="132"/>
        <v>0</v>
      </c>
      <c r="BB223" s="3123">
        <f t="shared" si="133"/>
        <v>0</v>
      </c>
      <c r="BC223" s="3123">
        <f t="shared" si="134"/>
        <v>0</v>
      </c>
      <c r="BD223" s="3123">
        <f t="shared" si="135"/>
        <v>0</v>
      </c>
      <c r="BE223" s="3123">
        <f t="shared" si="136"/>
        <v>0</v>
      </c>
      <c r="BF223" s="3123">
        <f t="shared" si="137"/>
        <v>0</v>
      </c>
      <c r="BG223" s="3123">
        <f t="shared" si="138"/>
        <v>0</v>
      </c>
      <c r="BH223" s="3123">
        <f t="shared" si="139"/>
        <v>0</v>
      </c>
      <c r="BI223" s="3123">
        <f t="shared" si="140"/>
        <v>0</v>
      </c>
      <c r="BJ223" s="3123">
        <f t="shared" si="141"/>
        <v>0</v>
      </c>
      <c r="BK223" s="3123">
        <f t="shared" si="142"/>
        <v>0</v>
      </c>
      <c r="BL223" s="3123">
        <f t="shared" si="143"/>
        <v>0</v>
      </c>
      <c r="BM223" s="3123">
        <f t="shared" si="144"/>
        <v>0</v>
      </c>
      <c r="BN223" s="3123">
        <f t="shared" si="145"/>
        <v>0</v>
      </c>
      <c r="BO223" s="3123">
        <f t="shared" si="146"/>
        <v>0</v>
      </c>
      <c r="BP223" s="3123">
        <f t="shared" si="147"/>
        <v>0</v>
      </c>
      <c r="BQ223" s="3123">
        <f t="shared" si="148"/>
        <v>0</v>
      </c>
      <c r="BR223" s="3123">
        <f t="shared" si="149"/>
        <v>0</v>
      </c>
      <c r="BS223" s="3123">
        <f t="shared" si="150"/>
        <v>0</v>
      </c>
      <c r="BT223" s="3175">
        <f t="shared" si="151"/>
        <v>0</v>
      </c>
    </row>
    <row r="224" spans="1:72">
      <c r="A224" s="3120"/>
      <c r="B224" s="3121"/>
      <c r="C224" s="3121"/>
      <c r="D224" s="3122"/>
      <c r="E224" s="3123">
        <f t="shared" si="123"/>
        <v>0</v>
      </c>
      <c r="F224" s="3124"/>
      <c r="G224" s="3125">
        <f t="shared" si="124"/>
        <v>0</v>
      </c>
      <c r="H224" s="3126">
        <f t="shared" si="125"/>
        <v>0</v>
      </c>
      <c r="I224" s="3133"/>
      <c r="J224" s="3133"/>
      <c r="K224" s="3133"/>
      <c r="L224" s="3133"/>
      <c r="M224" s="3133"/>
      <c r="N224" s="3133"/>
      <c r="O224" s="3133"/>
      <c r="P224" s="3133"/>
      <c r="Q224" s="3133"/>
      <c r="R224" s="3133"/>
      <c r="S224" s="3133"/>
      <c r="T224" s="3133"/>
      <c r="U224" s="3133"/>
      <c r="V224" s="3133"/>
      <c r="W224" s="3133"/>
      <c r="X224" s="3133"/>
      <c r="Y224" s="3133"/>
      <c r="Z224" s="3133"/>
      <c r="AA224" s="3133"/>
      <c r="AB224" s="3133"/>
      <c r="AC224" s="3123">
        <f t="shared" si="126"/>
        <v>0</v>
      </c>
      <c r="AD224" s="3143"/>
      <c r="AE224" s="3143"/>
      <c r="AF224" s="3143"/>
      <c r="AG224" s="3143"/>
      <c r="AH224" s="3143"/>
      <c r="AI224" s="3143"/>
      <c r="AJ224" s="3143"/>
      <c r="AK224" s="3143"/>
      <c r="AL224" s="3143"/>
      <c r="AM224" s="3143"/>
      <c r="AN224" s="3143"/>
      <c r="AO224" s="3143"/>
      <c r="AP224" s="3143"/>
      <c r="AQ224" s="3143"/>
      <c r="AR224" s="3143"/>
      <c r="AS224" s="3143"/>
      <c r="AT224" s="3153"/>
      <c r="AU224" s="3154"/>
      <c r="AV224" s="270">
        <f t="shared" si="127"/>
        <v>0</v>
      </c>
      <c r="AW224" s="270">
        <f t="shared" si="128"/>
        <v>0</v>
      </c>
      <c r="AX224" s="270">
        <f t="shared" si="129"/>
        <v>0</v>
      </c>
      <c r="AY224" s="3168">
        <f t="shared" si="130"/>
        <v>0</v>
      </c>
      <c r="AZ224" s="3123">
        <f t="shared" si="131"/>
        <v>0</v>
      </c>
      <c r="BA224" s="3123">
        <f t="shared" si="132"/>
        <v>0</v>
      </c>
      <c r="BB224" s="3123">
        <f t="shared" si="133"/>
        <v>0</v>
      </c>
      <c r="BC224" s="3123">
        <f t="shared" si="134"/>
        <v>0</v>
      </c>
      <c r="BD224" s="3123">
        <f t="shared" si="135"/>
        <v>0</v>
      </c>
      <c r="BE224" s="3123">
        <f t="shared" si="136"/>
        <v>0</v>
      </c>
      <c r="BF224" s="3123">
        <f t="shared" si="137"/>
        <v>0</v>
      </c>
      <c r="BG224" s="3123">
        <f t="shared" si="138"/>
        <v>0</v>
      </c>
      <c r="BH224" s="3123">
        <f t="shared" si="139"/>
        <v>0</v>
      </c>
      <c r="BI224" s="3123">
        <f t="shared" si="140"/>
        <v>0</v>
      </c>
      <c r="BJ224" s="3123">
        <f t="shared" si="141"/>
        <v>0</v>
      </c>
      <c r="BK224" s="3123">
        <f t="shared" si="142"/>
        <v>0</v>
      </c>
      <c r="BL224" s="3123">
        <f t="shared" si="143"/>
        <v>0</v>
      </c>
      <c r="BM224" s="3123">
        <f t="shared" si="144"/>
        <v>0</v>
      </c>
      <c r="BN224" s="3123">
        <f t="shared" si="145"/>
        <v>0</v>
      </c>
      <c r="BO224" s="3123">
        <f t="shared" si="146"/>
        <v>0</v>
      </c>
      <c r="BP224" s="3123">
        <f t="shared" si="147"/>
        <v>0</v>
      </c>
      <c r="BQ224" s="3123">
        <f t="shared" si="148"/>
        <v>0</v>
      </c>
      <c r="BR224" s="3123">
        <f t="shared" si="149"/>
        <v>0</v>
      </c>
      <c r="BS224" s="3123">
        <f t="shared" si="150"/>
        <v>0</v>
      </c>
      <c r="BT224" s="3175">
        <f t="shared" si="151"/>
        <v>0</v>
      </c>
    </row>
    <row r="225" spans="1:72">
      <c r="A225" s="3120"/>
      <c r="B225" s="3121"/>
      <c r="C225" s="3121"/>
      <c r="D225" s="3122"/>
      <c r="E225" s="3123">
        <f t="shared" si="123"/>
        <v>0</v>
      </c>
      <c r="F225" s="3124"/>
      <c r="G225" s="3125">
        <f t="shared" si="124"/>
        <v>0</v>
      </c>
      <c r="H225" s="3126">
        <f t="shared" si="125"/>
        <v>0</v>
      </c>
      <c r="I225" s="3133"/>
      <c r="J225" s="3133"/>
      <c r="K225" s="3133"/>
      <c r="L225" s="3133"/>
      <c r="M225" s="3133"/>
      <c r="N225" s="3133"/>
      <c r="O225" s="3133"/>
      <c r="P225" s="3133"/>
      <c r="Q225" s="3133"/>
      <c r="R225" s="3133"/>
      <c r="S225" s="3133"/>
      <c r="T225" s="3133"/>
      <c r="U225" s="3133"/>
      <c r="V225" s="3133"/>
      <c r="W225" s="3133"/>
      <c r="X225" s="3133"/>
      <c r="Y225" s="3133"/>
      <c r="Z225" s="3133"/>
      <c r="AA225" s="3133"/>
      <c r="AB225" s="3133"/>
      <c r="AC225" s="3123">
        <f t="shared" si="126"/>
        <v>0</v>
      </c>
      <c r="AD225" s="3143"/>
      <c r="AE225" s="3143"/>
      <c r="AF225" s="3143"/>
      <c r="AG225" s="3143"/>
      <c r="AH225" s="3143"/>
      <c r="AI225" s="3143"/>
      <c r="AJ225" s="3143"/>
      <c r="AK225" s="3143"/>
      <c r="AL225" s="3143"/>
      <c r="AM225" s="3143"/>
      <c r="AN225" s="3143"/>
      <c r="AO225" s="3143"/>
      <c r="AP225" s="3143"/>
      <c r="AQ225" s="3143"/>
      <c r="AR225" s="3143"/>
      <c r="AS225" s="3143"/>
      <c r="AT225" s="3153"/>
      <c r="AU225" s="3154"/>
      <c r="AV225" s="270">
        <f t="shared" si="127"/>
        <v>0</v>
      </c>
      <c r="AW225" s="270">
        <f t="shared" si="128"/>
        <v>0</v>
      </c>
      <c r="AX225" s="270">
        <f t="shared" si="129"/>
        <v>0</v>
      </c>
      <c r="AY225" s="3168">
        <f t="shared" si="130"/>
        <v>0</v>
      </c>
      <c r="AZ225" s="3123">
        <f t="shared" si="131"/>
        <v>0</v>
      </c>
      <c r="BA225" s="3123">
        <f t="shared" si="132"/>
        <v>0</v>
      </c>
      <c r="BB225" s="3123">
        <f t="shared" si="133"/>
        <v>0</v>
      </c>
      <c r="BC225" s="3123">
        <f t="shared" si="134"/>
        <v>0</v>
      </c>
      <c r="BD225" s="3123">
        <f t="shared" si="135"/>
        <v>0</v>
      </c>
      <c r="BE225" s="3123">
        <f t="shared" si="136"/>
        <v>0</v>
      </c>
      <c r="BF225" s="3123">
        <f t="shared" si="137"/>
        <v>0</v>
      </c>
      <c r="BG225" s="3123">
        <f t="shared" si="138"/>
        <v>0</v>
      </c>
      <c r="BH225" s="3123">
        <f t="shared" si="139"/>
        <v>0</v>
      </c>
      <c r="BI225" s="3123">
        <f t="shared" si="140"/>
        <v>0</v>
      </c>
      <c r="BJ225" s="3123">
        <f t="shared" si="141"/>
        <v>0</v>
      </c>
      <c r="BK225" s="3123">
        <f t="shared" si="142"/>
        <v>0</v>
      </c>
      <c r="BL225" s="3123">
        <f t="shared" si="143"/>
        <v>0</v>
      </c>
      <c r="BM225" s="3123">
        <f t="shared" si="144"/>
        <v>0</v>
      </c>
      <c r="BN225" s="3123">
        <f t="shared" si="145"/>
        <v>0</v>
      </c>
      <c r="BO225" s="3123">
        <f t="shared" si="146"/>
        <v>0</v>
      </c>
      <c r="BP225" s="3123">
        <f t="shared" si="147"/>
        <v>0</v>
      </c>
      <c r="BQ225" s="3123">
        <f t="shared" si="148"/>
        <v>0</v>
      </c>
      <c r="BR225" s="3123">
        <f t="shared" si="149"/>
        <v>0</v>
      </c>
      <c r="BS225" s="3123">
        <f t="shared" si="150"/>
        <v>0</v>
      </c>
      <c r="BT225" s="3175">
        <f t="shared" si="151"/>
        <v>0</v>
      </c>
    </row>
    <row r="226" spans="1:72">
      <c r="A226" s="3120"/>
      <c r="B226" s="3121"/>
      <c r="C226" s="3121"/>
      <c r="D226" s="3122"/>
      <c r="E226" s="3123">
        <f t="shared" si="123"/>
        <v>0</v>
      </c>
      <c r="F226" s="3124"/>
      <c r="G226" s="3125">
        <f t="shared" si="124"/>
        <v>0</v>
      </c>
      <c r="H226" s="3126">
        <f t="shared" si="125"/>
        <v>0</v>
      </c>
      <c r="I226" s="3133"/>
      <c r="J226" s="3133"/>
      <c r="K226" s="3133"/>
      <c r="L226" s="3133"/>
      <c r="M226" s="3133"/>
      <c r="N226" s="3133"/>
      <c r="O226" s="3133"/>
      <c r="P226" s="3133"/>
      <c r="Q226" s="3133"/>
      <c r="R226" s="3133"/>
      <c r="S226" s="3133"/>
      <c r="T226" s="3133"/>
      <c r="U226" s="3133"/>
      <c r="V226" s="3133"/>
      <c r="W226" s="3133"/>
      <c r="X226" s="3133"/>
      <c r="Y226" s="3133"/>
      <c r="Z226" s="3133"/>
      <c r="AA226" s="3133"/>
      <c r="AB226" s="3133"/>
      <c r="AC226" s="3123">
        <f t="shared" si="126"/>
        <v>0</v>
      </c>
      <c r="AD226" s="3143"/>
      <c r="AE226" s="3143"/>
      <c r="AF226" s="3143"/>
      <c r="AG226" s="3143"/>
      <c r="AH226" s="3143"/>
      <c r="AI226" s="3143"/>
      <c r="AJ226" s="3143"/>
      <c r="AK226" s="3143"/>
      <c r="AL226" s="3143"/>
      <c r="AM226" s="3143"/>
      <c r="AN226" s="3143"/>
      <c r="AO226" s="3143"/>
      <c r="AP226" s="3143"/>
      <c r="AQ226" s="3143"/>
      <c r="AR226" s="3143"/>
      <c r="AS226" s="3143"/>
      <c r="AT226" s="3153"/>
      <c r="AU226" s="3154"/>
      <c r="AV226" s="270">
        <f t="shared" si="127"/>
        <v>0</v>
      </c>
      <c r="AW226" s="270">
        <f t="shared" si="128"/>
        <v>0</v>
      </c>
      <c r="AX226" s="270">
        <f t="shared" si="129"/>
        <v>0</v>
      </c>
      <c r="AY226" s="3168">
        <f t="shared" si="130"/>
        <v>0</v>
      </c>
      <c r="AZ226" s="3123">
        <f t="shared" si="131"/>
        <v>0</v>
      </c>
      <c r="BA226" s="3123">
        <f t="shared" si="132"/>
        <v>0</v>
      </c>
      <c r="BB226" s="3123">
        <f t="shared" si="133"/>
        <v>0</v>
      </c>
      <c r="BC226" s="3123">
        <f t="shared" si="134"/>
        <v>0</v>
      </c>
      <c r="BD226" s="3123">
        <f t="shared" si="135"/>
        <v>0</v>
      </c>
      <c r="BE226" s="3123">
        <f t="shared" si="136"/>
        <v>0</v>
      </c>
      <c r="BF226" s="3123">
        <f t="shared" si="137"/>
        <v>0</v>
      </c>
      <c r="BG226" s="3123">
        <f t="shared" si="138"/>
        <v>0</v>
      </c>
      <c r="BH226" s="3123">
        <f t="shared" si="139"/>
        <v>0</v>
      </c>
      <c r="BI226" s="3123">
        <f t="shared" si="140"/>
        <v>0</v>
      </c>
      <c r="BJ226" s="3123">
        <f t="shared" si="141"/>
        <v>0</v>
      </c>
      <c r="BK226" s="3123">
        <f t="shared" si="142"/>
        <v>0</v>
      </c>
      <c r="BL226" s="3123">
        <f t="shared" si="143"/>
        <v>0</v>
      </c>
      <c r="BM226" s="3123">
        <f t="shared" si="144"/>
        <v>0</v>
      </c>
      <c r="BN226" s="3123">
        <f t="shared" si="145"/>
        <v>0</v>
      </c>
      <c r="BO226" s="3123">
        <f t="shared" si="146"/>
        <v>0</v>
      </c>
      <c r="BP226" s="3123">
        <f t="shared" si="147"/>
        <v>0</v>
      </c>
      <c r="BQ226" s="3123">
        <f t="shared" si="148"/>
        <v>0</v>
      </c>
      <c r="BR226" s="3123">
        <f t="shared" si="149"/>
        <v>0</v>
      </c>
      <c r="BS226" s="3123">
        <f t="shared" si="150"/>
        <v>0</v>
      </c>
      <c r="BT226" s="3175">
        <f t="shared" si="151"/>
        <v>0</v>
      </c>
    </row>
    <row r="227" spans="1:72">
      <c r="A227" s="3120"/>
      <c r="B227" s="3121"/>
      <c r="C227" s="3121"/>
      <c r="D227" s="3122"/>
      <c r="E227" s="3123">
        <f t="shared" si="123"/>
        <v>0</v>
      </c>
      <c r="F227" s="3124"/>
      <c r="G227" s="3125">
        <f t="shared" si="124"/>
        <v>0</v>
      </c>
      <c r="H227" s="3126">
        <f t="shared" si="125"/>
        <v>0</v>
      </c>
      <c r="I227" s="3133"/>
      <c r="J227" s="3133"/>
      <c r="K227" s="3133"/>
      <c r="L227" s="3133"/>
      <c r="M227" s="3133"/>
      <c r="N227" s="3133"/>
      <c r="O227" s="3133"/>
      <c r="P227" s="3133"/>
      <c r="Q227" s="3133"/>
      <c r="R227" s="3133"/>
      <c r="S227" s="3133"/>
      <c r="T227" s="3133"/>
      <c r="U227" s="3133"/>
      <c r="V227" s="3133"/>
      <c r="W227" s="3133"/>
      <c r="X227" s="3133"/>
      <c r="Y227" s="3133"/>
      <c r="Z227" s="3133"/>
      <c r="AA227" s="3133"/>
      <c r="AB227" s="3133"/>
      <c r="AC227" s="3123">
        <f t="shared" si="126"/>
        <v>0</v>
      </c>
      <c r="AD227" s="3143"/>
      <c r="AE227" s="3143"/>
      <c r="AF227" s="3143"/>
      <c r="AG227" s="3143"/>
      <c r="AH227" s="3143"/>
      <c r="AI227" s="3143"/>
      <c r="AJ227" s="3143"/>
      <c r="AK227" s="3143"/>
      <c r="AL227" s="3143"/>
      <c r="AM227" s="3143"/>
      <c r="AN227" s="3143"/>
      <c r="AO227" s="3143"/>
      <c r="AP227" s="3143"/>
      <c r="AQ227" s="3143"/>
      <c r="AR227" s="3143"/>
      <c r="AS227" s="3143"/>
      <c r="AT227" s="3153"/>
      <c r="AU227" s="3154"/>
      <c r="AV227" s="270">
        <f t="shared" si="127"/>
        <v>0</v>
      </c>
      <c r="AW227" s="270">
        <f t="shared" si="128"/>
        <v>0</v>
      </c>
      <c r="AX227" s="270">
        <f t="shared" si="129"/>
        <v>0</v>
      </c>
      <c r="AY227" s="3168">
        <f t="shared" si="130"/>
        <v>0</v>
      </c>
      <c r="AZ227" s="3123">
        <f t="shared" si="131"/>
        <v>0</v>
      </c>
      <c r="BA227" s="3123">
        <f t="shared" si="132"/>
        <v>0</v>
      </c>
      <c r="BB227" s="3123">
        <f t="shared" si="133"/>
        <v>0</v>
      </c>
      <c r="BC227" s="3123">
        <f t="shared" si="134"/>
        <v>0</v>
      </c>
      <c r="BD227" s="3123">
        <f t="shared" si="135"/>
        <v>0</v>
      </c>
      <c r="BE227" s="3123">
        <f t="shared" si="136"/>
        <v>0</v>
      </c>
      <c r="BF227" s="3123">
        <f t="shared" si="137"/>
        <v>0</v>
      </c>
      <c r="BG227" s="3123">
        <f t="shared" si="138"/>
        <v>0</v>
      </c>
      <c r="BH227" s="3123">
        <f t="shared" si="139"/>
        <v>0</v>
      </c>
      <c r="BI227" s="3123">
        <f t="shared" si="140"/>
        <v>0</v>
      </c>
      <c r="BJ227" s="3123">
        <f t="shared" si="141"/>
        <v>0</v>
      </c>
      <c r="BK227" s="3123">
        <f t="shared" si="142"/>
        <v>0</v>
      </c>
      <c r="BL227" s="3123">
        <f t="shared" si="143"/>
        <v>0</v>
      </c>
      <c r="BM227" s="3123">
        <f t="shared" si="144"/>
        <v>0</v>
      </c>
      <c r="BN227" s="3123">
        <f t="shared" si="145"/>
        <v>0</v>
      </c>
      <c r="BO227" s="3123">
        <f t="shared" si="146"/>
        <v>0</v>
      </c>
      <c r="BP227" s="3123">
        <f t="shared" si="147"/>
        <v>0</v>
      </c>
      <c r="BQ227" s="3123">
        <f t="shared" si="148"/>
        <v>0</v>
      </c>
      <c r="BR227" s="3123">
        <f t="shared" si="149"/>
        <v>0</v>
      </c>
      <c r="BS227" s="3123">
        <f t="shared" si="150"/>
        <v>0</v>
      </c>
      <c r="BT227" s="3175">
        <f t="shared" si="151"/>
        <v>0</v>
      </c>
    </row>
    <row r="228" spans="1:72">
      <c r="A228" s="3120"/>
      <c r="B228" s="3121"/>
      <c r="C228" s="3121"/>
      <c r="D228" s="3122"/>
      <c r="E228" s="3123">
        <f t="shared" si="123"/>
        <v>0</v>
      </c>
      <c r="F228" s="3124"/>
      <c r="G228" s="3125">
        <f t="shared" si="124"/>
        <v>0</v>
      </c>
      <c r="H228" s="3126">
        <f t="shared" si="125"/>
        <v>0</v>
      </c>
      <c r="I228" s="3133"/>
      <c r="J228" s="3133"/>
      <c r="K228" s="3133"/>
      <c r="L228" s="3133"/>
      <c r="M228" s="3133"/>
      <c r="N228" s="3133"/>
      <c r="O228" s="3133"/>
      <c r="P228" s="3133"/>
      <c r="Q228" s="3133"/>
      <c r="R228" s="3133"/>
      <c r="S228" s="3133"/>
      <c r="T228" s="3133"/>
      <c r="U228" s="3133"/>
      <c r="V228" s="3133"/>
      <c r="W228" s="3133"/>
      <c r="X228" s="3133"/>
      <c r="Y228" s="3133"/>
      <c r="Z228" s="3133"/>
      <c r="AA228" s="3133"/>
      <c r="AB228" s="3133"/>
      <c r="AC228" s="3123">
        <f t="shared" si="126"/>
        <v>0</v>
      </c>
      <c r="AD228" s="3143"/>
      <c r="AE228" s="3143"/>
      <c r="AF228" s="3143"/>
      <c r="AG228" s="3143"/>
      <c r="AH228" s="3143"/>
      <c r="AI228" s="3143"/>
      <c r="AJ228" s="3143"/>
      <c r="AK228" s="3143"/>
      <c r="AL228" s="3143"/>
      <c r="AM228" s="3143"/>
      <c r="AN228" s="3143"/>
      <c r="AO228" s="3143"/>
      <c r="AP228" s="3143"/>
      <c r="AQ228" s="3143"/>
      <c r="AR228" s="3143"/>
      <c r="AS228" s="3143"/>
      <c r="AT228" s="3153"/>
      <c r="AU228" s="3154"/>
      <c r="AV228" s="270">
        <f t="shared" si="127"/>
        <v>0</v>
      </c>
      <c r="AW228" s="270">
        <f t="shared" si="128"/>
        <v>0</v>
      </c>
      <c r="AX228" s="270">
        <f t="shared" si="129"/>
        <v>0</v>
      </c>
      <c r="AY228" s="3168">
        <f t="shared" si="130"/>
        <v>0</v>
      </c>
      <c r="AZ228" s="3123">
        <f t="shared" si="131"/>
        <v>0</v>
      </c>
      <c r="BA228" s="3123">
        <f t="shared" si="132"/>
        <v>0</v>
      </c>
      <c r="BB228" s="3123">
        <f t="shared" si="133"/>
        <v>0</v>
      </c>
      <c r="BC228" s="3123">
        <f t="shared" si="134"/>
        <v>0</v>
      </c>
      <c r="BD228" s="3123">
        <f t="shared" si="135"/>
        <v>0</v>
      </c>
      <c r="BE228" s="3123">
        <f t="shared" si="136"/>
        <v>0</v>
      </c>
      <c r="BF228" s="3123">
        <f t="shared" si="137"/>
        <v>0</v>
      </c>
      <c r="BG228" s="3123">
        <f t="shared" si="138"/>
        <v>0</v>
      </c>
      <c r="BH228" s="3123">
        <f t="shared" si="139"/>
        <v>0</v>
      </c>
      <c r="BI228" s="3123">
        <f t="shared" si="140"/>
        <v>0</v>
      </c>
      <c r="BJ228" s="3123">
        <f t="shared" si="141"/>
        <v>0</v>
      </c>
      <c r="BK228" s="3123">
        <f t="shared" si="142"/>
        <v>0</v>
      </c>
      <c r="BL228" s="3123">
        <f t="shared" si="143"/>
        <v>0</v>
      </c>
      <c r="BM228" s="3123">
        <f t="shared" si="144"/>
        <v>0</v>
      </c>
      <c r="BN228" s="3123">
        <f t="shared" si="145"/>
        <v>0</v>
      </c>
      <c r="BO228" s="3123">
        <f t="shared" si="146"/>
        <v>0</v>
      </c>
      <c r="BP228" s="3123">
        <f t="shared" si="147"/>
        <v>0</v>
      </c>
      <c r="BQ228" s="3123">
        <f t="shared" si="148"/>
        <v>0</v>
      </c>
      <c r="BR228" s="3123">
        <f t="shared" si="149"/>
        <v>0</v>
      </c>
      <c r="BS228" s="3123">
        <f t="shared" si="150"/>
        <v>0</v>
      </c>
      <c r="BT228" s="3175">
        <f t="shared" si="151"/>
        <v>0</v>
      </c>
    </row>
    <row r="229" spans="1:72">
      <c r="A229" s="3120"/>
      <c r="B229" s="3121"/>
      <c r="C229" s="3121"/>
      <c r="D229" s="3122"/>
      <c r="E229" s="3123">
        <f t="shared" si="123"/>
        <v>0</v>
      </c>
      <c r="F229" s="3124"/>
      <c r="G229" s="3125">
        <f t="shared" si="124"/>
        <v>0</v>
      </c>
      <c r="H229" s="3126">
        <f t="shared" si="125"/>
        <v>0</v>
      </c>
      <c r="I229" s="3133"/>
      <c r="J229" s="3133"/>
      <c r="K229" s="3133"/>
      <c r="L229" s="3133"/>
      <c r="M229" s="3133"/>
      <c r="N229" s="3133"/>
      <c r="O229" s="3133"/>
      <c r="P229" s="3133"/>
      <c r="Q229" s="3133"/>
      <c r="R229" s="3133"/>
      <c r="S229" s="3133"/>
      <c r="T229" s="3133"/>
      <c r="U229" s="3133"/>
      <c r="V229" s="3133"/>
      <c r="W229" s="3133"/>
      <c r="X229" s="3133"/>
      <c r="Y229" s="3133"/>
      <c r="Z229" s="3133"/>
      <c r="AA229" s="3133"/>
      <c r="AB229" s="3133"/>
      <c r="AC229" s="3123">
        <f t="shared" si="126"/>
        <v>0</v>
      </c>
      <c r="AD229" s="3143"/>
      <c r="AE229" s="3143"/>
      <c r="AF229" s="3143"/>
      <c r="AG229" s="3143"/>
      <c r="AH229" s="3143"/>
      <c r="AI229" s="3143"/>
      <c r="AJ229" s="3143"/>
      <c r="AK229" s="3143"/>
      <c r="AL229" s="3143"/>
      <c r="AM229" s="3143"/>
      <c r="AN229" s="3143"/>
      <c r="AO229" s="3143"/>
      <c r="AP229" s="3143"/>
      <c r="AQ229" s="3143"/>
      <c r="AR229" s="3143"/>
      <c r="AS229" s="3143"/>
      <c r="AT229" s="3153"/>
      <c r="AU229" s="3154"/>
      <c r="AV229" s="270">
        <f t="shared" si="127"/>
        <v>0</v>
      </c>
      <c r="AW229" s="270">
        <f t="shared" si="128"/>
        <v>0</v>
      </c>
      <c r="AX229" s="270">
        <f t="shared" si="129"/>
        <v>0</v>
      </c>
      <c r="AY229" s="3168">
        <f t="shared" si="130"/>
        <v>0</v>
      </c>
      <c r="AZ229" s="3123">
        <f t="shared" si="131"/>
        <v>0</v>
      </c>
      <c r="BA229" s="3123">
        <f t="shared" si="132"/>
        <v>0</v>
      </c>
      <c r="BB229" s="3123">
        <f t="shared" si="133"/>
        <v>0</v>
      </c>
      <c r="BC229" s="3123">
        <f t="shared" si="134"/>
        <v>0</v>
      </c>
      <c r="BD229" s="3123">
        <f t="shared" si="135"/>
        <v>0</v>
      </c>
      <c r="BE229" s="3123">
        <f t="shared" si="136"/>
        <v>0</v>
      </c>
      <c r="BF229" s="3123">
        <f t="shared" si="137"/>
        <v>0</v>
      </c>
      <c r="BG229" s="3123">
        <f t="shared" si="138"/>
        <v>0</v>
      </c>
      <c r="BH229" s="3123">
        <f t="shared" si="139"/>
        <v>0</v>
      </c>
      <c r="BI229" s="3123">
        <f t="shared" si="140"/>
        <v>0</v>
      </c>
      <c r="BJ229" s="3123">
        <f t="shared" si="141"/>
        <v>0</v>
      </c>
      <c r="BK229" s="3123">
        <f t="shared" si="142"/>
        <v>0</v>
      </c>
      <c r="BL229" s="3123">
        <f t="shared" si="143"/>
        <v>0</v>
      </c>
      <c r="BM229" s="3123">
        <f t="shared" si="144"/>
        <v>0</v>
      </c>
      <c r="BN229" s="3123">
        <f t="shared" si="145"/>
        <v>0</v>
      </c>
      <c r="BO229" s="3123">
        <f t="shared" si="146"/>
        <v>0</v>
      </c>
      <c r="BP229" s="3123">
        <f t="shared" si="147"/>
        <v>0</v>
      </c>
      <c r="BQ229" s="3123">
        <f t="shared" si="148"/>
        <v>0</v>
      </c>
      <c r="BR229" s="3123">
        <f t="shared" si="149"/>
        <v>0</v>
      </c>
      <c r="BS229" s="3123">
        <f t="shared" si="150"/>
        <v>0</v>
      </c>
      <c r="BT229" s="3175">
        <f t="shared" si="151"/>
        <v>0</v>
      </c>
    </row>
    <row r="230" spans="1:72">
      <c r="A230" s="3120"/>
      <c r="B230" s="3121"/>
      <c r="C230" s="3121"/>
      <c r="D230" s="3122"/>
      <c r="E230" s="3123">
        <f t="shared" si="123"/>
        <v>0</v>
      </c>
      <c r="F230" s="3124"/>
      <c r="G230" s="3125">
        <f t="shared" si="124"/>
        <v>0</v>
      </c>
      <c r="H230" s="3126">
        <f t="shared" si="125"/>
        <v>0</v>
      </c>
      <c r="I230" s="3133"/>
      <c r="J230" s="3133"/>
      <c r="K230" s="3133"/>
      <c r="L230" s="3133"/>
      <c r="M230" s="3133"/>
      <c r="N230" s="3133"/>
      <c r="O230" s="3133"/>
      <c r="P230" s="3133"/>
      <c r="Q230" s="3133"/>
      <c r="R230" s="3133"/>
      <c r="S230" s="3133"/>
      <c r="T230" s="3133"/>
      <c r="U230" s="3133"/>
      <c r="V230" s="3133"/>
      <c r="W230" s="3133"/>
      <c r="X230" s="3133"/>
      <c r="Y230" s="3133"/>
      <c r="Z230" s="3133"/>
      <c r="AA230" s="3133"/>
      <c r="AB230" s="3133"/>
      <c r="AC230" s="3123">
        <f t="shared" si="126"/>
        <v>0</v>
      </c>
      <c r="AD230" s="3143"/>
      <c r="AE230" s="3143"/>
      <c r="AF230" s="3143"/>
      <c r="AG230" s="3143"/>
      <c r="AH230" s="3143"/>
      <c r="AI230" s="3143"/>
      <c r="AJ230" s="3143"/>
      <c r="AK230" s="3143"/>
      <c r="AL230" s="3143"/>
      <c r="AM230" s="3143"/>
      <c r="AN230" s="3143"/>
      <c r="AO230" s="3143"/>
      <c r="AP230" s="3143"/>
      <c r="AQ230" s="3143"/>
      <c r="AR230" s="3143"/>
      <c r="AS230" s="3143"/>
      <c r="AT230" s="3153"/>
      <c r="AU230" s="3154"/>
      <c r="AV230" s="270">
        <f t="shared" si="127"/>
        <v>0</v>
      </c>
      <c r="AW230" s="270">
        <f t="shared" si="128"/>
        <v>0</v>
      </c>
      <c r="AX230" s="270">
        <f t="shared" si="129"/>
        <v>0</v>
      </c>
      <c r="AY230" s="3168">
        <f t="shared" si="130"/>
        <v>0</v>
      </c>
      <c r="AZ230" s="3123">
        <f t="shared" si="131"/>
        <v>0</v>
      </c>
      <c r="BA230" s="3123">
        <f t="shared" si="132"/>
        <v>0</v>
      </c>
      <c r="BB230" s="3123">
        <f t="shared" si="133"/>
        <v>0</v>
      </c>
      <c r="BC230" s="3123">
        <f t="shared" si="134"/>
        <v>0</v>
      </c>
      <c r="BD230" s="3123">
        <f t="shared" si="135"/>
        <v>0</v>
      </c>
      <c r="BE230" s="3123">
        <f t="shared" si="136"/>
        <v>0</v>
      </c>
      <c r="BF230" s="3123">
        <f t="shared" si="137"/>
        <v>0</v>
      </c>
      <c r="BG230" s="3123">
        <f t="shared" si="138"/>
        <v>0</v>
      </c>
      <c r="BH230" s="3123">
        <f t="shared" si="139"/>
        <v>0</v>
      </c>
      <c r="BI230" s="3123">
        <f t="shared" si="140"/>
        <v>0</v>
      </c>
      <c r="BJ230" s="3123">
        <f t="shared" si="141"/>
        <v>0</v>
      </c>
      <c r="BK230" s="3123">
        <f t="shared" si="142"/>
        <v>0</v>
      </c>
      <c r="BL230" s="3123">
        <f t="shared" si="143"/>
        <v>0</v>
      </c>
      <c r="BM230" s="3123">
        <f t="shared" si="144"/>
        <v>0</v>
      </c>
      <c r="BN230" s="3123">
        <f t="shared" si="145"/>
        <v>0</v>
      </c>
      <c r="BO230" s="3123">
        <f t="shared" si="146"/>
        <v>0</v>
      </c>
      <c r="BP230" s="3123">
        <f t="shared" si="147"/>
        <v>0</v>
      </c>
      <c r="BQ230" s="3123">
        <f t="shared" si="148"/>
        <v>0</v>
      </c>
      <c r="BR230" s="3123">
        <f t="shared" si="149"/>
        <v>0</v>
      </c>
      <c r="BS230" s="3123">
        <f t="shared" si="150"/>
        <v>0</v>
      </c>
      <c r="BT230" s="3175">
        <f t="shared" si="151"/>
        <v>0</v>
      </c>
    </row>
    <row r="231" spans="1:72">
      <c r="A231" s="3120"/>
      <c r="B231" s="3121"/>
      <c r="C231" s="3121"/>
      <c r="D231" s="3122"/>
      <c r="E231" s="3123">
        <f t="shared" si="123"/>
        <v>0</v>
      </c>
      <c r="F231" s="3124"/>
      <c r="G231" s="3125">
        <f t="shared" si="124"/>
        <v>0</v>
      </c>
      <c r="H231" s="3126">
        <f t="shared" si="125"/>
        <v>0</v>
      </c>
      <c r="I231" s="3133"/>
      <c r="J231" s="3133"/>
      <c r="K231" s="3133"/>
      <c r="L231" s="3133"/>
      <c r="M231" s="3133"/>
      <c r="N231" s="3133"/>
      <c r="O231" s="3133"/>
      <c r="P231" s="3133"/>
      <c r="Q231" s="3133"/>
      <c r="R231" s="3133"/>
      <c r="S231" s="3133"/>
      <c r="T231" s="3133"/>
      <c r="U231" s="3133"/>
      <c r="V231" s="3133"/>
      <c r="W231" s="3133"/>
      <c r="X231" s="3133"/>
      <c r="Y231" s="3133"/>
      <c r="Z231" s="3133"/>
      <c r="AA231" s="3133"/>
      <c r="AB231" s="3133"/>
      <c r="AC231" s="3123">
        <f t="shared" si="126"/>
        <v>0</v>
      </c>
      <c r="AD231" s="3143"/>
      <c r="AE231" s="3143"/>
      <c r="AF231" s="3143"/>
      <c r="AG231" s="3143"/>
      <c r="AH231" s="3143"/>
      <c r="AI231" s="3143"/>
      <c r="AJ231" s="3143"/>
      <c r="AK231" s="3143"/>
      <c r="AL231" s="3143"/>
      <c r="AM231" s="3143"/>
      <c r="AN231" s="3143"/>
      <c r="AO231" s="3143"/>
      <c r="AP231" s="3143"/>
      <c r="AQ231" s="3143"/>
      <c r="AR231" s="3143"/>
      <c r="AS231" s="3143"/>
      <c r="AT231" s="3153"/>
      <c r="AU231" s="3154"/>
      <c r="AV231" s="270">
        <f t="shared" si="127"/>
        <v>0</v>
      </c>
      <c r="AW231" s="270">
        <f t="shared" si="128"/>
        <v>0</v>
      </c>
      <c r="AX231" s="270">
        <f t="shared" si="129"/>
        <v>0</v>
      </c>
      <c r="AY231" s="3168">
        <f t="shared" si="130"/>
        <v>0</v>
      </c>
      <c r="AZ231" s="3123">
        <f t="shared" si="131"/>
        <v>0</v>
      </c>
      <c r="BA231" s="3123">
        <f t="shared" si="132"/>
        <v>0</v>
      </c>
      <c r="BB231" s="3123">
        <f t="shared" si="133"/>
        <v>0</v>
      </c>
      <c r="BC231" s="3123">
        <f t="shared" si="134"/>
        <v>0</v>
      </c>
      <c r="BD231" s="3123">
        <f t="shared" si="135"/>
        <v>0</v>
      </c>
      <c r="BE231" s="3123">
        <f t="shared" si="136"/>
        <v>0</v>
      </c>
      <c r="BF231" s="3123">
        <f t="shared" si="137"/>
        <v>0</v>
      </c>
      <c r="BG231" s="3123">
        <f t="shared" si="138"/>
        <v>0</v>
      </c>
      <c r="BH231" s="3123">
        <f t="shared" si="139"/>
        <v>0</v>
      </c>
      <c r="BI231" s="3123">
        <f t="shared" si="140"/>
        <v>0</v>
      </c>
      <c r="BJ231" s="3123">
        <f t="shared" si="141"/>
        <v>0</v>
      </c>
      <c r="BK231" s="3123">
        <f t="shared" si="142"/>
        <v>0</v>
      </c>
      <c r="BL231" s="3123">
        <f t="shared" si="143"/>
        <v>0</v>
      </c>
      <c r="BM231" s="3123">
        <f t="shared" si="144"/>
        <v>0</v>
      </c>
      <c r="BN231" s="3123">
        <f t="shared" si="145"/>
        <v>0</v>
      </c>
      <c r="BO231" s="3123">
        <f t="shared" si="146"/>
        <v>0</v>
      </c>
      <c r="BP231" s="3123">
        <f t="shared" si="147"/>
        <v>0</v>
      </c>
      <c r="BQ231" s="3123">
        <f t="shared" si="148"/>
        <v>0</v>
      </c>
      <c r="BR231" s="3123">
        <f t="shared" si="149"/>
        <v>0</v>
      </c>
      <c r="BS231" s="3123">
        <f t="shared" si="150"/>
        <v>0</v>
      </c>
      <c r="BT231" s="3175">
        <f t="shared" si="151"/>
        <v>0</v>
      </c>
    </row>
    <row r="232" spans="1:72">
      <c r="A232" s="3120"/>
      <c r="B232" s="3121"/>
      <c r="C232" s="3121"/>
      <c r="D232" s="3122"/>
      <c r="E232" s="3123">
        <f t="shared" si="123"/>
        <v>0</v>
      </c>
      <c r="F232" s="3124"/>
      <c r="G232" s="3125">
        <f t="shared" si="124"/>
        <v>0</v>
      </c>
      <c r="H232" s="3126">
        <f t="shared" si="125"/>
        <v>0</v>
      </c>
      <c r="I232" s="3133"/>
      <c r="J232" s="3133"/>
      <c r="K232" s="3133"/>
      <c r="L232" s="3133"/>
      <c r="M232" s="3133"/>
      <c r="N232" s="3133"/>
      <c r="O232" s="3133"/>
      <c r="P232" s="3133"/>
      <c r="Q232" s="3133"/>
      <c r="R232" s="3133"/>
      <c r="S232" s="3133"/>
      <c r="T232" s="3133"/>
      <c r="U232" s="3133"/>
      <c r="V232" s="3133"/>
      <c r="W232" s="3133"/>
      <c r="X232" s="3133"/>
      <c r="Y232" s="3133"/>
      <c r="Z232" s="3133"/>
      <c r="AA232" s="3133"/>
      <c r="AB232" s="3133"/>
      <c r="AC232" s="3123">
        <f t="shared" si="126"/>
        <v>0</v>
      </c>
      <c r="AD232" s="3143"/>
      <c r="AE232" s="3143"/>
      <c r="AF232" s="3143"/>
      <c r="AG232" s="3143"/>
      <c r="AH232" s="3143"/>
      <c r="AI232" s="3143"/>
      <c r="AJ232" s="3143"/>
      <c r="AK232" s="3143"/>
      <c r="AL232" s="3143"/>
      <c r="AM232" s="3143"/>
      <c r="AN232" s="3143"/>
      <c r="AO232" s="3143"/>
      <c r="AP232" s="3143"/>
      <c r="AQ232" s="3143"/>
      <c r="AR232" s="3143"/>
      <c r="AS232" s="3143"/>
      <c r="AT232" s="3153"/>
      <c r="AU232" s="3154"/>
      <c r="AV232" s="270">
        <f t="shared" si="127"/>
        <v>0</v>
      </c>
      <c r="AW232" s="270">
        <f t="shared" si="128"/>
        <v>0</v>
      </c>
      <c r="AX232" s="270">
        <f t="shared" si="129"/>
        <v>0</v>
      </c>
      <c r="AY232" s="3168">
        <f t="shared" si="130"/>
        <v>0</v>
      </c>
      <c r="AZ232" s="3123">
        <f t="shared" si="131"/>
        <v>0</v>
      </c>
      <c r="BA232" s="3123">
        <f t="shared" si="132"/>
        <v>0</v>
      </c>
      <c r="BB232" s="3123">
        <f t="shared" si="133"/>
        <v>0</v>
      </c>
      <c r="BC232" s="3123">
        <f t="shared" si="134"/>
        <v>0</v>
      </c>
      <c r="BD232" s="3123">
        <f t="shared" si="135"/>
        <v>0</v>
      </c>
      <c r="BE232" s="3123">
        <f t="shared" si="136"/>
        <v>0</v>
      </c>
      <c r="BF232" s="3123">
        <f t="shared" si="137"/>
        <v>0</v>
      </c>
      <c r="BG232" s="3123">
        <f t="shared" si="138"/>
        <v>0</v>
      </c>
      <c r="BH232" s="3123">
        <f t="shared" si="139"/>
        <v>0</v>
      </c>
      <c r="BI232" s="3123">
        <f t="shared" si="140"/>
        <v>0</v>
      </c>
      <c r="BJ232" s="3123">
        <f t="shared" si="141"/>
        <v>0</v>
      </c>
      <c r="BK232" s="3123">
        <f t="shared" si="142"/>
        <v>0</v>
      </c>
      <c r="BL232" s="3123">
        <f t="shared" si="143"/>
        <v>0</v>
      </c>
      <c r="BM232" s="3123">
        <f t="shared" si="144"/>
        <v>0</v>
      </c>
      <c r="BN232" s="3123">
        <f t="shared" si="145"/>
        <v>0</v>
      </c>
      <c r="BO232" s="3123">
        <f t="shared" si="146"/>
        <v>0</v>
      </c>
      <c r="BP232" s="3123">
        <f t="shared" si="147"/>
        <v>0</v>
      </c>
      <c r="BQ232" s="3123">
        <f t="shared" si="148"/>
        <v>0</v>
      </c>
      <c r="BR232" s="3123">
        <f t="shared" si="149"/>
        <v>0</v>
      </c>
      <c r="BS232" s="3123">
        <f t="shared" si="150"/>
        <v>0</v>
      </c>
      <c r="BT232" s="3175">
        <f t="shared" si="151"/>
        <v>0</v>
      </c>
    </row>
    <row r="233" spans="1:72">
      <c r="A233" s="3120"/>
      <c r="B233" s="3121"/>
      <c r="C233" s="3121"/>
      <c r="D233" s="3122"/>
      <c r="E233" s="3123">
        <f t="shared" si="123"/>
        <v>0</v>
      </c>
      <c r="F233" s="3124"/>
      <c r="G233" s="3125">
        <f t="shared" si="124"/>
        <v>0</v>
      </c>
      <c r="H233" s="3126">
        <f t="shared" si="125"/>
        <v>0</v>
      </c>
      <c r="I233" s="3133"/>
      <c r="J233" s="3133"/>
      <c r="K233" s="3133"/>
      <c r="L233" s="3133"/>
      <c r="M233" s="3133"/>
      <c r="N233" s="3133"/>
      <c r="O233" s="3133"/>
      <c r="P233" s="3133"/>
      <c r="Q233" s="3133"/>
      <c r="R233" s="3133"/>
      <c r="S233" s="3133"/>
      <c r="T233" s="3133"/>
      <c r="U233" s="3133"/>
      <c r="V233" s="3133"/>
      <c r="W233" s="3133"/>
      <c r="X233" s="3133"/>
      <c r="Y233" s="3133"/>
      <c r="Z233" s="3133"/>
      <c r="AA233" s="3133"/>
      <c r="AB233" s="3133"/>
      <c r="AC233" s="3123">
        <f t="shared" si="126"/>
        <v>0</v>
      </c>
      <c r="AD233" s="3143"/>
      <c r="AE233" s="3143"/>
      <c r="AF233" s="3143"/>
      <c r="AG233" s="3143"/>
      <c r="AH233" s="3143"/>
      <c r="AI233" s="3143"/>
      <c r="AJ233" s="3143"/>
      <c r="AK233" s="3143"/>
      <c r="AL233" s="3143"/>
      <c r="AM233" s="3143"/>
      <c r="AN233" s="3143"/>
      <c r="AO233" s="3143"/>
      <c r="AP233" s="3143"/>
      <c r="AQ233" s="3143"/>
      <c r="AR233" s="3143"/>
      <c r="AS233" s="3143"/>
      <c r="AT233" s="3153"/>
      <c r="AU233" s="3154"/>
      <c r="AV233" s="270">
        <f t="shared" si="127"/>
        <v>0</v>
      </c>
      <c r="AW233" s="270">
        <f t="shared" si="128"/>
        <v>0</v>
      </c>
      <c r="AX233" s="270">
        <f t="shared" si="129"/>
        <v>0</v>
      </c>
      <c r="AY233" s="3168">
        <f t="shared" si="130"/>
        <v>0</v>
      </c>
      <c r="AZ233" s="3123">
        <f t="shared" si="131"/>
        <v>0</v>
      </c>
      <c r="BA233" s="3123">
        <f t="shared" si="132"/>
        <v>0</v>
      </c>
      <c r="BB233" s="3123">
        <f t="shared" si="133"/>
        <v>0</v>
      </c>
      <c r="BC233" s="3123">
        <f t="shared" si="134"/>
        <v>0</v>
      </c>
      <c r="BD233" s="3123">
        <f t="shared" si="135"/>
        <v>0</v>
      </c>
      <c r="BE233" s="3123">
        <f t="shared" si="136"/>
        <v>0</v>
      </c>
      <c r="BF233" s="3123">
        <f t="shared" si="137"/>
        <v>0</v>
      </c>
      <c r="BG233" s="3123">
        <f t="shared" si="138"/>
        <v>0</v>
      </c>
      <c r="BH233" s="3123">
        <f t="shared" si="139"/>
        <v>0</v>
      </c>
      <c r="BI233" s="3123">
        <f t="shared" si="140"/>
        <v>0</v>
      </c>
      <c r="BJ233" s="3123">
        <f t="shared" si="141"/>
        <v>0</v>
      </c>
      <c r="BK233" s="3123">
        <f t="shared" si="142"/>
        <v>0</v>
      </c>
      <c r="BL233" s="3123">
        <f t="shared" si="143"/>
        <v>0</v>
      </c>
      <c r="BM233" s="3123">
        <f t="shared" si="144"/>
        <v>0</v>
      </c>
      <c r="BN233" s="3123">
        <f t="shared" si="145"/>
        <v>0</v>
      </c>
      <c r="BO233" s="3123">
        <f t="shared" si="146"/>
        <v>0</v>
      </c>
      <c r="BP233" s="3123">
        <f t="shared" si="147"/>
        <v>0</v>
      </c>
      <c r="BQ233" s="3123">
        <f t="shared" si="148"/>
        <v>0</v>
      </c>
      <c r="BR233" s="3123">
        <f t="shared" si="149"/>
        <v>0</v>
      </c>
      <c r="BS233" s="3123">
        <f t="shared" si="150"/>
        <v>0</v>
      </c>
      <c r="BT233" s="3175">
        <f t="shared" si="151"/>
        <v>0</v>
      </c>
    </row>
    <row r="234" spans="1:72">
      <c r="A234" s="3120"/>
      <c r="B234" s="3121"/>
      <c r="C234" s="3121"/>
      <c r="D234" s="3122"/>
      <c r="E234" s="3123">
        <f t="shared" si="123"/>
        <v>0</v>
      </c>
      <c r="F234" s="3124"/>
      <c r="G234" s="3125">
        <f t="shared" si="124"/>
        <v>0</v>
      </c>
      <c r="H234" s="3126">
        <f t="shared" si="125"/>
        <v>0</v>
      </c>
      <c r="I234" s="3133"/>
      <c r="J234" s="3133"/>
      <c r="K234" s="3133"/>
      <c r="L234" s="3133"/>
      <c r="M234" s="3133"/>
      <c r="N234" s="3133"/>
      <c r="O234" s="3133"/>
      <c r="P234" s="3133"/>
      <c r="Q234" s="3133"/>
      <c r="R234" s="3133"/>
      <c r="S234" s="3133"/>
      <c r="T234" s="3133"/>
      <c r="U234" s="3133"/>
      <c r="V234" s="3133"/>
      <c r="W234" s="3133"/>
      <c r="X234" s="3133"/>
      <c r="Y234" s="3133"/>
      <c r="Z234" s="3133"/>
      <c r="AA234" s="3133"/>
      <c r="AB234" s="3133"/>
      <c r="AC234" s="3123">
        <f t="shared" si="126"/>
        <v>0</v>
      </c>
      <c r="AD234" s="3143"/>
      <c r="AE234" s="3143"/>
      <c r="AF234" s="3143"/>
      <c r="AG234" s="3143"/>
      <c r="AH234" s="3143"/>
      <c r="AI234" s="3143"/>
      <c r="AJ234" s="3143"/>
      <c r="AK234" s="3143"/>
      <c r="AL234" s="3143"/>
      <c r="AM234" s="3143"/>
      <c r="AN234" s="3143"/>
      <c r="AO234" s="3143"/>
      <c r="AP234" s="3143"/>
      <c r="AQ234" s="3143"/>
      <c r="AR234" s="3143"/>
      <c r="AS234" s="3143"/>
      <c r="AT234" s="3153"/>
      <c r="AU234" s="3154"/>
      <c r="AV234" s="270">
        <f t="shared" si="127"/>
        <v>0</v>
      </c>
      <c r="AW234" s="270">
        <f t="shared" si="128"/>
        <v>0</v>
      </c>
      <c r="AX234" s="270">
        <f t="shared" si="129"/>
        <v>0</v>
      </c>
      <c r="AY234" s="3168">
        <f t="shared" si="130"/>
        <v>0</v>
      </c>
      <c r="AZ234" s="3123">
        <f t="shared" si="131"/>
        <v>0</v>
      </c>
      <c r="BA234" s="3123">
        <f t="shared" si="132"/>
        <v>0</v>
      </c>
      <c r="BB234" s="3123">
        <f t="shared" si="133"/>
        <v>0</v>
      </c>
      <c r="BC234" s="3123">
        <f t="shared" si="134"/>
        <v>0</v>
      </c>
      <c r="BD234" s="3123">
        <f t="shared" si="135"/>
        <v>0</v>
      </c>
      <c r="BE234" s="3123">
        <f t="shared" si="136"/>
        <v>0</v>
      </c>
      <c r="BF234" s="3123">
        <f t="shared" si="137"/>
        <v>0</v>
      </c>
      <c r="BG234" s="3123">
        <f t="shared" si="138"/>
        <v>0</v>
      </c>
      <c r="BH234" s="3123">
        <f t="shared" si="139"/>
        <v>0</v>
      </c>
      <c r="BI234" s="3123">
        <f t="shared" si="140"/>
        <v>0</v>
      </c>
      <c r="BJ234" s="3123">
        <f t="shared" si="141"/>
        <v>0</v>
      </c>
      <c r="BK234" s="3123">
        <f t="shared" si="142"/>
        <v>0</v>
      </c>
      <c r="BL234" s="3123">
        <f t="shared" si="143"/>
        <v>0</v>
      </c>
      <c r="BM234" s="3123">
        <f t="shared" si="144"/>
        <v>0</v>
      </c>
      <c r="BN234" s="3123">
        <f t="shared" si="145"/>
        <v>0</v>
      </c>
      <c r="BO234" s="3123">
        <f t="shared" si="146"/>
        <v>0</v>
      </c>
      <c r="BP234" s="3123">
        <f t="shared" si="147"/>
        <v>0</v>
      </c>
      <c r="BQ234" s="3123">
        <f t="shared" si="148"/>
        <v>0</v>
      </c>
      <c r="BR234" s="3123">
        <f t="shared" si="149"/>
        <v>0</v>
      </c>
      <c r="BS234" s="3123">
        <f t="shared" si="150"/>
        <v>0</v>
      </c>
      <c r="BT234" s="3175">
        <f t="shared" si="151"/>
        <v>0</v>
      </c>
    </row>
    <row r="235" spans="1:72">
      <c r="A235" s="3120"/>
      <c r="B235" s="3121"/>
      <c r="C235" s="3121"/>
      <c r="D235" s="3122"/>
      <c r="E235" s="3123">
        <f t="shared" si="123"/>
        <v>0</v>
      </c>
      <c r="F235" s="3124"/>
      <c r="G235" s="3125">
        <f t="shared" si="124"/>
        <v>0</v>
      </c>
      <c r="H235" s="3126">
        <f t="shared" si="125"/>
        <v>0</v>
      </c>
      <c r="I235" s="3133"/>
      <c r="J235" s="3133"/>
      <c r="K235" s="3133"/>
      <c r="L235" s="3133"/>
      <c r="M235" s="3133"/>
      <c r="N235" s="3133"/>
      <c r="O235" s="3133"/>
      <c r="P235" s="3133"/>
      <c r="Q235" s="3133"/>
      <c r="R235" s="3133"/>
      <c r="S235" s="3133"/>
      <c r="T235" s="3133"/>
      <c r="U235" s="3133"/>
      <c r="V235" s="3133"/>
      <c r="W235" s="3133"/>
      <c r="X235" s="3133"/>
      <c r="Y235" s="3133"/>
      <c r="Z235" s="3133"/>
      <c r="AA235" s="3133"/>
      <c r="AB235" s="3133"/>
      <c r="AC235" s="3123">
        <f t="shared" si="126"/>
        <v>0</v>
      </c>
      <c r="AD235" s="3143"/>
      <c r="AE235" s="3143"/>
      <c r="AF235" s="3143"/>
      <c r="AG235" s="3143"/>
      <c r="AH235" s="3143"/>
      <c r="AI235" s="3143"/>
      <c r="AJ235" s="3143"/>
      <c r="AK235" s="3143"/>
      <c r="AL235" s="3143"/>
      <c r="AM235" s="3143"/>
      <c r="AN235" s="3143"/>
      <c r="AO235" s="3143"/>
      <c r="AP235" s="3143"/>
      <c r="AQ235" s="3143"/>
      <c r="AR235" s="3143"/>
      <c r="AS235" s="3143"/>
      <c r="AT235" s="3153"/>
      <c r="AU235" s="3154"/>
      <c r="AV235" s="270">
        <f t="shared" si="127"/>
        <v>0</v>
      </c>
      <c r="AW235" s="270">
        <f t="shared" si="128"/>
        <v>0</v>
      </c>
      <c r="AX235" s="270">
        <f t="shared" si="129"/>
        <v>0</v>
      </c>
      <c r="AY235" s="3168">
        <f t="shared" si="130"/>
        <v>0</v>
      </c>
      <c r="AZ235" s="3123">
        <f t="shared" si="131"/>
        <v>0</v>
      </c>
      <c r="BA235" s="3123">
        <f t="shared" si="132"/>
        <v>0</v>
      </c>
      <c r="BB235" s="3123">
        <f t="shared" si="133"/>
        <v>0</v>
      </c>
      <c r="BC235" s="3123">
        <f t="shared" si="134"/>
        <v>0</v>
      </c>
      <c r="BD235" s="3123">
        <f t="shared" si="135"/>
        <v>0</v>
      </c>
      <c r="BE235" s="3123">
        <f t="shared" si="136"/>
        <v>0</v>
      </c>
      <c r="BF235" s="3123">
        <f t="shared" si="137"/>
        <v>0</v>
      </c>
      <c r="BG235" s="3123">
        <f t="shared" si="138"/>
        <v>0</v>
      </c>
      <c r="BH235" s="3123">
        <f t="shared" si="139"/>
        <v>0</v>
      </c>
      <c r="BI235" s="3123">
        <f t="shared" si="140"/>
        <v>0</v>
      </c>
      <c r="BJ235" s="3123">
        <f t="shared" si="141"/>
        <v>0</v>
      </c>
      <c r="BK235" s="3123">
        <f t="shared" si="142"/>
        <v>0</v>
      </c>
      <c r="BL235" s="3123">
        <f t="shared" si="143"/>
        <v>0</v>
      </c>
      <c r="BM235" s="3123">
        <f t="shared" si="144"/>
        <v>0</v>
      </c>
      <c r="BN235" s="3123">
        <f t="shared" si="145"/>
        <v>0</v>
      </c>
      <c r="BO235" s="3123">
        <f t="shared" si="146"/>
        <v>0</v>
      </c>
      <c r="BP235" s="3123">
        <f t="shared" si="147"/>
        <v>0</v>
      </c>
      <c r="BQ235" s="3123">
        <f t="shared" si="148"/>
        <v>0</v>
      </c>
      <c r="BR235" s="3123">
        <f t="shared" si="149"/>
        <v>0</v>
      </c>
      <c r="BS235" s="3123">
        <f t="shared" si="150"/>
        <v>0</v>
      </c>
      <c r="BT235" s="3175">
        <f t="shared" si="151"/>
        <v>0</v>
      </c>
    </row>
    <row r="236" spans="1:72">
      <c r="A236" s="3120"/>
      <c r="B236" s="3121"/>
      <c r="C236" s="3121"/>
      <c r="D236" s="3122"/>
      <c r="E236" s="3123">
        <f t="shared" si="123"/>
        <v>0</v>
      </c>
      <c r="F236" s="3124"/>
      <c r="G236" s="3125">
        <f t="shared" si="124"/>
        <v>0</v>
      </c>
      <c r="H236" s="3126">
        <f t="shared" si="125"/>
        <v>0</v>
      </c>
      <c r="I236" s="3133"/>
      <c r="J236" s="3133"/>
      <c r="K236" s="3133"/>
      <c r="L236" s="3133"/>
      <c r="M236" s="3133"/>
      <c r="N236" s="3133"/>
      <c r="O236" s="3133"/>
      <c r="P236" s="3133"/>
      <c r="Q236" s="3133"/>
      <c r="R236" s="3133"/>
      <c r="S236" s="3133"/>
      <c r="T236" s="3133"/>
      <c r="U236" s="3133"/>
      <c r="V236" s="3133"/>
      <c r="W236" s="3133"/>
      <c r="X236" s="3133"/>
      <c r="Y236" s="3133"/>
      <c r="Z236" s="3133"/>
      <c r="AA236" s="3133"/>
      <c r="AB236" s="3133"/>
      <c r="AC236" s="3123">
        <f t="shared" si="126"/>
        <v>0</v>
      </c>
      <c r="AD236" s="3143"/>
      <c r="AE236" s="3143"/>
      <c r="AF236" s="3143"/>
      <c r="AG236" s="3143"/>
      <c r="AH236" s="3143"/>
      <c r="AI236" s="3143"/>
      <c r="AJ236" s="3143"/>
      <c r="AK236" s="3143"/>
      <c r="AL236" s="3143"/>
      <c r="AM236" s="3143"/>
      <c r="AN236" s="3143"/>
      <c r="AO236" s="3143"/>
      <c r="AP236" s="3143"/>
      <c r="AQ236" s="3143"/>
      <c r="AR236" s="3143"/>
      <c r="AS236" s="3143"/>
      <c r="AT236" s="3153"/>
      <c r="AU236" s="3154"/>
      <c r="AV236" s="270">
        <f t="shared" si="127"/>
        <v>0</v>
      </c>
      <c r="AW236" s="270">
        <f t="shared" si="128"/>
        <v>0</v>
      </c>
      <c r="AX236" s="270">
        <f t="shared" si="129"/>
        <v>0</v>
      </c>
      <c r="AY236" s="3168">
        <f t="shared" si="130"/>
        <v>0</v>
      </c>
      <c r="AZ236" s="3123">
        <f t="shared" si="131"/>
        <v>0</v>
      </c>
      <c r="BA236" s="3123">
        <f t="shared" si="132"/>
        <v>0</v>
      </c>
      <c r="BB236" s="3123">
        <f t="shared" si="133"/>
        <v>0</v>
      </c>
      <c r="BC236" s="3123">
        <f t="shared" si="134"/>
        <v>0</v>
      </c>
      <c r="BD236" s="3123">
        <f t="shared" si="135"/>
        <v>0</v>
      </c>
      <c r="BE236" s="3123">
        <f t="shared" si="136"/>
        <v>0</v>
      </c>
      <c r="BF236" s="3123">
        <f t="shared" si="137"/>
        <v>0</v>
      </c>
      <c r="BG236" s="3123">
        <f t="shared" si="138"/>
        <v>0</v>
      </c>
      <c r="BH236" s="3123">
        <f t="shared" si="139"/>
        <v>0</v>
      </c>
      <c r="BI236" s="3123">
        <f t="shared" si="140"/>
        <v>0</v>
      </c>
      <c r="BJ236" s="3123">
        <f t="shared" si="141"/>
        <v>0</v>
      </c>
      <c r="BK236" s="3123">
        <f t="shared" si="142"/>
        <v>0</v>
      </c>
      <c r="BL236" s="3123">
        <f t="shared" si="143"/>
        <v>0</v>
      </c>
      <c r="BM236" s="3123">
        <f t="shared" si="144"/>
        <v>0</v>
      </c>
      <c r="BN236" s="3123">
        <f t="shared" si="145"/>
        <v>0</v>
      </c>
      <c r="BO236" s="3123">
        <f t="shared" si="146"/>
        <v>0</v>
      </c>
      <c r="BP236" s="3123">
        <f t="shared" si="147"/>
        <v>0</v>
      </c>
      <c r="BQ236" s="3123">
        <f t="shared" si="148"/>
        <v>0</v>
      </c>
      <c r="BR236" s="3123">
        <f t="shared" si="149"/>
        <v>0</v>
      </c>
      <c r="BS236" s="3123">
        <f t="shared" si="150"/>
        <v>0</v>
      </c>
      <c r="BT236" s="3175">
        <f t="shared" si="151"/>
        <v>0</v>
      </c>
    </row>
    <row r="237" spans="1:72">
      <c r="A237" s="3120"/>
      <c r="B237" s="3121"/>
      <c r="C237" s="3121"/>
      <c r="D237" s="3122"/>
      <c r="E237" s="3123">
        <f t="shared" si="123"/>
        <v>0</v>
      </c>
      <c r="F237" s="3124"/>
      <c r="G237" s="3125">
        <f t="shared" si="124"/>
        <v>0</v>
      </c>
      <c r="H237" s="3126">
        <f t="shared" si="125"/>
        <v>0</v>
      </c>
      <c r="I237" s="3133"/>
      <c r="J237" s="3133"/>
      <c r="K237" s="3133"/>
      <c r="L237" s="3133"/>
      <c r="M237" s="3133"/>
      <c r="N237" s="3133"/>
      <c r="O237" s="3133"/>
      <c r="P237" s="3133"/>
      <c r="Q237" s="3133"/>
      <c r="R237" s="3133"/>
      <c r="S237" s="3133"/>
      <c r="T237" s="3133"/>
      <c r="U237" s="3133"/>
      <c r="V237" s="3133"/>
      <c r="W237" s="3133"/>
      <c r="X237" s="3133"/>
      <c r="Y237" s="3133"/>
      <c r="Z237" s="3133"/>
      <c r="AA237" s="3133"/>
      <c r="AB237" s="3133"/>
      <c r="AC237" s="3123">
        <f t="shared" si="126"/>
        <v>0</v>
      </c>
      <c r="AD237" s="3143"/>
      <c r="AE237" s="3143"/>
      <c r="AF237" s="3143"/>
      <c r="AG237" s="3143"/>
      <c r="AH237" s="3143"/>
      <c r="AI237" s="3143"/>
      <c r="AJ237" s="3143"/>
      <c r="AK237" s="3143"/>
      <c r="AL237" s="3143"/>
      <c r="AM237" s="3143"/>
      <c r="AN237" s="3143"/>
      <c r="AO237" s="3143"/>
      <c r="AP237" s="3143"/>
      <c r="AQ237" s="3143"/>
      <c r="AR237" s="3143"/>
      <c r="AS237" s="3143"/>
      <c r="AT237" s="3153"/>
      <c r="AU237" s="3154"/>
      <c r="AV237" s="270">
        <f t="shared" si="127"/>
        <v>0</v>
      </c>
      <c r="AW237" s="270">
        <f t="shared" si="128"/>
        <v>0</v>
      </c>
      <c r="AX237" s="270">
        <f t="shared" si="129"/>
        <v>0</v>
      </c>
      <c r="AY237" s="3168">
        <f t="shared" si="130"/>
        <v>0</v>
      </c>
      <c r="AZ237" s="3123">
        <f t="shared" si="131"/>
        <v>0</v>
      </c>
      <c r="BA237" s="3123">
        <f t="shared" si="132"/>
        <v>0</v>
      </c>
      <c r="BB237" s="3123">
        <f t="shared" si="133"/>
        <v>0</v>
      </c>
      <c r="BC237" s="3123">
        <f t="shared" si="134"/>
        <v>0</v>
      </c>
      <c r="BD237" s="3123">
        <f t="shared" si="135"/>
        <v>0</v>
      </c>
      <c r="BE237" s="3123">
        <f t="shared" si="136"/>
        <v>0</v>
      </c>
      <c r="BF237" s="3123">
        <f t="shared" si="137"/>
        <v>0</v>
      </c>
      <c r="BG237" s="3123">
        <f t="shared" si="138"/>
        <v>0</v>
      </c>
      <c r="BH237" s="3123">
        <f t="shared" si="139"/>
        <v>0</v>
      </c>
      <c r="BI237" s="3123">
        <f t="shared" si="140"/>
        <v>0</v>
      </c>
      <c r="BJ237" s="3123">
        <f t="shared" si="141"/>
        <v>0</v>
      </c>
      <c r="BK237" s="3123">
        <f t="shared" si="142"/>
        <v>0</v>
      </c>
      <c r="BL237" s="3123">
        <f t="shared" si="143"/>
        <v>0</v>
      </c>
      <c r="BM237" s="3123">
        <f t="shared" si="144"/>
        <v>0</v>
      </c>
      <c r="BN237" s="3123">
        <f t="shared" si="145"/>
        <v>0</v>
      </c>
      <c r="BO237" s="3123">
        <f t="shared" si="146"/>
        <v>0</v>
      </c>
      <c r="BP237" s="3123">
        <f t="shared" si="147"/>
        <v>0</v>
      </c>
      <c r="BQ237" s="3123">
        <f t="shared" si="148"/>
        <v>0</v>
      </c>
      <c r="BR237" s="3123">
        <f t="shared" si="149"/>
        <v>0</v>
      </c>
      <c r="BS237" s="3123">
        <f t="shared" si="150"/>
        <v>0</v>
      </c>
      <c r="BT237" s="3175">
        <f t="shared" si="151"/>
        <v>0</v>
      </c>
    </row>
    <row r="238" spans="1:72">
      <c r="A238" s="3120"/>
      <c r="B238" s="3121"/>
      <c r="C238" s="3121"/>
      <c r="D238" s="3122"/>
      <c r="E238" s="3123">
        <f t="shared" si="123"/>
        <v>0</v>
      </c>
      <c r="F238" s="3124"/>
      <c r="G238" s="3125">
        <f t="shared" si="124"/>
        <v>0</v>
      </c>
      <c r="H238" s="3126">
        <f t="shared" si="125"/>
        <v>0</v>
      </c>
      <c r="I238" s="3133"/>
      <c r="J238" s="3133"/>
      <c r="K238" s="3133"/>
      <c r="L238" s="3133"/>
      <c r="M238" s="3133"/>
      <c r="N238" s="3133"/>
      <c r="O238" s="3133"/>
      <c r="P238" s="3133"/>
      <c r="Q238" s="3133"/>
      <c r="R238" s="3133"/>
      <c r="S238" s="3133"/>
      <c r="T238" s="3133"/>
      <c r="U238" s="3133"/>
      <c r="V238" s="3133"/>
      <c r="W238" s="3133"/>
      <c r="X238" s="3133"/>
      <c r="Y238" s="3133"/>
      <c r="Z238" s="3133"/>
      <c r="AA238" s="3133"/>
      <c r="AB238" s="3133"/>
      <c r="AC238" s="3123">
        <f t="shared" si="126"/>
        <v>0</v>
      </c>
      <c r="AD238" s="3143"/>
      <c r="AE238" s="3143"/>
      <c r="AF238" s="3143"/>
      <c r="AG238" s="3143"/>
      <c r="AH238" s="3143"/>
      <c r="AI238" s="3143"/>
      <c r="AJ238" s="3143"/>
      <c r="AK238" s="3143"/>
      <c r="AL238" s="3143"/>
      <c r="AM238" s="3143"/>
      <c r="AN238" s="3143"/>
      <c r="AO238" s="3143"/>
      <c r="AP238" s="3143"/>
      <c r="AQ238" s="3143"/>
      <c r="AR238" s="3143"/>
      <c r="AS238" s="3143"/>
      <c r="AT238" s="3153"/>
      <c r="AU238" s="3154"/>
      <c r="AV238" s="270">
        <f t="shared" si="127"/>
        <v>0</v>
      </c>
      <c r="AW238" s="270">
        <f t="shared" si="128"/>
        <v>0</v>
      </c>
      <c r="AX238" s="270">
        <f t="shared" si="129"/>
        <v>0</v>
      </c>
      <c r="AY238" s="3168">
        <f t="shared" si="130"/>
        <v>0</v>
      </c>
      <c r="AZ238" s="3123">
        <f t="shared" si="131"/>
        <v>0</v>
      </c>
      <c r="BA238" s="3123">
        <f t="shared" si="132"/>
        <v>0</v>
      </c>
      <c r="BB238" s="3123">
        <f t="shared" si="133"/>
        <v>0</v>
      </c>
      <c r="BC238" s="3123">
        <f t="shared" si="134"/>
        <v>0</v>
      </c>
      <c r="BD238" s="3123">
        <f t="shared" si="135"/>
        <v>0</v>
      </c>
      <c r="BE238" s="3123">
        <f t="shared" si="136"/>
        <v>0</v>
      </c>
      <c r="BF238" s="3123">
        <f t="shared" si="137"/>
        <v>0</v>
      </c>
      <c r="BG238" s="3123">
        <f t="shared" si="138"/>
        <v>0</v>
      </c>
      <c r="BH238" s="3123">
        <f t="shared" si="139"/>
        <v>0</v>
      </c>
      <c r="BI238" s="3123">
        <f t="shared" si="140"/>
        <v>0</v>
      </c>
      <c r="BJ238" s="3123">
        <f t="shared" si="141"/>
        <v>0</v>
      </c>
      <c r="BK238" s="3123">
        <f t="shared" si="142"/>
        <v>0</v>
      </c>
      <c r="BL238" s="3123">
        <f t="shared" si="143"/>
        <v>0</v>
      </c>
      <c r="BM238" s="3123">
        <f t="shared" si="144"/>
        <v>0</v>
      </c>
      <c r="BN238" s="3123">
        <f t="shared" si="145"/>
        <v>0</v>
      </c>
      <c r="BO238" s="3123">
        <f t="shared" si="146"/>
        <v>0</v>
      </c>
      <c r="BP238" s="3123">
        <f t="shared" si="147"/>
        <v>0</v>
      </c>
      <c r="BQ238" s="3123">
        <f t="shared" si="148"/>
        <v>0</v>
      </c>
      <c r="BR238" s="3123">
        <f t="shared" si="149"/>
        <v>0</v>
      </c>
      <c r="BS238" s="3123">
        <f t="shared" si="150"/>
        <v>0</v>
      </c>
      <c r="BT238" s="3175">
        <f t="shared" si="151"/>
        <v>0</v>
      </c>
    </row>
    <row r="239" spans="1:72">
      <c r="A239" s="3120"/>
      <c r="B239" s="3121"/>
      <c r="C239" s="3121"/>
      <c r="D239" s="3122"/>
      <c r="E239" s="3123">
        <f t="shared" si="123"/>
        <v>0</v>
      </c>
      <c r="F239" s="3124"/>
      <c r="G239" s="3125">
        <f t="shared" si="124"/>
        <v>0</v>
      </c>
      <c r="H239" s="3126">
        <f t="shared" si="125"/>
        <v>0</v>
      </c>
      <c r="I239" s="3133"/>
      <c r="J239" s="3133"/>
      <c r="K239" s="3133"/>
      <c r="L239" s="3133"/>
      <c r="M239" s="3133"/>
      <c r="N239" s="3133"/>
      <c r="O239" s="3133"/>
      <c r="P239" s="3133"/>
      <c r="Q239" s="3133"/>
      <c r="R239" s="3133"/>
      <c r="S239" s="3133"/>
      <c r="T239" s="3133"/>
      <c r="U239" s="3133"/>
      <c r="V239" s="3133"/>
      <c r="W239" s="3133"/>
      <c r="X239" s="3133"/>
      <c r="Y239" s="3133"/>
      <c r="Z239" s="3133"/>
      <c r="AA239" s="3133"/>
      <c r="AB239" s="3133"/>
      <c r="AC239" s="3123">
        <f t="shared" si="126"/>
        <v>0</v>
      </c>
      <c r="AD239" s="3143"/>
      <c r="AE239" s="3143"/>
      <c r="AF239" s="3143"/>
      <c r="AG239" s="3143"/>
      <c r="AH239" s="3143"/>
      <c r="AI239" s="3143"/>
      <c r="AJ239" s="3143"/>
      <c r="AK239" s="3143"/>
      <c r="AL239" s="3143"/>
      <c r="AM239" s="3143"/>
      <c r="AN239" s="3143"/>
      <c r="AO239" s="3143"/>
      <c r="AP239" s="3143"/>
      <c r="AQ239" s="3143"/>
      <c r="AR239" s="3143"/>
      <c r="AS239" s="3143"/>
      <c r="AT239" s="3153"/>
      <c r="AU239" s="3154"/>
      <c r="AV239" s="270">
        <f t="shared" si="127"/>
        <v>0</v>
      </c>
      <c r="AW239" s="270">
        <f t="shared" si="128"/>
        <v>0</v>
      </c>
      <c r="AX239" s="270">
        <f t="shared" si="129"/>
        <v>0</v>
      </c>
      <c r="AY239" s="3168">
        <f t="shared" si="130"/>
        <v>0</v>
      </c>
      <c r="AZ239" s="3123">
        <f t="shared" si="131"/>
        <v>0</v>
      </c>
      <c r="BA239" s="3123">
        <f t="shared" si="132"/>
        <v>0</v>
      </c>
      <c r="BB239" s="3123">
        <f t="shared" si="133"/>
        <v>0</v>
      </c>
      <c r="BC239" s="3123">
        <f t="shared" si="134"/>
        <v>0</v>
      </c>
      <c r="BD239" s="3123">
        <f t="shared" si="135"/>
        <v>0</v>
      </c>
      <c r="BE239" s="3123">
        <f t="shared" si="136"/>
        <v>0</v>
      </c>
      <c r="BF239" s="3123">
        <f t="shared" si="137"/>
        <v>0</v>
      </c>
      <c r="BG239" s="3123">
        <f t="shared" si="138"/>
        <v>0</v>
      </c>
      <c r="BH239" s="3123">
        <f t="shared" si="139"/>
        <v>0</v>
      </c>
      <c r="BI239" s="3123">
        <f t="shared" si="140"/>
        <v>0</v>
      </c>
      <c r="BJ239" s="3123">
        <f t="shared" si="141"/>
        <v>0</v>
      </c>
      <c r="BK239" s="3123">
        <f t="shared" si="142"/>
        <v>0</v>
      </c>
      <c r="BL239" s="3123">
        <f t="shared" si="143"/>
        <v>0</v>
      </c>
      <c r="BM239" s="3123">
        <f t="shared" si="144"/>
        <v>0</v>
      </c>
      <c r="BN239" s="3123">
        <f t="shared" si="145"/>
        <v>0</v>
      </c>
      <c r="BO239" s="3123">
        <f t="shared" si="146"/>
        <v>0</v>
      </c>
      <c r="BP239" s="3123">
        <f t="shared" si="147"/>
        <v>0</v>
      </c>
      <c r="BQ239" s="3123">
        <f t="shared" si="148"/>
        <v>0</v>
      </c>
      <c r="BR239" s="3123">
        <f t="shared" si="149"/>
        <v>0</v>
      </c>
      <c r="BS239" s="3123">
        <f t="shared" si="150"/>
        <v>0</v>
      </c>
      <c r="BT239" s="3175">
        <f t="shared" si="151"/>
        <v>0</v>
      </c>
    </row>
    <row r="240" spans="1:72">
      <c r="A240" s="3120"/>
      <c r="B240" s="3121"/>
      <c r="C240" s="3121"/>
      <c r="D240" s="3122"/>
      <c r="E240" s="3123">
        <f t="shared" si="123"/>
        <v>0</v>
      </c>
      <c r="F240" s="3124"/>
      <c r="G240" s="3125">
        <f t="shared" si="124"/>
        <v>0</v>
      </c>
      <c r="H240" s="3126">
        <f t="shared" si="125"/>
        <v>0</v>
      </c>
      <c r="I240" s="3133"/>
      <c r="J240" s="3133"/>
      <c r="K240" s="3133"/>
      <c r="L240" s="3133"/>
      <c r="M240" s="3133"/>
      <c r="N240" s="3133"/>
      <c r="O240" s="3133"/>
      <c r="P240" s="3133"/>
      <c r="Q240" s="3133"/>
      <c r="R240" s="3133"/>
      <c r="S240" s="3133"/>
      <c r="T240" s="3133"/>
      <c r="U240" s="3133"/>
      <c r="V240" s="3133"/>
      <c r="W240" s="3133"/>
      <c r="X240" s="3133"/>
      <c r="Y240" s="3133"/>
      <c r="Z240" s="3133"/>
      <c r="AA240" s="3133"/>
      <c r="AB240" s="3133"/>
      <c r="AC240" s="3123">
        <f t="shared" si="126"/>
        <v>0</v>
      </c>
      <c r="AD240" s="3143"/>
      <c r="AE240" s="3143"/>
      <c r="AF240" s="3143"/>
      <c r="AG240" s="3143"/>
      <c r="AH240" s="3143"/>
      <c r="AI240" s="3143"/>
      <c r="AJ240" s="3143"/>
      <c r="AK240" s="3143"/>
      <c r="AL240" s="3143"/>
      <c r="AM240" s="3143"/>
      <c r="AN240" s="3143"/>
      <c r="AO240" s="3143"/>
      <c r="AP240" s="3143"/>
      <c r="AQ240" s="3143"/>
      <c r="AR240" s="3143"/>
      <c r="AS240" s="3143"/>
      <c r="AT240" s="3153"/>
      <c r="AU240" s="3154"/>
      <c r="AV240" s="270">
        <f t="shared" si="127"/>
        <v>0</v>
      </c>
      <c r="AW240" s="270">
        <f t="shared" si="128"/>
        <v>0</v>
      </c>
      <c r="AX240" s="270">
        <f t="shared" si="129"/>
        <v>0</v>
      </c>
      <c r="AY240" s="3168">
        <f t="shared" si="130"/>
        <v>0</v>
      </c>
      <c r="AZ240" s="3123">
        <f t="shared" si="131"/>
        <v>0</v>
      </c>
      <c r="BA240" s="3123">
        <f t="shared" si="132"/>
        <v>0</v>
      </c>
      <c r="BB240" s="3123">
        <f t="shared" si="133"/>
        <v>0</v>
      </c>
      <c r="BC240" s="3123">
        <f t="shared" si="134"/>
        <v>0</v>
      </c>
      <c r="BD240" s="3123">
        <f t="shared" si="135"/>
        <v>0</v>
      </c>
      <c r="BE240" s="3123">
        <f t="shared" si="136"/>
        <v>0</v>
      </c>
      <c r="BF240" s="3123">
        <f t="shared" si="137"/>
        <v>0</v>
      </c>
      <c r="BG240" s="3123">
        <f t="shared" si="138"/>
        <v>0</v>
      </c>
      <c r="BH240" s="3123">
        <f t="shared" si="139"/>
        <v>0</v>
      </c>
      <c r="BI240" s="3123">
        <f t="shared" si="140"/>
        <v>0</v>
      </c>
      <c r="BJ240" s="3123">
        <f t="shared" si="141"/>
        <v>0</v>
      </c>
      <c r="BK240" s="3123">
        <f t="shared" si="142"/>
        <v>0</v>
      </c>
      <c r="BL240" s="3123">
        <f t="shared" si="143"/>
        <v>0</v>
      </c>
      <c r="BM240" s="3123">
        <f t="shared" si="144"/>
        <v>0</v>
      </c>
      <c r="BN240" s="3123">
        <f t="shared" si="145"/>
        <v>0</v>
      </c>
      <c r="BO240" s="3123">
        <f t="shared" si="146"/>
        <v>0</v>
      </c>
      <c r="BP240" s="3123">
        <f t="shared" si="147"/>
        <v>0</v>
      </c>
      <c r="BQ240" s="3123">
        <f t="shared" si="148"/>
        <v>0</v>
      </c>
      <c r="BR240" s="3123">
        <f t="shared" si="149"/>
        <v>0</v>
      </c>
      <c r="BS240" s="3123">
        <f t="shared" si="150"/>
        <v>0</v>
      </c>
      <c r="BT240" s="3175">
        <f t="shared" si="151"/>
        <v>0</v>
      </c>
    </row>
    <row r="241" spans="1:72">
      <c r="A241" s="3120"/>
      <c r="B241" s="3121"/>
      <c r="C241" s="3121"/>
      <c r="D241" s="3122"/>
      <c r="E241" s="3123">
        <f t="shared" si="123"/>
        <v>0</v>
      </c>
      <c r="F241" s="3124"/>
      <c r="G241" s="3125">
        <f t="shared" si="124"/>
        <v>0</v>
      </c>
      <c r="H241" s="3126">
        <f t="shared" si="125"/>
        <v>0</v>
      </c>
      <c r="I241" s="3133"/>
      <c r="J241" s="3133"/>
      <c r="K241" s="3133"/>
      <c r="L241" s="3133"/>
      <c r="M241" s="3133"/>
      <c r="N241" s="3133"/>
      <c r="O241" s="3133"/>
      <c r="P241" s="3133"/>
      <c r="Q241" s="3133"/>
      <c r="R241" s="3133"/>
      <c r="S241" s="3133"/>
      <c r="T241" s="3133"/>
      <c r="U241" s="3133"/>
      <c r="V241" s="3133"/>
      <c r="W241" s="3133"/>
      <c r="X241" s="3133"/>
      <c r="Y241" s="3133"/>
      <c r="Z241" s="3133"/>
      <c r="AA241" s="3133"/>
      <c r="AB241" s="3133"/>
      <c r="AC241" s="3123">
        <f t="shared" si="126"/>
        <v>0</v>
      </c>
      <c r="AD241" s="3143"/>
      <c r="AE241" s="3143"/>
      <c r="AF241" s="3143"/>
      <c r="AG241" s="3143"/>
      <c r="AH241" s="3143"/>
      <c r="AI241" s="3143"/>
      <c r="AJ241" s="3143"/>
      <c r="AK241" s="3143"/>
      <c r="AL241" s="3143"/>
      <c r="AM241" s="3143"/>
      <c r="AN241" s="3143"/>
      <c r="AO241" s="3143"/>
      <c r="AP241" s="3143"/>
      <c r="AQ241" s="3143"/>
      <c r="AR241" s="3143"/>
      <c r="AS241" s="3143"/>
      <c r="AT241" s="3153"/>
      <c r="AU241" s="3154"/>
      <c r="AV241" s="270">
        <f t="shared" si="127"/>
        <v>0</v>
      </c>
      <c r="AW241" s="270">
        <f t="shared" si="128"/>
        <v>0</v>
      </c>
      <c r="AX241" s="270">
        <f t="shared" si="129"/>
        <v>0</v>
      </c>
      <c r="AY241" s="3168">
        <f t="shared" si="130"/>
        <v>0</v>
      </c>
      <c r="AZ241" s="3123">
        <f t="shared" si="131"/>
        <v>0</v>
      </c>
      <c r="BA241" s="3123">
        <f t="shared" si="132"/>
        <v>0</v>
      </c>
      <c r="BB241" s="3123">
        <f t="shared" si="133"/>
        <v>0</v>
      </c>
      <c r="BC241" s="3123">
        <f t="shared" si="134"/>
        <v>0</v>
      </c>
      <c r="BD241" s="3123">
        <f t="shared" si="135"/>
        <v>0</v>
      </c>
      <c r="BE241" s="3123">
        <f t="shared" si="136"/>
        <v>0</v>
      </c>
      <c r="BF241" s="3123">
        <f t="shared" si="137"/>
        <v>0</v>
      </c>
      <c r="BG241" s="3123">
        <f t="shared" si="138"/>
        <v>0</v>
      </c>
      <c r="BH241" s="3123">
        <f t="shared" si="139"/>
        <v>0</v>
      </c>
      <c r="BI241" s="3123">
        <f t="shared" si="140"/>
        <v>0</v>
      </c>
      <c r="BJ241" s="3123">
        <f t="shared" si="141"/>
        <v>0</v>
      </c>
      <c r="BK241" s="3123">
        <f t="shared" si="142"/>
        <v>0</v>
      </c>
      <c r="BL241" s="3123">
        <f t="shared" si="143"/>
        <v>0</v>
      </c>
      <c r="BM241" s="3123">
        <f t="shared" si="144"/>
        <v>0</v>
      </c>
      <c r="BN241" s="3123">
        <f t="shared" si="145"/>
        <v>0</v>
      </c>
      <c r="BO241" s="3123">
        <f t="shared" si="146"/>
        <v>0</v>
      </c>
      <c r="BP241" s="3123">
        <f t="shared" si="147"/>
        <v>0</v>
      </c>
      <c r="BQ241" s="3123">
        <f t="shared" si="148"/>
        <v>0</v>
      </c>
      <c r="BR241" s="3123">
        <f t="shared" si="149"/>
        <v>0</v>
      </c>
      <c r="BS241" s="3123">
        <f t="shared" si="150"/>
        <v>0</v>
      </c>
      <c r="BT241" s="3175">
        <f t="shared" si="151"/>
        <v>0</v>
      </c>
    </row>
    <row r="242" spans="1:72">
      <c r="A242" s="3120"/>
      <c r="B242" s="3121"/>
      <c r="C242" s="3121"/>
      <c r="D242" s="3122"/>
      <c r="E242" s="3123">
        <f t="shared" si="123"/>
        <v>0</v>
      </c>
      <c r="F242" s="3124"/>
      <c r="G242" s="3125">
        <f t="shared" si="124"/>
        <v>0</v>
      </c>
      <c r="H242" s="3126">
        <f t="shared" si="125"/>
        <v>0</v>
      </c>
      <c r="I242" s="3133"/>
      <c r="J242" s="3133"/>
      <c r="K242" s="3133"/>
      <c r="L242" s="3133"/>
      <c r="M242" s="3133"/>
      <c r="N242" s="3133"/>
      <c r="O242" s="3133"/>
      <c r="P242" s="3133"/>
      <c r="Q242" s="3133"/>
      <c r="R242" s="3133"/>
      <c r="S242" s="3133"/>
      <c r="T242" s="3133"/>
      <c r="U242" s="3133"/>
      <c r="V242" s="3133"/>
      <c r="W242" s="3133"/>
      <c r="X242" s="3133"/>
      <c r="Y242" s="3133"/>
      <c r="Z242" s="3133"/>
      <c r="AA242" s="3133"/>
      <c r="AB242" s="3133"/>
      <c r="AC242" s="3123">
        <f t="shared" si="126"/>
        <v>0</v>
      </c>
      <c r="AD242" s="3143"/>
      <c r="AE242" s="3143"/>
      <c r="AF242" s="3143"/>
      <c r="AG242" s="3143"/>
      <c r="AH242" s="3143"/>
      <c r="AI242" s="3143"/>
      <c r="AJ242" s="3143"/>
      <c r="AK242" s="3143"/>
      <c r="AL242" s="3143"/>
      <c r="AM242" s="3143"/>
      <c r="AN242" s="3143"/>
      <c r="AO242" s="3143"/>
      <c r="AP242" s="3143"/>
      <c r="AQ242" s="3143"/>
      <c r="AR242" s="3143"/>
      <c r="AS242" s="3143"/>
      <c r="AT242" s="3153"/>
      <c r="AU242" s="3154"/>
      <c r="AV242" s="270">
        <f t="shared" si="127"/>
        <v>0</v>
      </c>
      <c r="AW242" s="270">
        <f t="shared" si="128"/>
        <v>0</v>
      </c>
      <c r="AX242" s="270">
        <f t="shared" si="129"/>
        <v>0</v>
      </c>
      <c r="AY242" s="3168">
        <f t="shared" si="130"/>
        <v>0</v>
      </c>
      <c r="AZ242" s="3123">
        <f t="shared" si="131"/>
        <v>0</v>
      </c>
      <c r="BA242" s="3123">
        <f t="shared" si="132"/>
        <v>0</v>
      </c>
      <c r="BB242" s="3123">
        <f t="shared" si="133"/>
        <v>0</v>
      </c>
      <c r="BC242" s="3123">
        <f t="shared" si="134"/>
        <v>0</v>
      </c>
      <c r="BD242" s="3123">
        <f t="shared" si="135"/>
        <v>0</v>
      </c>
      <c r="BE242" s="3123">
        <f t="shared" si="136"/>
        <v>0</v>
      </c>
      <c r="BF242" s="3123">
        <f t="shared" si="137"/>
        <v>0</v>
      </c>
      <c r="BG242" s="3123">
        <f t="shared" si="138"/>
        <v>0</v>
      </c>
      <c r="BH242" s="3123">
        <f t="shared" si="139"/>
        <v>0</v>
      </c>
      <c r="BI242" s="3123">
        <f t="shared" si="140"/>
        <v>0</v>
      </c>
      <c r="BJ242" s="3123">
        <f t="shared" si="141"/>
        <v>0</v>
      </c>
      <c r="BK242" s="3123">
        <f t="shared" si="142"/>
        <v>0</v>
      </c>
      <c r="BL242" s="3123">
        <f t="shared" si="143"/>
        <v>0</v>
      </c>
      <c r="BM242" s="3123">
        <f t="shared" si="144"/>
        <v>0</v>
      </c>
      <c r="BN242" s="3123">
        <f t="shared" si="145"/>
        <v>0</v>
      </c>
      <c r="BO242" s="3123">
        <f t="shared" si="146"/>
        <v>0</v>
      </c>
      <c r="BP242" s="3123">
        <f t="shared" si="147"/>
        <v>0</v>
      </c>
      <c r="BQ242" s="3123">
        <f t="shared" si="148"/>
        <v>0</v>
      </c>
      <c r="BR242" s="3123">
        <f t="shared" si="149"/>
        <v>0</v>
      </c>
      <c r="BS242" s="3123">
        <f t="shared" si="150"/>
        <v>0</v>
      </c>
      <c r="BT242" s="3175">
        <f t="shared" si="151"/>
        <v>0</v>
      </c>
    </row>
    <row r="243" spans="1:72">
      <c r="A243" s="3120"/>
      <c r="B243" s="3121"/>
      <c r="C243" s="3121"/>
      <c r="D243" s="3122"/>
      <c r="E243" s="3123">
        <f t="shared" si="123"/>
        <v>0</v>
      </c>
      <c r="F243" s="3124"/>
      <c r="G243" s="3125">
        <f t="shared" si="124"/>
        <v>0</v>
      </c>
      <c r="H243" s="3126">
        <f t="shared" si="125"/>
        <v>0</v>
      </c>
      <c r="I243" s="3133"/>
      <c r="J243" s="3133"/>
      <c r="K243" s="3133"/>
      <c r="L243" s="3133"/>
      <c r="M243" s="3133"/>
      <c r="N243" s="3133"/>
      <c r="O243" s="3133"/>
      <c r="P243" s="3133"/>
      <c r="Q243" s="3133"/>
      <c r="R243" s="3133"/>
      <c r="S243" s="3133"/>
      <c r="T243" s="3133"/>
      <c r="U243" s="3133"/>
      <c r="V243" s="3133"/>
      <c r="W243" s="3133"/>
      <c r="X243" s="3133"/>
      <c r="Y243" s="3133"/>
      <c r="Z243" s="3133"/>
      <c r="AA243" s="3133"/>
      <c r="AB243" s="3133"/>
      <c r="AC243" s="3123">
        <f t="shared" si="126"/>
        <v>0</v>
      </c>
      <c r="AD243" s="3143"/>
      <c r="AE243" s="3143"/>
      <c r="AF243" s="3143"/>
      <c r="AG243" s="3143"/>
      <c r="AH243" s="3143"/>
      <c r="AI243" s="3143"/>
      <c r="AJ243" s="3143"/>
      <c r="AK243" s="3143"/>
      <c r="AL243" s="3143"/>
      <c r="AM243" s="3143"/>
      <c r="AN243" s="3143"/>
      <c r="AO243" s="3143"/>
      <c r="AP243" s="3143"/>
      <c r="AQ243" s="3143"/>
      <c r="AR243" s="3143"/>
      <c r="AS243" s="3143"/>
      <c r="AT243" s="3153"/>
      <c r="AU243" s="3154"/>
      <c r="AV243" s="270">
        <f t="shared" si="127"/>
        <v>0</v>
      </c>
      <c r="AW243" s="270">
        <f t="shared" si="128"/>
        <v>0</v>
      </c>
      <c r="AX243" s="270">
        <f t="shared" si="129"/>
        <v>0</v>
      </c>
      <c r="AY243" s="3168">
        <f t="shared" si="130"/>
        <v>0</v>
      </c>
      <c r="AZ243" s="3123">
        <f t="shared" si="131"/>
        <v>0</v>
      </c>
      <c r="BA243" s="3123">
        <f t="shared" si="132"/>
        <v>0</v>
      </c>
      <c r="BB243" s="3123">
        <f t="shared" si="133"/>
        <v>0</v>
      </c>
      <c r="BC243" s="3123">
        <f t="shared" si="134"/>
        <v>0</v>
      </c>
      <c r="BD243" s="3123">
        <f t="shared" si="135"/>
        <v>0</v>
      </c>
      <c r="BE243" s="3123">
        <f t="shared" si="136"/>
        <v>0</v>
      </c>
      <c r="BF243" s="3123">
        <f t="shared" si="137"/>
        <v>0</v>
      </c>
      <c r="BG243" s="3123">
        <f t="shared" si="138"/>
        <v>0</v>
      </c>
      <c r="BH243" s="3123">
        <f t="shared" si="139"/>
        <v>0</v>
      </c>
      <c r="BI243" s="3123">
        <f t="shared" si="140"/>
        <v>0</v>
      </c>
      <c r="BJ243" s="3123">
        <f t="shared" si="141"/>
        <v>0</v>
      </c>
      <c r="BK243" s="3123">
        <f t="shared" si="142"/>
        <v>0</v>
      </c>
      <c r="BL243" s="3123">
        <f t="shared" si="143"/>
        <v>0</v>
      </c>
      <c r="BM243" s="3123">
        <f t="shared" si="144"/>
        <v>0</v>
      </c>
      <c r="BN243" s="3123">
        <f t="shared" si="145"/>
        <v>0</v>
      </c>
      <c r="BO243" s="3123">
        <f t="shared" si="146"/>
        <v>0</v>
      </c>
      <c r="BP243" s="3123">
        <f t="shared" si="147"/>
        <v>0</v>
      </c>
      <c r="BQ243" s="3123">
        <f t="shared" si="148"/>
        <v>0</v>
      </c>
      <c r="BR243" s="3123">
        <f t="shared" si="149"/>
        <v>0</v>
      </c>
      <c r="BS243" s="3123">
        <f t="shared" si="150"/>
        <v>0</v>
      </c>
      <c r="BT243" s="3175">
        <f t="shared" si="151"/>
        <v>0</v>
      </c>
    </row>
    <row r="244" spans="1:72">
      <c r="A244" s="3120"/>
      <c r="B244" s="3121"/>
      <c r="C244" s="3121"/>
      <c r="D244" s="3122"/>
      <c r="E244" s="3123">
        <f t="shared" si="123"/>
        <v>0</v>
      </c>
      <c r="F244" s="3124"/>
      <c r="G244" s="3125">
        <f t="shared" si="124"/>
        <v>0</v>
      </c>
      <c r="H244" s="3126">
        <f t="shared" si="125"/>
        <v>0</v>
      </c>
      <c r="I244" s="3133"/>
      <c r="J244" s="3133"/>
      <c r="K244" s="3133"/>
      <c r="L244" s="3133"/>
      <c r="M244" s="3133"/>
      <c r="N244" s="3133"/>
      <c r="O244" s="3133"/>
      <c r="P244" s="3133"/>
      <c r="Q244" s="3133"/>
      <c r="R244" s="3133"/>
      <c r="S244" s="3133"/>
      <c r="T244" s="3133"/>
      <c r="U244" s="3133"/>
      <c r="V244" s="3133"/>
      <c r="W244" s="3133"/>
      <c r="X244" s="3133"/>
      <c r="Y244" s="3133"/>
      <c r="Z244" s="3133"/>
      <c r="AA244" s="3133"/>
      <c r="AB244" s="3133"/>
      <c r="AC244" s="3123">
        <f t="shared" si="126"/>
        <v>0</v>
      </c>
      <c r="AD244" s="3143"/>
      <c r="AE244" s="3143"/>
      <c r="AF244" s="3143"/>
      <c r="AG244" s="3143"/>
      <c r="AH244" s="3143"/>
      <c r="AI244" s="3143"/>
      <c r="AJ244" s="3143"/>
      <c r="AK244" s="3143"/>
      <c r="AL244" s="3143"/>
      <c r="AM244" s="3143"/>
      <c r="AN244" s="3143"/>
      <c r="AO244" s="3143"/>
      <c r="AP244" s="3143"/>
      <c r="AQ244" s="3143"/>
      <c r="AR244" s="3143"/>
      <c r="AS244" s="3143"/>
      <c r="AT244" s="3153"/>
      <c r="AU244" s="3154"/>
      <c r="AV244" s="270">
        <f t="shared" si="127"/>
        <v>0</v>
      </c>
      <c r="AW244" s="270">
        <f t="shared" si="128"/>
        <v>0</v>
      </c>
      <c r="AX244" s="270">
        <f t="shared" si="129"/>
        <v>0</v>
      </c>
      <c r="AY244" s="3168">
        <f t="shared" si="130"/>
        <v>0</v>
      </c>
      <c r="AZ244" s="3123">
        <f t="shared" si="131"/>
        <v>0</v>
      </c>
      <c r="BA244" s="3123">
        <f t="shared" si="132"/>
        <v>0</v>
      </c>
      <c r="BB244" s="3123">
        <f t="shared" si="133"/>
        <v>0</v>
      </c>
      <c r="BC244" s="3123">
        <f t="shared" si="134"/>
        <v>0</v>
      </c>
      <c r="BD244" s="3123">
        <f t="shared" si="135"/>
        <v>0</v>
      </c>
      <c r="BE244" s="3123">
        <f t="shared" si="136"/>
        <v>0</v>
      </c>
      <c r="BF244" s="3123">
        <f t="shared" si="137"/>
        <v>0</v>
      </c>
      <c r="BG244" s="3123">
        <f t="shared" si="138"/>
        <v>0</v>
      </c>
      <c r="BH244" s="3123">
        <f t="shared" si="139"/>
        <v>0</v>
      </c>
      <c r="BI244" s="3123">
        <f t="shared" si="140"/>
        <v>0</v>
      </c>
      <c r="BJ244" s="3123">
        <f t="shared" si="141"/>
        <v>0</v>
      </c>
      <c r="BK244" s="3123">
        <f t="shared" si="142"/>
        <v>0</v>
      </c>
      <c r="BL244" s="3123">
        <f t="shared" si="143"/>
        <v>0</v>
      </c>
      <c r="BM244" s="3123">
        <f t="shared" si="144"/>
        <v>0</v>
      </c>
      <c r="BN244" s="3123">
        <f t="shared" si="145"/>
        <v>0</v>
      </c>
      <c r="BO244" s="3123">
        <f t="shared" si="146"/>
        <v>0</v>
      </c>
      <c r="BP244" s="3123">
        <f t="shared" si="147"/>
        <v>0</v>
      </c>
      <c r="BQ244" s="3123">
        <f t="shared" si="148"/>
        <v>0</v>
      </c>
      <c r="BR244" s="3123">
        <f t="shared" si="149"/>
        <v>0</v>
      </c>
      <c r="BS244" s="3123">
        <f t="shared" si="150"/>
        <v>0</v>
      </c>
      <c r="BT244" s="3175">
        <f t="shared" si="151"/>
        <v>0</v>
      </c>
    </row>
    <row r="245" spans="1:72">
      <c r="A245" s="3120"/>
      <c r="B245" s="3121"/>
      <c r="C245" s="3121"/>
      <c r="D245" s="3122"/>
      <c r="E245" s="3123">
        <f t="shared" si="123"/>
        <v>0</v>
      </c>
      <c r="F245" s="3124"/>
      <c r="G245" s="3125">
        <f t="shared" si="124"/>
        <v>0</v>
      </c>
      <c r="H245" s="3126">
        <f t="shared" si="125"/>
        <v>0</v>
      </c>
      <c r="I245" s="3133"/>
      <c r="J245" s="3133"/>
      <c r="K245" s="3133"/>
      <c r="L245" s="3133"/>
      <c r="M245" s="3133"/>
      <c r="N245" s="3133"/>
      <c r="O245" s="3133"/>
      <c r="P245" s="3133"/>
      <c r="Q245" s="3133"/>
      <c r="R245" s="3133"/>
      <c r="S245" s="3133"/>
      <c r="T245" s="3133"/>
      <c r="U245" s="3133"/>
      <c r="V245" s="3133"/>
      <c r="W245" s="3133"/>
      <c r="X245" s="3133"/>
      <c r="Y245" s="3133"/>
      <c r="Z245" s="3133"/>
      <c r="AA245" s="3133"/>
      <c r="AB245" s="3133"/>
      <c r="AC245" s="3123">
        <f t="shared" si="126"/>
        <v>0</v>
      </c>
      <c r="AD245" s="3143"/>
      <c r="AE245" s="3143"/>
      <c r="AF245" s="3143"/>
      <c r="AG245" s="3143"/>
      <c r="AH245" s="3143"/>
      <c r="AI245" s="3143"/>
      <c r="AJ245" s="3143"/>
      <c r="AK245" s="3143"/>
      <c r="AL245" s="3143"/>
      <c r="AM245" s="3143"/>
      <c r="AN245" s="3143"/>
      <c r="AO245" s="3143"/>
      <c r="AP245" s="3143"/>
      <c r="AQ245" s="3143"/>
      <c r="AR245" s="3143"/>
      <c r="AS245" s="3143"/>
      <c r="AT245" s="3153"/>
      <c r="AU245" s="3154"/>
      <c r="AV245" s="270">
        <f t="shared" si="127"/>
        <v>0</v>
      </c>
      <c r="AW245" s="270">
        <f t="shared" si="128"/>
        <v>0</v>
      </c>
      <c r="AX245" s="270">
        <f t="shared" si="129"/>
        <v>0</v>
      </c>
      <c r="AY245" s="3168">
        <f t="shared" si="130"/>
        <v>0</v>
      </c>
      <c r="AZ245" s="3123">
        <f t="shared" si="131"/>
        <v>0</v>
      </c>
      <c r="BA245" s="3123">
        <f t="shared" si="132"/>
        <v>0</v>
      </c>
      <c r="BB245" s="3123">
        <f t="shared" si="133"/>
        <v>0</v>
      </c>
      <c r="BC245" s="3123">
        <f t="shared" si="134"/>
        <v>0</v>
      </c>
      <c r="BD245" s="3123">
        <f t="shared" si="135"/>
        <v>0</v>
      </c>
      <c r="BE245" s="3123">
        <f t="shared" si="136"/>
        <v>0</v>
      </c>
      <c r="BF245" s="3123">
        <f t="shared" si="137"/>
        <v>0</v>
      </c>
      <c r="BG245" s="3123">
        <f t="shared" si="138"/>
        <v>0</v>
      </c>
      <c r="BH245" s="3123">
        <f t="shared" si="139"/>
        <v>0</v>
      </c>
      <c r="BI245" s="3123">
        <f t="shared" si="140"/>
        <v>0</v>
      </c>
      <c r="BJ245" s="3123">
        <f t="shared" si="141"/>
        <v>0</v>
      </c>
      <c r="BK245" s="3123">
        <f t="shared" si="142"/>
        <v>0</v>
      </c>
      <c r="BL245" s="3123">
        <f t="shared" si="143"/>
        <v>0</v>
      </c>
      <c r="BM245" s="3123">
        <f t="shared" si="144"/>
        <v>0</v>
      </c>
      <c r="BN245" s="3123">
        <f t="shared" si="145"/>
        <v>0</v>
      </c>
      <c r="BO245" s="3123">
        <f t="shared" si="146"/>
        <v>0</v>
      </c>
      <c r="BP245" s="3123">
        <f t="shared" si="147"/>
        <v>0</v>
      </c>
      <c r="BQ245" s="3123">
        <f t="shared" si="148"/>
        <v>0</v>
      </c>
      <c r="BR245" s="3123">
        <f t="shared" si="149"/>
        <v>0</v>
      </c>
      <c r="BS245" s="3123">
        <f t="shared" si="150"/>
        <v>0</v>
      </c>
      <c r="BT245" s="3175">
        <f t="shared" si="151"/>
        <v>0</v>
      </c>
    </row>
    <row r="246" spans="1:72">
      <c r="A246" s="3120"/>
      <c r="B246" s="3121"/>
      <c r="C246" s="3121"/>
      <c r="D246" s="3122"/>
      <c r="E246" s="3123">
        <f t="shared" si="123"/>
        <v>0</v>
      </c>
      <c r="F246" s="3124"/>
      <c r="G246" s="3125">
        <f t="shared" si="124"/>
        <v>0</v>
      </c>
      <c r="H246" s="3126">
        <f t="shared" si="125"/>
        <v>0</v>
      </c>
      <c r="I246" s="3133"/>
      <c r="J246" s="3133"/>
      <c r="K246" s="3133"/>
      <c r="L246" s="3133"/>
      <c r="M246" s="3133"/>
      <c r="N246" s="3133"/>
      <c r="O246" s="3133"/>
      <c r="P246" s="3133"/>
      <c r="Q246" s="3133"/>
      <c r="R246" s="3133"/>
      <c r="S246" s="3133"/>
      <c r="T246" s="3133"/>
      <c r="U246" s="3133"/>
      <c r="V246" s="3133"/>
      <c r="W246" s="3133"/>
      <c r="X246" s="3133"/>
      <c r="Y246" s="3133"/>
      <c r="Z246" s="3133"/>
      <c r="AA246" s="3133"/>
      <c r="AB246" s="3133"/>
      <c r="AC246" s="3123">
        <f t="shared" si="126"/>
        <v>0</v>
      </c>
      <c r="AD246" s="3143"/>
      <c r="AE246" s="3143"/>
      <c r="AF246" s="3143"/>
      <c r="AG246" s="3143"/>
      <c r="AH246" s="3143"/>
      <c r="AI246" s="3143"/>
      <c r="AJ246" s="3143"/>
      <c r="AK246" s="3143"/>
      <c r="AL246" s="3143"/>
      <c r="AM246" s="3143"/>
      <c r="AN246" s="3143"/>
      <c r="AO246" s="3143"/>
      <c r="AP246" s="3143"/>
      <c r="AQ246" s="3143"/>
      <c r="AR246" s="3143"/>
      <c r="AS246" s="3143"/>
      <c r="AT246" s="3153"/>
      <c r="AU246" s="3154"/>
      <c r="AV246" s="270">
        <f t="shared" si="127"/>
        <v>0</v>
      </c>
      <c r="AW246" s="270">
        <f t="shared" si="128"/>
        <v>0</v>
      </c>
      <c r="AX246" s="270">
        <f t="shared" si="129"/>
        <v>0</v>
      </c>
      <c r="AY246" s="3168">
        <f t="shared" si="130"/>
        <v>0</v>
      </c>
      <c r="AZ246" s="3123">
        <f t="shared" si="131"/>
        <v>0</v>
      </c>
      <c r="BA246" s="3123">
        <f t="shared" si="132"/>
        <v>0</v>
      </c>
      <c r="BB246" s="3123">
        <f t="shared" si="133"/>
        <v>0</v>
      </c>
      <c r="BC246" s="3123">
        <f t="shared" si="134"/>
        <v>0</v>
      </c>
      <c r="BD246" s="3123">
        <f t="shared" si="135"/>
        <v>0</v>
      </c>
      <c r="BE246" s="3123">
        <f t="shared" si="136"/>
        <v>0</v>
      </c>
      <c r="BF246" s="3123">
        <f t="shared" si="137"/>
        <v>0</v>
      </c>
      <c r="BG246" s="3123">
        <f t="shared" si="138"/>
        <v>0</v>
      </c>
      <c r="BH246" s="3123">
        <f t="shared" si="139"/>
        <v>0</v>
      </c>
      <c r="BI246" s="3123">
        <f t="shared" si="140"/>
        <v>0</v>
      </c>
      <c r="BJ246" s="3123">
        <f t="shared" si="141"/>
        <v>0</v>
      </c>
      <c r="BK246" s="3123">
        <f t="shared" si="142"/>
        <v>0</v>
      </c>
      <c r="BL246" s="3123">
        <f t="shared" si="143"/>
        <v>0</v>
      </c>
      <c r="BM246" s="3123">
        <f t="shared" si="144"/>
        <v>0</v>
      </c>
      <c r="BN246" s="3123">
        <f t="shared" si="145"/>
        <v>0</v>
      </c>
      <c r="BO246" s="3123">
        <f t="shared" si="146"/>
        <v>0</v>
      </c>
      <c r="BP246" s="3123">
        <f t="shared" si="147"/>
        <v>0</v>
      </c>
      <c r="BQ246" s="3123">
        <f t="shared" si="148"/>
        <v>0</v>
      </c>
      <c r="BR246" s="3123">
        <f t="shared" si="149"/>
        <v>0</v>
      </c>
      <c r="BS246" s="3123">
        <f t="shared" si="150"/>
        <v>0</v>
      </c>
      <c r="BT246" s="3175">
        <f t="shared" si="151"/>
        <v>0</v>
      </c>
    </row>
    <row r="247" spans="1:72">
      <c r="A247" s="3120"/>
      <c r="B247" s="3121"/>
      <c r="C247" s="3121"/>
      <c r="D247" s="3122"/>
      <c r="E247" s="3123">
        <f t="shared" si="123"/>
        <v>0</v>
      </c>
      <c r="F247" s="3124"/>
      <c r="G247" s="3125">
        <f t="shared" si="124"/>
        <v>0</v>
      </c>
      <c r="H247" s="3126">
        <f t="shared" si="125"/>
        <v>0</v>
      </c>
      <c r="I247" s="3133"/>
      <c r="J247" s="3133"/>
      <c r="K247" s="3133"/>
      <c r="L247" s="3133"/>
      <c r="M247" s="3133"/>
      <c r="N247" s="3133"/>
      <c r="O247" s="3133"/>
      <c r="P247" s="3133"/>
      <c r="Q247" s="3133"/>
      <c r="R247" s="3133"/>
      <c r="S247" s="3133"/>
      <c r="T247" s="3133"/>
      <c r="U247" s="3133"/>
      <c r="V247" s="3133"/>
      <c r="W247" s="3133"/>
      <c r="X247" s="3133"/>
      <c r="Y247" s="3133"/>
      <c r="Z247" s="3133"/>
      <c r="AA247" s="3133"/>
      <c r="AB247" s="3133"/>
      <c r="AC247" s="3123">
        <f t="shared" si="126"/>
        <v>0</v>
      </c>
      <c r="AD247" s="3143"/>
      <c r="AE247" s="3143"/>
      <c r="AF247" s="3143"/>
      <c r="AG247" s="3143"/>
      <c r="AH247" s="3143"/>
      <c r="AI247" s="3143"/>
      <c r="AJ247" s="3143"/>
      <c r="AK247" s="3143"/>
      <c r="AL247" s="3143"/>
      <c r="AM247" s="3143"/>
      <c r="AN247" s="3143"/>
      <c r="AO247" s="3143"/>
      <c r="AP247" s="3143"/>
      <c r="AQ247" s="3143"/>
      <c r="AR247" s="3143"/>
      <c r="AS247" s="3143"/>
      <c r="AT247" s="3153"/>
      <c r="AU247" s="3154"/>
      <c r="AV247" s="270">
        <f t="shared" si="127"/>
        <v>0</v>
      </c>
      <c r="AW247" s="270">
        <f t="shared" si="128"/>
        <v>0</v>
      </c>
      <c r="AX247" s="270">
        <f t="shared" si="129"/>
        <v>0</v>
      </c>
      <c r="AY247" s="3168">
        <f t="shared" si="130"/>
        <v>0</v>
      </c>
      <c r="AZ247" s="3123">
        <f t="shared" si="131"/>
        <v>0</v>
      </c>
      <c r="BA247" s="3123">
        <f t="shared" si="132"/>
        <v>0</v>
      </c>
      <c r="BB247" s="3123">
        <f t="shared" si="133"/>
        <v>0</v>
      </c>
      <c r="BC247" s="3123">
        <f t="shared" si="134"/>
        <v>0</v>
      </c>
      <c r="BD247" s="3123">
        <f t="shared" si="135"/>
        <v>0</v>
      </c>
      <c r="BE247" s="3123">
        <f t="shared" si="136"/>
        <v>0</v>
      </c>
      <c r="BF247" s="3123">
        <f t="shared" si="137"/>
        <v>0</v>
      </c>
      <c r="BG247" s="3123">
        <f t="shared" si="138"/>
        <v>0</v>
      </c>
      <c r="BH247" s="3123">
        <f t="shared" si="139"/>
        <v>0</v>
      </c>
      <c r="BI247" s="3123">
        <f t="shared" si="140"/>
        <v>0</v>
      </c>
      <c r="BJ247" s="3123">
        <f t="shared" si="141"/>
        <v>0</v>
      </c>
      <c r="BK247" s="3123">
        <f t="shared" si="142"/>
        <v>0</v>
      </c>
      <c r="BL247" s="3123">
        <f t="shared" si="143"/>
        <v>0</v>
      </c>
      <c r="BM247" s="3123">
        <f t="shared" si="144"/>
        <v>0</v>
      </c>
      <c r="BN247" s="3123">
        <f t="shared" si="145"/>
        <v>0</v>
      </c>
      <c r="BO247" s="3123">
        <f t="shared" si="146"/>
        <v>0</v>
      </c>
      <c r="BP247" s="3123">
        <f t="shared" si="147"/>
        <v>0</v>
      </c>
      <c r="BQ247" s="3123">
        <f t="shared" si="148"/>
        <v>0</v>
      </c>
      <c r="BR247" s="3123">
        <f t="shared" si="149"/>
        <v>0</v>
      </c>
      <c r="BS247" s="3123">
        <f t="shared" si="150"/>
        <v>0</v>
      </c>
      <c r="BT247" s="3175">
        <f t="shared" si="151"/>
        <v>0</v>
      </c>
    </row>
    <row r="248" spans="1:72">
      <c r="A248" s="3120"/>
      <c r="B248" s="3121"/>
      <c r="C248" s="3121"/>
      <c r="D248" s="3122"/>
      <c r="E248" s="3123">
        <f t="shared" si="123"/>
        <v>0</v>
      </c>
      <c r="F248" s="3124"/>
      <c r="G248" s="3125">
        <f t="shared" si="124"/>
        <v>0</v>
      </c>
      <c r="H248" s="3126">
        <f t="shared" si="125"/>
        <v>0</v>
      </c>
      <c r="I248" s="3133"/>
      <c r="J248" s="3133"/>
      <c r="K248" s="3133"/>
      <c r="L248" s="3133"/>
      <c r="M248" s="3133"/>
      <c r="N248" s="3133"/>
      <c r="O248" s="3133"/>
      <c r="P248" s="3133"/>
      <c r="Q248" s="3133"/>
      <c r="R248" s="3133"/>
      <c r="S248" s="3133"/>
      <c r="T248" s="3133"/>
      <c r="U248" s="3133"/>
      <c r="V248" s="3133"/>
      <c r="W248" s="3133"/>
      <c r="X248" s="3133"/>
      <c r="Y248" s="3133"/>
      <c r="Z248" s="3133"/>
      <c r="AA248" s="3133"/>
      <c r="AB248" s="3133"/>
      <c r="AC248" s="3123">
        <f t="shared" si="126"/>
        <v>0</v>
      </c>
      <c r="AD248" s="3143"/>
      <c r="AE248" s="3143"/>
      <c r="AF248" s="3143"/>
      <c r="AG248" s="3143"/>
      <c r="AH248" s="3143"/>
      <c r="AI248" s="3143"/>
      <c r="AJ248" s="3143"/>
      <c r="AK248" s="3143"/>
      <c r="AL248" s="3143"/>
      <c r="AM248" s="3143"/>
      <c r="AN248" s="3143"/>
      <c r="AO248" s="3143"/>
      <c r="AP248" s="3143"/>
      <c r="AQ248" s="3143"/>
      <c r="AR248" s="3143"/>
      <c r="AS248" s="3143"/>
      <c r="AT248" s="3153"/>
      <c r="AU248" s="3154"/>
      <c r="AV248" s="270">
        <f t="shared" si="127"/>
        <v>0</v>
      </c>
      <c r="AW248" s="270">
        <f t="shared" si="128"/>
        <v>0</v>
      </c>
      <c r="AX248" s="270">
        <f t="shared" si="129"/>
        <v>0</v>
      </c>
      <c r="AY248" s="3168">
        <f t="shared" si="130"/>
        <v>0</v>
      </c>
      <c r="AZ248" s="3123">
        <f t="shared" si="131"/>
        <v>0</v>
      </c>
      <c r="BA248" s="3123">
        <f t="shared" si="132"/>
        <v>0</v>
      </c>
      <c r="BB248" s="3123">
        <f t="shared" si="133"/>
        <v>0</v>
      </c>
      <c r="BC248" s="3123">
        <f t="shared" si="134"/>
        <v>0</v>
      </c>
      <c r="BD248" s="3123">
        <f t="shared" si="135"/>
        <v>0</v>
      </c>
      <c r="BE248" s="3123">
        <f t="shared" si="136"/>
        <v>0</v>
      </c>
      <c r="BF248" s="3123">
        <f t="shared" si="137"/>
        <v>0</v>
      </c>
      <c r="BG248" s="3123">
        <f t="shared" si="138"/>
        <v>0</v>
      </c>
      <c r="BH248" s="3123">
        <f t="shared" si="139"/>
        <v>0</v>
      </c>
      <c r="BI248" s="3123">
        <f t="shared" si="140"/>
        <v>0</v>
      </c>
      <c r="BJ248" s="3123">
        <f t="shared" si="141"/>
        <v>0</v>
      </c>
      <c r="BK248" s="3123">
        <f t="shared" si="142"/>
        <v>0</v>
      </c>
      <c r="BL248" s="3123">
        <f t="shared" si="143"/>
        <v>0</v>
      </c>
      <c r="BM248" s="3123">
        <f t="shared" si="144"/>
        <v>0</v>
      </c>
      <c r="BN248" s="3123">
        <f t="shared" si="145"/>
        <v>0</v>
      </c>
      <c r="BO248" s="3123">
        <f t="shared" si="146"/>
        <v>0</v>
      </c>
      <c r="BP248" s="3123">
        <f t="shared" si="147"/>
        <v>0</v>
      </c>
      <c r="BQ248" s="3123">
        <f t="shared" si="148"/>
        <v>0</v>
      </c>
      <c r="BR248" s="3123">
        <f t="shared" si="149"/>
        <v>0</v>
      </c>
      <c r="BS248" s="3123">
        <f t="shared" si="150"/>
        <v>0</v>
      </c>
      <c r="BT248" s="3175">
        <f t="shared" si="151"/>
        <v>0</v>
      </c>
    </row>
    <row r="249" spans="1:72">
      <c r="A249" s="3120"/>
      <c r="B249" s="3121"/>
      <c r="C249" s="3121"/>
      <c r="D249" s="3122"/>
      <c r="E249" s="3123">
        <f t="shared" si="123"/>
        <v>0</v>
      </c>
      <c r="F249" s="3124"/>
      <c r="G249" s="3125">
        <f t="shared" si="124"/>
        <v>0</v>
      </c>
      <c r="H249" s="3126">
        <f t="shared" si="125"/>
        <v>0</v>
      </c>
      <c r="I249" s="3133"/>
      <c r="J249" s="3133"/>
      <c r="K249" s="3133"/>
      <c r="L249" s="3133"/>
      <c r="M249" s="3133"/>
      <c r="N249" s="3133"/>
      <c r="O249" s="3133"/>
      <c r="P249" s="3133"/>
      <c r="Q249" s="3133"/>
      <c r="R249" s="3133"/>
      <c r="S249" s="3133"/>
      <c r="T249" s="3133"/>
      <c r="U249" s="3133"/>
      <c r="V249" s="3133"/>
      <c r="W249" s="3133"/>
      <c r="X249" s="3133"/>
      <c r="Y249" s="3133"/>
      <c r="Z249" s="3133"/>
      <c r="AA249" s="3133"/>
      <c r="AB249" s="3133"/>
      <c r="AC249" s="3123">
        <f t="shared" si="126"/>
        <v>0</v>
      </c>
      <c r="AD249" s="3143"/>
      <c r="AE249" s="3143"/>
      <c r="AF249" s="3143"/>
      <c r="AG249" s="3143"/>
      <c r="AH249" s="3143"/>
      <c r="AI249" s="3143"/>
      <c r="AJ249" s="3143"/>
      <c r="AK249" s="3143"/>
      <c r="AL249" s="3143"/>
      <c r="AM249" s="3143"/>
      <c r="AN249" s="3143"/>
      <c r="AO249" s="3143"/>
      <c r="AP249" s="3143"/>
      <c r="AQ249" s="3143"/>
      <c r="AR249" s="3143"/>
      <c r="AS249" s="3143"/>
      <c r="AT249" s="3153"/>
      <c r="AU249" s="3154"/>
      <c r="AV249" s="270">
        <f t="shared" si="127"/>
        <v>0</v>
      </c>
      <c r="AW249" s="270">
        <f t="shared" si="128"/>
        <v>0</v>
      </c>
      <c r="AX249" s="270">
        <f t="shared" si="129"/>
        <v>0</v>
      </c>
      <c r="AY249" s="3168">
        <f t="shared" si="130"/>
        <v>0</v>
      </c>
      <c r="AZ249" s="3123">
        <f t="shared" si="131"/>
        <v>0</v>
      </c>
      <c r="BA249" s="3123">
        <f t="shared" si="132"/>
        <v>0</v>
      </c>
      <c r="BB249" s="3123">
        <f t="shared" si="133"/>
        <v>0</v>
      </c>
      <c r="BC249" s="3123">
        <f t="shared" si="134"/>
        <v>0</v>
      </c>
      <c r="BD249" s="3123">
        <f t="shared" si="135"/>
        <v>0</v>
      </c>
      <c r="BE249" s="3123">
        <f t="shared" si="136"/>
        <v>0</v>
      </c>
      <c r="BF249" s="3123">
        <f t="shared" si="137"/>
        <v>0</v>
      </c>
      <c r="BG249" s="3123">
        <f t="shared" si="138"/>
        <v>0</v>
      </c>
      <c r="BH249" s="3123">
        <f t="shared" si="139"/>
        <v>0</v>
      </c>
      <c r="BI249" s="3123">
        <f t="shared" si="140"/>
        <v>0</v>
      </c>
      <c r="BJ249" s="3123">
        <f t="shared" si="141"/>
        <v>0</v>
      </c>
      <c r="BK249" s="3123">
        <f t="shared" si="142"/>
        <v>0</v>
      </c>
      <c r="BL249" s="3123">
        <f t="shared" si="143"/>
        <v>0</v>
      </c>
      <c r="BM249" s="3123">
        <f t="shared" si="144"/>
        <v>0</v>
      </c>
      <c r="BN249" s="3123">
        <f t="shared" si="145"/>
        <v>0</v>
      </c>
      <c r="BO249" s="3123">
        <f t="shared" si="146"/>
        <v>0</v>
      </c>
      <c r="BP249" s="3123">
        <f t="shared" si="147"/>
        <v>0</v>
      </c>
      <c r="BQ249" s="3123">
        <f t="shared" si="148"/>
        <v>0</v>
      </c>
      <c r="BR249" s="3123">
        <f t="shared" si="149"/>
        <v>0</v>
      </c>
      <c r="BS249" s="3123">
        <f t="shared" si="150"/>
        <v>0</v>
      </c>
      <c r="BT249" s="3175">
        <f t="shared" si="151"/>
        <v>0</v>
      </c>
    </row>
    <row r="250" spans="1:72">
      <c r="A250" s="3120"/>
      <c r="B250" s="3121"/>
      <c r="C250" s="3121"/>
      <c r="D250" s="3122"/>
      <c r="E250" s="3123">
        <f t="shared" si="123"/>
        <v>0</v>
      </c>
      <c r="F250" s="3124"/>
      <c r="G250" s="3125">
        <f t="shared" si="124"/>
        <v>0</v>
      </c>
      <c r="H250" s="3126">
        <f t="shared" si="125"/>
        <v>0</v>
      </c>
      <c r="I250" s="3133"/>
      <c r="J250" s="3133"/>
      <c r="K250" s="3133"/>
      <c r="L250" s="3133"/>
      <c r="M250" s="3133"/>
      <c r="N250" s="3133"/>
      <c r="O250" s="3133"/>
      <c r="P250" s="3133"/>
      <c r="Q250" s="3133"/>
      <c r="R250" s="3133"/>
      <c r="S250" s="3133"/>
      <c r="T250" s="3133"/>
      <c r="U250" s="3133"/>
      <c r="V250" s="3133"/>
      <c r="W250" s="3133"/>
      <c r="X250" s="3133"/>
      <c r="Y250" s="3133"/>
      <c r="Z250" s="3133"/>
      <c r="AA250" s="3133"/>
      <c r="AB250" s="3133"/>
      <c r="AC250" s="3123">
        <f t="shared" si="126"/>
        <v>0</v>
      </c>
      <c r="AD250" s="3143"/>
      <c r="AE250" s="3143"/>
      <c r="AF250" s="3143"/>
      <c r="AG250" s="3143"/>
      <c r="AH250" s="3143"/>
      <c r="AI250" s="3143"/>
      <c r="AJ250" s="3143"/>
      <c r="AK250" s="3143"/>
      <c r="AL250" s="3143"/>
      <c r="AM250" s="3143"/>
      <c r="AN250" s="3143"/>
      <c r="AO250" s="3143"/>
      <c r="AP250" s="3143"/>
      <c r="AQ250" s="3143"/>
      <c r="AR250" s="3143"/>
      <c r="AS250" s="3143"/>
      <c r="AT250" s="3153"/>
      <c r="AU250" s="3154"/>
      <c r="AV250" s="270">
        <f t="shared" si="127"/>
        <v>0</v>
      </c>
      <c r="AW250" s="270">
        <f t="shared" si="128"/>
        <v>0</v>
      </c>
      <c r="AX250" s="270">
        <f t="shared" si="129"/>
        <v>0</v>
      </c>
      <c r="AY250" s="3168">
        <f t="shared" si="130"/>
        <v>0</v>
      </c>
      <c r="AZ250" s="3123">
        <f t="shared" si="131"/>
        <v>0</v>
      </c>
      <c r="BA250" s="3123">
        <f t="shared" si="132"/>
        <v>0</v>
      </c>
      <c r="BB250" s="3123">
        <f t="shared" si="133"/>
        <v>0</v>
      </c>
      <c r="BC250" s="3123">
        <f t="shared" si="134"/>
        <v>0</v>
      </c>
      <c r="BD250" s="3123">
        <f t="shared" si="135"/>
        <v>0</v>
      </c>
      <c r="BE250" s="3123">
        <f t="shared" si="136"/>
        <v>0</v>
      </c>
      <c r="BF250" s="3123">
        <f t="shared" si="137"/>
        <v>0</v>
      </c>
      <c r="BG250" s="3123">
        <f t="shared" si="138"/>
        <v>0</v>
      </c>
      <c r="BH250" s="3123">
        <f t="shared" si="139"/>
        <v>0</v>
      </c>
      <c r="BI250" s="3123">
        <f t="shared" si="140"/>
        <v>0</v>
      </c>
      <c r="BJ250" s="3123">
        <f t="shared" si="141"/>
        <v>0</v>
      </c>
      <c r="BK250" s="3123">
        <f t="shared" si="142"/>
        <v>0</v>
      </c>
      <c r="BL250" s="3123">
        <f t="shared" si="143"/>
        <v>0</v>
      </c>
      <c r="BM250" s="3123">
        <f t="shared" si="144"/>
        <v>0</v>
      </c>
      <c r="BN250" s="3123">
        <f t="shared" si="145"/>
        <v>0</v>
      </c>
      <c r="BO250" s="3123">
        <f t="shared" si="146"/>
        <v>0</v>
      </c>
      <c r="BP250" s="3123">
        <f t="shared" si="147"/>
        <v>0</v>
      </c>
      <c r="BQ250" s="3123">
        <f t="shared" si="148"/>
        <v>0</v>
      </c>
      <c r="BR250" s="3123">
        <f t="shared" si="149"/>
        <v>0</v>
      </c>
      <c r="BS250" s="3123">
        <f t="shared" si="150"/>
        <v>0</v>
      </c>
      <c r="BT250" s="3175">
        <f t="shared" si="151"/>
        <v>0</v>
      </c>
    </row>
    <row r="251" spans="1:72">
      <c r="A251" s="3120"/>
      <c r="B251" s="3121"/>
      <c r="C251" s="3121"/>
      <c r="D251" s="3122"/>
      <c r="E251" s="3123">
        <f t="shared" si="123"/>
        <v>0</v>
      </c>
      <c r="F251" s="3124"/>
      <c r="G251" s="3125">
        <f t="shared" si="124"/>
        <v>0</v>
      </c>
      <c r="H251" s="3126">
        <f t="shared" si="125"/>
        <v>0</v>
      </c>
      <c r="I251" s="3133"/>
      <c r="J251" s="3133"/>
      <c r="K251" s="3133"/>
      <c r="L251" s="3133"/>
      <c r="M251" s="3133"/>
      <c r="N251" s="3133"/>
      <c r="O251" s="3133"/>
      <c r="P251" s="3133"/>
      <c r="Q251" s="3133"/>
      <c r="R251" s="3133"/>
      <c r="S251" s="3133"/>
      <c r="T251" s="3133"/>
      <c r="U251" s="3133"/>
      <c r="V251" s="3133"/>
      <c r="W251" s="3133"/>
      <c r="X251" s="3133"/>
      <c r="Y251" s="3133"/>
      <c r="Z251" s="3133"/>
      <c r="AA251" s="3133"/>
      <c r="AB251" s="3133"/>
      <c r="AC251" s="3123">
        <f t="shared" si="126"/>
        <v>0</v>
      </c>
      <c r="AD251" s="3143"/>
      <c r="AE251" s="3143"/>
      <c r="AF251" s="3143"/>
      <c r="AG251" s="3143"/>
      <c r="AH251" s="3143"/>
      <c r="AI251" s="3143"/>
      <c r="AJ251" s="3143"/>
      <c r="AK251" s="3143"/>
      <c r="AL251" s="3143"/>
      <c r="AM251" s="3143"/>
      <c r="AN251" s="3143"/>
      <c r="AO251" s="3143"/>
      <c r="AP251" s="3143"/>
      <c r="AQ251" s="3143"/>
      <c r="AR251" s="3143"/>
      <c r="AS251" s="3143"/>
      <c r="AT251" s="3153"/>
      <c r="AU251" s="3154"/>
      <c r="AV251" s="270">
        <f t="shared" si="127"/>
        <v>0</v>
      </c>
      <c r="AW251" s="270">
        <f t="shared" si="128"/>
        <v>0</v>
      </c>
      <c r="AX251" s="270">
        <f t="shared" si="129"/>
        <v>0</v>
      </c>
      <c r="AY251" s="3168">
        <f t="shared" si="130"/>
        <v>0</v>
      </c>
      <c r="AZ251" s="3123">
        <f t="shared" si="131"/>
        <v>0</v>
      </c>
      <c r="BA251" s="3123">
        <f t="shared" si="132"/>
        <v>0</v>
      </c>
      <c r="BB251" s="3123">
        <f t="shared" si="133"/>
        <v>0</v>
      </c>
      <c r="BC251" s="3123">
        <f t="shared" si="134"/>
        <v>0</v>
      </c>
      <c r="BD251" s="3123">
        <f t="shared" si="135"/>
        <v>0</v>
      </c>
      <c r="BE251" s="3123">
        <f t="shared" si="136"/>
        <v>0</v>
      </c>
      <c r="BF251" s="3123">
        <f t="shared" si="137"/>
        <v>0</v>
      </c>
      <c r="BG251" s="3123">
        <f t="shared" si="138"/>
        <v>0</v>
      </c>
      <c r="BH251" s="3123">
        <f t="shared" si="139"/>
        <v>0</v>
      </c>
      <c r="BI251" s="3123">
        <f t="shared" si="140"/>
        <v>0</v>
      </c>
      <c r="BJ251" s="3123">
        <f t="shared" si="141"/>
        <v>0</v>
      </c>
      <c r="BK251" s="3123">
        <f t="shared" si="142"/>
        <v>0</v>
      </c>
      <c r="BL251" s="3123">
        <f t="shared" si="143"/>
        <v>0</v>
      </c>
      <c r="BM251" s="3123">
        <f t="shared" si="144"/>
        <v>0</v>
      </c>
      <c r="BN251" s="3123">
        <f t="shared" si="145"/>
        <v>0</v>
      </c>
      <c r="BO251" s="3123">
        <f t="shared" si="146"/>
        <v>0</v>
      </c>
      <c r="BP251" s="3123">
        <f t="shared" si="147"/>
        <v>0</v>
      </c>
      <c r="BQ251" s="3123">
        <f t="shared" si="148"/>
        <v>0</v>
      </c>
      <c r="BR251" s="3123">
        <f t="shared" si="149"/>
        <v>0</v>
      </c>
      <c r="BS251" s="3123">
        <f t="shared" si="150"/>
        <v>0</v>
      </c>
      <c r="BT251" s="3175">
        <f t="shared" si="151"/>
        <v>0</v>
      </c>
    </row>
    <row r="252" spans="1:72">
      <c r="A252" s="3120"/>
      <c r="B252" s="3121"/>
      <c r="C252" s="3121"/>
      <c r="D252" s="3122"/>
      <c r="E252" s="3123">
        <f t="shared" si="123"/>
        <v>0</v>
      </c>
      <c r="F252" s="3124"/>
      <c r="G252" s="3125">
        <f t="shared" si="124"/>
        <v>0</v>
      </c>
      <c r="H252" s="3126">
        <f t="shared" si="125"/>
        <v>0</v>
      </c>
      <c r="I252" s="3133"/>
      <c r="J252" s="3133"/>
      <c r="K252" s="3133"/>
      <c r="L252" s="3133"/>
      <c r="M252" s="3133"/>
      <c r="N252" s="3133"/>
      <c r="O252" s="3133"/>
      <c r="P252" s="3133"/>
      <c r="Q252" s="3133"/>
      <c r="R252" s="3133"/>
      <c r="S252" s="3133"/>
      <c r="T252" s="3133"/>
      <c r="U252" s="3133"/>
      <c r="V252" s="3133"/>
      <c r="W252" s="3133"/>
      <c r="X252" s="3133"/>
      <c r="Y252" s="3133"/>
      <c r="Z252" s="3133"/>
      <c r="AA252" s="3133"/>
      <c r="AB252" s="3133"/>
      <c r="AC252" s="3123">
        <f t="shared" si="126"/>
        <v>0</v>
      </c>
      <c r="AD252" s="3143"/>
      <c r="AE252" s="3143"/>
      <c r="AF252" s="3143"/>
      <c r="AG252" s="3143"/>
      <c r="AH252" s="3143"/>
      <c r="AI252" s="3143"/>
      <c r="AJ252" s="3143"/>
      <c r="AK252" s="3143"/>
      <c r="AL252" s="3143"/>
      <c r="AM252" s="3143"/>
      <c r="AN252" s="3143"/>
      <c r="AO252" s="3143"/>
      <c r="AP252" s="3143"/>
      <c r="AQ252" s="3143"/>
      <c r="AR252" s="3143"/>
      <c r="AS252" s="3143"/>
      <c r="AT252" s="3153"/>
      <c r="AU252" s="3154"/>
      <c r="AV252" s="270">
        <f t="shared" si="127"/>
        <v>0</v>
      </c>
      <c r="AW252" s="270">
        <f t="shared" si="128"/>
        <v>0</v>
      </c>
      <c r="AX252" s="270">
        <f t="shared" si="129"/>
        <v>0</v>
      </c>
      <c r="AY252" s="3168">
        <f t="shared" si="130"/>
        <v>0</v>
      </c>
      <c r="AZ252" s="3123">
        <f t="shared" si="131"/>
        <v>0</v>
      </c>
      <c r="BA252" s="3123">
        <f t="shared" si="132"/>
        <v>0</v>
      </c>
      <c r="BB252" s="3123">
        <f t="shared" si="133"/>
        <v>0</v>
      </c>
      <c r="BC252" s="3123">
        <f t="shared" si="134"/>
        <v>0</v>
      </c>
      <c r="BD252" s="3123">
        <f t="shared" si="135"/>
        <v>0</v>
      </c>
      <c r="BE252" s="3123">
        <f t="shared" si="136"/>
        <v>0</v>
      </c>
      <c r="BF252" s="3123">
        <f t="shared" si="137"/>
        <v>0</v>
      </c>
      <c r="BG252" s="3123">
        <f t="shared" si="138"/>
        <v>0</v>
      </c>
      <c r="BH252" s="3123">
        <f t="shared" si="139"/>
        <v>0</v>
      </c>
      <c r="BI252" s="3123">
        <f t="shared" si="140"/>
        <v>0</v>
      </c>
      <c r="BJ252" s="3123">
        <f t="shared" si="141"/>
        <v>0</v>
      </c>
      <c r="BK252" s="3123">
        <f t="shared" si="142"/>
        <v>0</v>
      </c>
      <c r="BL252" s="3123">
        <f t="shared" si="143"/>
        <v>0</v>
      </c>
      <c r="BM252" s="3123">
        <f t="shared" si="144"/>
        <v>0</v>
      </c>
      <c r="BN252" s="3123">
        <f t="shared" si="145"/>
        <v>0</v>
      </c>
      <c r="BO252" s="3123">
        <f t="shared" si="146"/>
        <v>0</v>
      </c>
      <c r="BP252" s="3123">
        <f t="shared" si="147"/>
        <v>0</v>
      </c>
      <c r="BQ252" s="3123">
        <f t="shared" si="148"/>
        <v>0</v>
      </c>
      <c r="BR252" s="3123">
        <f t="shared" si="149"/>
        <v>0</v>
      </c>
      <c r="BS252" s="3123">
        <f t="shared" si="150"/>
        <v>0</v>
      </c>
      <c r="BT252" s="3175">
        <f t="shared" si="151"/>
        <v>0</v>
      </c>
    </row>
    <row r="253" spans="1:72">
      <c r="A253" s="3120"/>
      <c r="B253" s="3121"/>
      <c r="C253" s="3121"/>
      <c r="D253" s="3122"/>
      <c r="E253" s="3123">
        <f t="shared" si="123"/>
        <v>0</v>
      </c>
      <c r="F253" s="3124"/>
      <c r="G253" s="3125">
        <f t="shared" si="124"/>
        <v>0</v>
      </c>
      <c r="H253" s="3126">
        <f t="shared" si="125"/>
        <v>0</v>
      </c>
      <c r="I253" s="3133"/>
      <c r="J253" s="3133"/>
      <c r="K253" s="3133"/>
      <c r="L253" s="3133"/>
      <c r="M253" s="3133"/>
      <c r="N253" s="3133"/>
      <c r="O253" s="3133"/>
      <c r="P253" s="3133"/>
      <c r="Q253" s="3133"/>
      <c r="R253" s="3133"/>
      <c r="S253" s="3133"/>
      <c r="T253" s="3133"/>
      <c r="U253" s="3133"/>
      <c r="V253" s="3133"/>
      <c r="W253" s="3133"/>
      <c r="X253" s="3133"/>
      <c r="Y253" s="3133"/>
      <c r="Z253" s="3133"/>
      <c r="AA253" s="3133"/>
      <c r="AB253" s="3133"/>
      <c r="AC253" s="3123">
        <f t="shared" si="126"/>
        <v>0</v>
      </c>
      <c r="AD253" s="3143"/>
      <c r="AE253" s="3143"/>
      <c r="AF253" s="3143"/>
      <c r="AG253" s="3143"/>
      <c r="AH253" s="3143"/>
      <c r="AI253" s="3143"/>
      <c r="AJ253" s="3143"/>
      <c r="AK253" s="3143"/>
      <c r="AL253" s="3143"/>
      <c r="AM253" s="3143"/>
      <c r="AN253" s="3143"/>
      <c r="AO253" s="3143"/>
      <c r="AP253" s="3143"/>
      <c r="AQ253" s="3143"/>
      <c r="AR253" s="3143"/>
      <c r="AS253" s="3143"/>
      <c r="AT253" s="3153"/>
      <c r="AU253" s="3154"/>
      <c r="AV253" s="270">
        <f t="shared" si="127"/>
        <v>0</v>
      </c>
      <c r="AW253" s="270">
        <f t="shared" si="128"/>
        <v>0</v>
      </c>
      <c r="AX253" s="270">
        <f t="shared" si="129"/>
        <v>0</v>
      </c>
      <c r="AY253" s="3168">
        <f t="shared" si="130"/>
        <v>0</v>
      </c>
      <c r="AZ253" s="3123">
        <f t="shared" si="131"/>
        <v>0</v>
      </c>
      <c r="BA253" s="3123">
        <f t="shared" si="132"/>
        <v>0</v>
      </c>
      <c r="BB253" s="3123">
        <f t="shared" si="133"/>
        <v>0</v>
      </c>
      <c r="BC253" s="3123">
        <f t="shared" si="134"/>
        <v>0</v>
      </c>
      <c r="BD253" s="3123">
        <f t="shared" si="135"/>
        <v>0</v>
      </c>
      <c r="BE253" s="3123">
        <f t="shared" si="136"/>
        <v>0</v>
      </c>
      <c r="BF253" s="3123">
        <f t="shared" si="137"/>
        <v>0</v>
      </c>
      <c r="BG253" s="3123">
        <f t="shared" si="138"/>
        <v>0</v>
      </c>
      <c r="BH253" s="3123">
        <f t="shared" si="139"/>
        <v>0</v>
      </c>
      <c r="BI253" s="3123">
        <f t="shared" si="140"/>
        <v>0</v>
      </c>
      <c r="BJ253" s="3123">
        <f t="shared" si="141"/>
        <v>0</v>
      </c>
      <c r="BK253" s="3123">
        <f t="shared" si="142"/>
        <v>0</v>
      </c>
      <c r="BL253" s="3123">
        <f t="shared" si="143"/>
        <v>0</v>
      </c>
      <c r="BM253" s="3123">
        <f t="shared" si="144"/>
        <v>0</v>
      </c>
      <c r="BN253" s="3123">
        <f t="shared" si="145"/>
        <v>0</v>
      </c>
      <c r="BO253" s="3123">
        <f t="shared" si="146"/>
        <v>0</v>
      </c>
      <c r="BP253" s="3123">
        <f t="shared" si="147"/>
        <v>0</v>
      </c>
      <c r="BQ253" s="3123">
        <f t="shared" si="148"/>
        <v>0</v>
      </c>
      <c r="BR253" s="3123">
        <f t="shared" si="149"/>
        <v>0</v>
      </c>
      <c r="BS253" s="3123">
        <f t="shared" si="150"/>
        <v>0</v>
      </c>
      <c r="BT253" s="3175">
        <f t="shared" si="151"/>
        <v>0</v>
      </c>
    </row>
    <row r="254" spans="1:72">
      <c r="A254" s="3120"/>
      <c r="B254" s="3121"/>
      <c r="C254" s="3121"/>
      <c r="D254" s="3122"/>
      <c r="E254" s="3123">
        <f t="shared" si="123"/>
        <v>0</v>
      </c>
      <c r="F254" s="3124"/>
      <c r="G254" s="3125">
        <f t="shared" si="124"/>
        <v>0</v>
      </c>
      <c r="H254" s="3126">
        <f t="shared" si="125"/>
        <v>0</v>
      </c>
      <c r="I254" s="3133"/>
      <c r="J254" s="3133"/>
      <c r="K254" s="3133"/>
      <c r="L254" s="3133"/>
      <c r="M254" s="3133"/>
      <c r="N254" s="3133"/>
      <c r="O254" s="3133"/>
      <c r="P254" s="3133"/>
      <c r="Q254" s="3133"/>
      <c r="R254" s="3133"/>
      <c r="S254" s="3133"/>
      <c r="T254" s="3133"/>
      <c r="U254" s="3133"/>
      <c r="V254" s="3133"/>
      <c r="W254" s="3133"/>
      <c r="X254" s="3133"/>
      <c r="Y254" s="3133"/>
      <c r="Z254" s="3133"/>
      <c r="AA254" s="3133"/>
      <c r="AB254" s="3133"/>
      <c r="AC254" s="3123">
        <f t="shared" si="126"/>
        <v>0</v>
      </c>
      <c r="AD254" s="3143"/>
      <c r="AE254" s="3143"/>
      <c r="AF254" s="3143"/>
      <c r="AG254" s="3143"/>
      <c r="AH254" s="3143"/>
      <c r="AI254" s="3143"/>
      <c r="AJ254" s="3143"/>
      <c r="AK254" s="3143"/>
      <c r="AL254" s="3143"/>
      <c r="AM254" s="3143"/>
      <c r="AN254" s="3143"/>
      <c r="AO254" s="3143"/>
      <c r="AP254" s="3143"/>
      <c r="AQ254" s="3143"/>
      <c r="AR254" s="3143"/>
      <c r="AS254" s="3143"/>
      <c r="AT254" s="3153"/>
      <c r="AU254" s="3154"/>
      <c r="AV254" s="270">
        <f t="shared" si="127"/>
        <v>0</v>
      </c>
      <c r="AW254" s="270">
        <f t="shared" si="128"/>
        <v>0</v>
      </c>
      <c r="AX254" s="270">
        <f t="shared" si="129"/>
        <v>0</v>
      </c>
      <c r="AY254" s="3168">
        <f t="shared" si="130"/>
        <v>0</v>
      </c>
      <c r="AZ254" s="3123">
        <f t="shared" si="131"/>
        <v>0</v>
      </c>
      <c r="BA254" s="3123">
        <f t="shared" si="132"/>
        <v>0</v>
      </c>
      <c r="BB254" s="3123">
        <f t="shared" si="133"/>
        <v>0</v>
      </c>
      <c r="BC254" s="3123">
        <f t="shared" si="134"/>
        <v>0</v>
      </c>
      <c r="BD254" s="3123">
        <f t="shared" si="135"/>
        <v>0</v>
      </c>
      <c r="BE254" s="3123">
        <f t="shared" si="136"/>
        <v>0</v>
      </c>
      <c r="BF254" s="3123">
        <f t="shared" si="137"/>
        <v>0</v>
      </c>
      <c r="BG254" s="3123">
        <f t="shared" si="138"/>
        <v>0</v>
      </c>
      <c r="BH254" s="3123">
        <f t="shared" si="139"/>
        <v>0</v>
      </c>
      <c r="BI254" s="3123">
        <f t="shared" si="140"/>
        <v>0</v>
      </c>
      <c r="BJ254" s="3123">
        <f t="shared" si="141"/>
        <v>0</v>
      </c>
      <c r="BK254" s="3123">
        <f t="shared" si="142"/>
        <v>0</v>
      </c>
      <c r="BL254" s="3123">
        <f t="shared" si="143"/>
        <v>0</v>
      </c>
      <c r="BM254" s="3123">
        <f t="shared" si="144"/>
        <v>0</v>
      </c>
      <c r="BN254" s="3123">
        <f t="shared" si="145"/>
        <v>0</v>
      </c>
      <c r="BO254" s="3123">
        <f t="shared" si="146"/>
        <v>0</v>
      </c>
      <c r="BP254" s="3123">
        <f t="shared" si="147"/>
        <v>0</v>
      </c>
      <c r="BQ254" s="3123">
        <f t="shared" si="148"/>
        <v>0</v>
      </c>
      <c r="BR254" s="3123">
        <f t="shared" si="149"/>
        <v>0</v>
      </c>
      <c r="BS254" s="3123">
        <f t="shared" si="150"/>
        <v>0</v>
      </c>
      <c r="BT254" s="3175">
        <f t="shared" si="151"/>
        <v>0</v>
      </c>
    </row>
    <row r="255" spans="1:72">
      <c r="A255" s="3120"/>
      <c r="B255" s="3121"/>
      <c r="C255" s="3121"/>
      <c r="D255" s="3122"/>
      <c r="E255" s="3123">
        <f t="shared" si="123"/>
        <v>0</v>
      </c>
      <c r="F255" s="3124"/>
      <c r="G255" s="3125">
        <f t="shared" si="124"/>
        <v>0</v>
      </c>
      <c r="H255" s="3126">
        <f t="shared" si="125"/>
        <v>0</v>
      </c>
      <c r="I255" s="3133"/>
      <c r="J255" s="3133"/>
      <c r="K255" s="3133"/>
      <c r="L255" s="3133"/>
      <c r="M255" s="3133"/>
      <c r="N255" s="3133"/>
      <c r="O255" s="3133"/>
      <c r="P255" s="3133"/>
      <c r="Q255" s="3133"/>
      <c r="R255" s="3133"/>
      <c r="S255" s="3133"/>
      <c r="T255" s="3133"/>
      <c r="U255" s="3133"/>
      <c r="V255" s="3133"/>
      <c r="W255" s="3133"/>
      <c r="X255" s="3133"/>
      <c r="Y255" s="3133"/>
      <c r="Z255" s="3133"/>
      <c r="AA255" s="3133"/>
      <c r="AB255" s="3133"/>
      <c r="AC255" s="3123">
        <f t="shared" si="126"/>
        <v>0</v>
      </c>
      <c r="AD255" s="3143"/>
      <c r="AE255" s="3143"/>
      <c r="AF255" s="3143"/>
      <c r="AG255" s="3143"/>
      <c r="AH255" s="3143"/>
      <c r="AI255" s="3143"/>
      <c r="AJ255" s="3143"/>
      <c r="AK255" s="3143"/>
      <c r="AL255" s="3143"/>
      <c r="AM255" s="3143"/>
      <c r="AN255" s="3143"/>
      <c r="AO255" s="3143"/>
      <c r="AP255" s="3143"/>
      <c r="AQ255" s="3143"/>
      <c r="AR255" s="3143"/>
      <c r="AS255" s="3143"/>
      <c r="AT255" s="3153"/>
      <c r="AU255" s="3154"/>
      <c r="AV255" s="270">
        <f t="shared" si="127"/>
        <v>0</v>
      </c>
      <c r="AW255" s="270">
        <f t="shared" si="128"/>
        <v>0</v>
      </c>
      <c r="AX255" s="270">
        <f t="shared" si="129"/>
        <v>0</v>
      </c>
      <c r="AY255" s="3168">
        <f t="shared" si="130"/>
        <v>0</v>
      </c>
      <c r="AZ255" s="3123">
        <f t="shared" si="131"/>
        <v>0</v>
      </c>
      <c r="BA255" s="3123">
        <f t="shared" si="132"/>
        <v>0</v>
      </c>
      <c r="BB255" s="3123">
        <f t="shared" si="133"/>
        <v>0</v>
      </c>
      <c r="BC255" s="3123">
        <f t="shared" si="134"/>
        <v>0</v>
      </c>
      <c r="BD255" s="3123">
        <f t="shared" si="135"/>
        <v>0</v>
      </c>
      <c r="BE255" s="3123">
        <f t="shared" si="136"/>
        <v>0</v>
      </c>
      <c r="BF255" s="3123">
        <f t="shared" si="137"/>
        <v>0</v>
      </c>
      <c r="BG255" s="3123">
        <f t="shared" si="138"/>
        <v>0</v>
      </c>
      <c r="BH255" s="3123">
        <f t="shared" si="139"/>
        <v>0</v>
      </c>
      <c r="BI255" s="3123">
        <f t="shared" si="140"/>
        <v>0</v>
      </c>
      <c r="BJ255" s="3123">
        <f t="shared" si="141"/>
        <v>0</v>
      </c>
      <c r="BK255" s="3123">
        <f t="shared" si="142"/>
        <v>0</v>
      </c>
      <c r="BL255" s="3123">
        <f t="shared" si="143"/>
        <v>0</v>
      </c>
      <c r="BM255" s="3123">
        <f t="shared" si="144"/>
        <v>0</v>
      </c>
      <c r="BN255" s="3123">
        <f t="shared" si="145"/>
        <v>0</v>
      </c>
      <c r="BO255" s="3123">
        <f t="shared" si="146"/>
        <v>0</v>
      </c>
      <c r="BP255" s="3123">
        <f t="shared" si="147"/>
        <v>0</v>
      </c>
      <c r="BQ255" s="3123">
        <f t="shared" si="148"/>
        <v>0</v>
      </c>
      <c r="BR255" s="3123">
        <f t="shared" si="149"/>
        <v>0</v>
      </c>
      <c r="BS255" s="3123">
        <f t="shared" si="150"/>
        <v>0</v>
      </c>
      <c r="BT255" s="3175">
        <f t="shared" si="151"/>
        <v>0</v>
      </c>
    </row>
    <row r="256" spans="1:72">
      <c r="A256" s="3120"/>
      <c r="B256" s="3121"/>
      <c r="C256" s="3121"/>
      <c r="D256" s="3122"/>
      <c r="E256" s="3123">
        <f t="shared" si="123"/>
        <v>0</v>
      </c>
      <c r="F256" s="3124"/>
      <c r="G256" s="3125">
        <f t="shared" si="124"/>
        <v>0</v>
      </c>
      <c r="H256" s="3126">
        <f t="shared" si="125"/>
        <v>0</v>
      </c>
      <c r="I256" s="3133"/>
      <c r="J256" s="3133"/>
      <c r="K256" s="3133"/>
      <c r="L256" s="3133"/>
      <c r="M256" s="3133"/>
      <c r="N256" s="3133"/>
      <c r="O256" s="3133"/>
      <c r="P256" s="3133"/>
      <c r="Q256" s="3133"/>
      <c r="R256" s="3133"/>
      <c r="S256" s="3133"/>
      <c r="T256" s="3133"/>
      <c r="U256" s="3133"/>
      <c r="V256" s="3133"/>
      <c r="W256" s="3133"/>
      <c r="X256" s="3133"/>
      <c r="Y256" s="3133"/>
      <c r="Z256" s="3133"/>
      <c r="AA256" s="3133"/>
      <c r="AB256" s="3133"/>
      <c r="AC256" s="3123">
        <f t="shared" si="126"/>
        <v>0</v>
      </c>
      <c r="AD256" s="3143"/>
      <c r="AE256" s="3143"/>
      <c r="AF256" s="3143"/>
      <c r="AG256" s="3143"/>
      <c r="AH256" s="3143"/>
      <c r="AI256" s="3143"/>
      <c r="AJ256" s="3143"/>
      <c r="AK256" s="3143"/>
      <c r="AL256" s="3143"/>
      <c r="AM256" s="3143"/>
      <c r="AN256" s="3143"/>
      <c r="AO256" s="3143"/>
      <c r="AP256" s="3143"/>
      <c r="AQ256" s="3143"/>
      <c r="AR256" s="3143"/>
      <c r="AS256" s="3143"/>
      <c r="AT256" s="3153"/>
      <c r="AU256" s="3154"/>
      <c r="AV256" s="270">
        <f t="shared" si="127"/>
        <v>0</v>
      </c>
      <c r="AW256" s="270">
        <f t="shared" si="128"/>
        <v>0</v>
      </c>
      <c r="AX256" s="270">
        <f t="shared" si="129"/>
        <v>0</v>
      </c>
      <c r="AY256" s="3168">
        <f t="shared" si="130"/>
        <v>0</v>
      </c>
      <c r="AZ256" s="3123">
        <f t="shared" si="131"/>
        <v>0</v>
      </c>
      <c r="BA256" s="3123">
        <f t="shared" si="132"/>
        <v>0</v>
      </c>
      <c r="BB256" s="3123">
        <f t="shared" si="133"/>
        <v>0</v>
      </c>
      <c r="BC256" s="3123">
        <f t="shared" si="134"/>
        <v>0</v>
      </c>
      <c r="BD256" s="3123">
        <f t="shared" si="135"/>
        <v>0</v>
      </c>
      <c r="BE256" s="3123">
        <f t="shared" si="136"/>
        <v>0</v>
      </c>
      <c r="BF256" s="3123">
        <f t="shared" si="137"/>
        <v>0</v>
      </c>
      <c r="BG256" s="3123">
        <f t="shared" si="138"/>
        <v>0</v>
      </c>
      <c r="BH256" s="3123">
        <f t="shared" si="139"/>
        <v>0</v>
      </c>
      <c r="BI256" s="3123">
        <f t="shared" si="140"/>
        <v>0</v>
      </c>
      <c r="BJ256" s="3123">
        <f t="shared" si="141"/>
        <v>0</v>
      </c>
      <c r="BK256" s="3123">
        <f t="shared" si="142"/>
        <v>0</v>
      </c>
      <c r="BL256" s="3123">
        <f t="shared" si="143"/>
        <v>0</v>
      </c>
      <c r="BM256" s="3123">
        <f t="shared" si="144"/>
        <v>0</v>
      </c>
      <c r="BN256" s="3123">
        <f t="shared" si="145"/>
        <v>0</v>
      </c>
      <c r="BO256" s="3123">
        <f t="shared" si="146"/>
        <v>0</v>
      </c>
      <c r="BP256" s="3123">
        <f t="shared" si="147"/>
        <v>0</v>
      </c>
      <c r="BQ256" s="3123">
        <f t="shared" si="148"/>
        <v>0</v>
      </c>
      <c r="BR256" s="3123">
        <f t="shared" si="149"/>
        <v>0</v>
      </c>
      <c r="BS256" s="3123">
        <f t="shared" si="150"/>
        <v>0</v>
      </c>
      <c r="BT256" s="3175">
        <f t="shared" si="151"/>
        <v>0</v>
      </c>
    </row>
    <row r="257" spans="1:72">
      <c r="A257" s="3120"/>
      <c r="B257" s="3121"/>
      <c r="C257" s="3121"/>
      <c r="D257" s="3122"/>
      <c r="E257" s="3123">
        <f t="shared" si="123"/>
        <v>0</v>
      </c>
      <c r="F257" s="3124"/>
      <c r="G257" s="3125">
        <f t="shared" si="124"/>
        <v>0</v>
      </c>
      <c r="H257" s="3126">
        <f t="shared" si="125"/>
        <v>0</v>
      </c>
      <c r="I257" s="3133"/>
      <c r="J257" s="3133"/>
      <c r="K257" s="3133"/>
      <c r="L257" s="3133"/>
      <c r="M257" s="3133"/>
      <c r="N257" s="3133"/>
      <c r="O257" s="3133"/>
      <c r="P257" s="3133"/>
      <c r="Q257" s="3133"/>
      <c r="R257" s="3133"/>
      <c r="S257" s="3133"/>
      <c r="T257" s="3133"/>
      <c r="U257" s="3133"/>
      <c r="V257" s="3133"/>
      <c r="W257" s="3133"/>
      <c r="X257" s="3133"/>
      <c r="Y257" s="3133"/>
      <c r="Z257" s="3133"/>
      <c r="AA257" s="3133"/>
      <c r="AB257" s="3133"/>
      <c r="AC257" s="3123">
        <f t="shared" si="126"/>
        <v>0</v>
      </c>
      <c r="AD257" s="3143"/>
      <c r="AE257" s="3143"/>
      <c r="AF257" s="3143"/>
      <c r="AG257" s="3143"/>
      <c r="AH257" s="3143"/>
      <c r="AI257" s="3143"/>
      <c r="AJ257" s="3143"/>
      <c r="AK257" s="3143"/>
      <c r="AL257" s="3143"/>
      <c r="AM257" s="3143"/>
      <c r="AN257" s="3143"/>
      <c r="AO257" s="3143"/>
      <c r="AP257" s="3143"/>
      <c r="AQ257" s="3143"/>
      <c r="AR257" s="3143"/>
      <c r="AS257" s="3143"/>
      <c r="AT257" s="3153"/>
      <c r="AU257" s="3154"/>
      <c r="AV257" s="270">
        <f t="shared" si="127"/>
        <v>0</v>
      </c>
      <c r="AW257" s="270">
        <f t="shared" si="128"/>
        <v>0</v>
      </c>
      <c r="AX257" s="270">
        <f t="shared" si="129"/>
        <v>0</v>
      </c>
      <c r="AY257" s="3168">
        <f t="shared" si="130"/>
        <v>0</v>
      </c>
      <c r="AZ257" s="3123">
        <f t="shared" si="131"/>
        <v>0</v>
      </c>
      <c r="BA257" s="3123">
        <f t="shared" si="132"/>
        <v>0</v>
      </c>
      <c r="BB257" s="3123">
        <f t="shared" si="133"/>
        <v>0</v>
      </c>
      <c r="BC257" s="3123">
        <f t="shared" si="134"/>
        <v>0</v>
      </c>
      <c r="BD257" s="3123">
        <f t="shared" si="135"/>
        <v>0</v>
      </c>
      <c r="BE257" s="3123">
        <f t="shared" si="136"/>
        <v>0</v>
      </c>
      <c r="BF257" s="3123">
        <f t="shared" si="137"/>
        <v>0</v>
      </c>
      <c r="BG257" s="3123">
        <f t="shared" si="138"/>
        <v>0</v>
      </c>
      <c r="BH257" s="3123">
        <f t="shared" si="139"/>
        <v>0</v>
      </c>
      <c r="BI257" s="3123">
        <f t="shared" si="140"/>
        <v>0</v>
      </c>
      <c r="BJ257" s="3123">
        <f t="shared" si="141"/>
        <v>0</v>
      </c>
      <c r="BK257" s="3123">
        <f t="shared" si="142"/>
        <v>0</v>
      </c>
      <c r="BL257" s="3123">
        <f t="shared" si="143"/>
        <v>0</v>
      </c>
      <c r="BM257" s="3123">
        <f t="shared" si="144"/>
        <v>0</v>
      </c>
      <c r="BN257" s="3123">
        <f t="shared" si="145"/>
        <v>0</v>
      </c>
      <c r="BO257" s="3123">
        <f t="shared" si="146"/>
        <v>0</v>
      </c>
      <c r="BP257" s="3123">
        <f t="shared" si="147"/>
        <v>0</v>
      </c>
      <c r="BQ257" s="3123">
        <f t="shared" si="148"/>
        <v>0</v>
      </c>
      <c r="BR257" s="3123">
        <f t="shared" si="149"/>
        <v>0</v>
      </c>
      <c r="BS257" s="3123">
        <f t="shared" si="150"/>
        <v>0</v>
      </c>
      <c r="BT257" s="3175">
        <f t="shared" si="151"/>
        <v>0</v>
      </c>
    </row>
    <row r="258" spans="1:72">
      <c r="A258" s="3120"/>
      <c r="B258" s="3121"/>
      <c r="C258" s="3121"/>
      <c r="D258" s="3122"/>
      <c r="E258" s="3123">
        <f t="shared" si="123"/>
        <v>0</v>
      </c>
      <c r="F258" s="3124"/>
      <c r="G258" s="3125">
        <f t="shared" si="124"/>
        <v>0</v>
      </c>
      <c r="H258" s="3126">
        <f t="shared" si="125"/>
        <v>0</v>
      </c>
      <c r="I258" s="3133"/>
      <c r="J258" s="3133"/>
      <c r="K258" s="3133"/>
      <c r="L258" s="3133"/>
      <c r="M258" s="3133"/>
      <c r="N258" s="3133"/>
      <c r="O258" s="3133"/>
      <c r="P258" s="3133"/>
      <c r="Q258" s="3133"/>
      <c r="R258" s="3133"/>
      <c r="S258" s="3133"/>
      <c r="T258" s="3133"/>
      <c r="U258" s="3133"/>
      <c r="V258" s="3133"/>
      <c r="W258" s="3133"/>
      <c r="X258" s="3133"/>
      <c r="Y258" s="3133"/>
      <c r="Z258" s="3133"/>
      <c r="AA258" s="3133"/>
      <c r="AB258" s="3133"/>
      <c r="AC258" s="3123">
        <f t="shared" si="126"/>
        <v>0</v>
      </c>
      <c r="AD258" s="3143"/>
      <c r="AE258" s="3143"/>
      <c r="AF258" s="3143"/>
      <c r="AG258" s="3143"/>
      <c r="AH258" s="3143"/>
      <c r="AI258" s="3143"/>
      <c r="AJ258" s="3143"/>
      <c r="AK258" s="3143"/>
      <c r="AL258" s="3143"/>
      <c r="AM258" s="3143"/>
      <c r="AN258" s="3143"/>
      <c r="AO258" s="3143"/>
      <c r="AP258" s="3143"/>
      <c r="AQ258" s="3143"/>
      <c r="AR258" s="3143"/>
      <c r="AS258" s="3143"/>
      <c r="AT258" s="3153"/>
      <c r="AU258" s="3154"/>
      <c r="AV258" s="270">
        <f t="shared" si="127"/>
        <v>0</v>
      </c>
      <c r="AW258" s="270">
        <f t="shared" si="128"/>
        <v>0</v>
      </c>
      <c r="AX258" s="270">
        <f t="shared" si="129"/>
        <v>0</v>
      </c>
      <c r="AY258" s="3168">
        <f t="shared" si="130"/>
        <v>0</v>
      </c>
      <c r="AZ258" s="3123">
        <f t="shared" si="131"/>
        <v>0</v>
      </c>
      <c r="BA258" s="3123">
        <f t="shared" si="132"/>
        <v>0</v>
      </c>
      <c r="BB258" s="3123">
        <f t="shared" si="133"/>
        <v>0</v>
      </c>
      <c r="BC258" s="3123">
        <f t="shared" si="134"/>
        <v>0</v>
      </c>
      <c r="BD258" s="3123">
        <f t="shared" si="135"/>
        <v>0</v>
      </c>
      <c r="BE258" s="3123">
        <f t="shared" si="136"/>
        <v>0</v>
      </c>
      <c r="BF258" s="3123">
        <f t="shared" si="137"/>
        <v>0</v>
      </c>
      <c r="BG258" s="3123">
        <f t="shared" si="138"/>
        <v>0</v>
      </c>
      <c r="BH258" s="3123">
        <f t="shared" si="139"/>
        <v>0</v>
      </c>
      <c r="BI258" s="3123">
        <f t="shared" si="140"/>
        <v>0</v>
      </c>
      <c r="BJ258" s="3123">
        <f t="shared" si="141"/>
        <v>0</v>
      </c>
      <c r="BK258" s="3123">
        <f t="shared" si="142"/>
        <v>0</v>
      </c>
      <c r="BL258" s="3123">
        <f t="shared" si="143"/>
        <v>0</v>
      </c>
      <c r="BM258" s="3123">
        <f t="shared" si="144"/>
        <v>0</v>
      </c>
      <c r="BN258" s="3123">
        <f t="shared" si="145"/>
        <v>0</v>
      </c>
      <c r="BO258" s="3123">
        <f t="shared" si="146"/>
        <v>0</v>
      </c>
      <c r="BP258" s="3123">
        <f t="shared" si="147"/>
        <v>0</v>
      </c>
      <c r="BQ258" s="3123">
        <f t="shared" si="148"/>
        <v>0</v>
      </c>
      <c r="BR258" s="3123">
        <f t="shared" si="149"/>
        <v>0</v>
      </c>
      <c r="BS258" s="3123">
        <f t="shared" si="150"/>
        <v>0</v>
      </c>
      <c r="BT258" s="3175">
        <f t="shared" si="151"/>
        <v>0</v>
      </c>
    </row>
    <row r="259" spans="1:72">
      <c r="A259" s="3120"/>
      <c r="B259" s="3121"/>
      <c r="C259" s="3121"/>
      <c r="D259" s="3122"/>
      <c r="E259" s="3123">
        <f t="shared" si="123"/>
        <v>0</v>
      </c>
      <c r="F259" s="3124"/>
      <c r="G259" s="3125">
        <f t="shared" si="124"/>
        <v>0</v>
      </c>
      <c r="H259" s="3126">
        <f t="shared" si="125"/>
        <v>0</v>
      </c>
      <c r="I259" s="3133"/>
      <c r="J259" s="3133"/>
      <c r="K259" s="3133"/>
      <c r="L259" s="3133"/>
      <c r="M259" s="3133"/>
      <c r="N259" s="3133"/>
      <c r="O259" s="3133"/>
      <c r="P259" s="3133"/>
      <c r="Q259" s="3133"/>
      <c r="R259" s="3133"/>
      <c r="S259" s="3133"/>
      <c r="T259" s="3133"/>
      <c r="U259" s="3133"/>
      <c r="V259" s="3133"/>
      <c r="W259" s="3133"/>
      <c r="X259" s="3133"/>
      <c r="Y259" s="3133"/>
      <c r="Z259" s="3133"/>
      <c r="AA259" s="3133"/>
      <c r="AB259" s="3133"/>
      <c r="AC259" s="3123">
        <f t="shared" si="126"/>
        <v>0</v>
      </c>
      <c r="AD259" s="3143"/>
      <c r="AE259" s="3143"/>
      <c r="AF259" s="3143"/>
      <c r="AG259" s="3143"/>
      <c r="AH259" s="3143"/>
      <c r="AI259" s="3143"/>
      <c r="AJ259" s="3143"/>
      <c r="AK259" s="3143"/>
      <c r="AL259" s="3143"/>
      <c r="AM259" s="3143"/>
      <c r="AN259" s="3143"/>
      <c r="AO259" s="3143"/>
      <c r="AP259" s="3143"/>
      <c r="AQ259" s="3143"/>
      <c r="AR259" s="3143"/>
      <c r="AS259" s="3143"/>
      <c r="AT259" s="3153"/>
      <c r="AU259" s="3154"/>
      <c r="AV259" s="270">
        <f t="shared" si="127"/>
        <v>0</v>
      </c>
      <c r="AW259" s="270">
        <f t="shared" si="128"/>
        <v>0</v>
      </c>
      <c r="AX259" s="270">
        <f t="shared" si="129"/>
        <v>0</v>
      </c>
      <c r="AY259" s="3168">
        <f t="shared" si="130"/>
        <v>0</v>
      </c>
      <c r="AZ259" s="3123">
        <f t="shared" si="131"/>
        <v>0</v>
      </c>
      <c r="BA259" s="3123">
        <f t="shared" si="132"/>
        <v>0</v>
      </c>
      <c r="BB259" s="3123">
        <f t="shared" si="133"/>
        <v>0</v>
      </c>
      <c r="BC259" s="3123">
        <f t="shared" si="134"/>
        <v>0</v>
      </c>
      <c r="BD259" s="3123">
        <f t="shared" si="135"/>
        <v>0</v>
      </c>
      <c r="BE259" s="3123">
        <f t="shared" si="136"/>
        <v>0</v>
      </c>
      <c r="BF259" s="3123">
        <f t="shared" si="137"/>
        <v>0</v>
      </c>
      <c r="BG259" s="3123">
        <f t="shared" si="138"/>
        <v>0</v>
      </c>
      <c r="BH259" s="3123">
        <f t="shared" si="139"/>
        <v>0</v>
      </c>
      <c r="BI259" s="3123">
        <f t="shared" si="140"/>
        <v>0</v>
      </c>
      <c r="BJ259" s="3123">
        <f t="shared" si="141"/>
        <v>0</v>
      </c>
      <c r="BK259" s="3123">
        <f t="shared" si="142"/>
        <v>0</v>
      </c>
      <c r="BL259" s="3123">
        <f t="shared" si="143"/>
        <v>0</v>
      </c>
      <c r="BM259" s="3123">
        <f t="shared" si="144"/>
        <v>0</v>
      </c>
      <c r="BN259" s="3123">
        <f t="shared" si="145"/>
        <v>0</v>
      </c>
      <c r="BO259" s="3123">
        <f t="shared" si="146"/>
        <v>0</v>
      </c>
      <c r="BP259" s="3123">
        <f t="shared" si="147"/>
        <v>0</v>
      </c>
      <c r="BQ259" s="3123">
        <f t="shared" si="148"/>
        <v>0</v>
      </c>
      <c r="BR259" s="3123">
        <f t="shared" si="149"/>
        <v>0</v>
      </c>
      <c r="BS259" s="3123">
        <f t="shared" si="150"/>
        <v>0</v>
      </c>
      <c r="BT259" s="3175">
        <f t="shared" si="151"/>
        <v>0</v>
      </c>
    </row>
    <row r="260" spans="1:72">
      <c r="A260" s="3120"/>
      <c r="B260" s="3121"/>
      <c r="C260" s="3121"/>
      <c r="D260" s="3122"/>
      <c r="E260" s="3123">
        <f t="shared" si="123"/>
        <v>0</v>
      </c>
      <c r="F260" s="3124"/>
      <c r="G260" s="3125">
        <f t="shared" si="124"/>
        <v>0</v>
      </c>
      <c r="H260" s="3126">
        <f t="shared" si="125"/>
        <v>0</v>
      </c>
      <c r="I260" s="3133"/>
      <c r="J260" s="3133"/>
      <c r="K260" s="3133"/>
      <c r="L260" s="3133"/>
      <c r="M260" s="3133"/>
      <c r="N260" s="3133"/>
      <c r="O260" s="3133"/>
      <c r="P260" s="3133"/>
      <c r="Q260" s="3133"/>
      <c r="R260" s="3133"/>
      <c r="S260" s="3133"/>
      <c r="T260" s="3133"/>
      <c r="U260" s="3133"/>
      <c r="V260" s="3133"/>
      <c r="W260" s="3133"/>
      <c r="X260" s="3133"/>
      <c r="Y260" s="3133"/>
      <c r="Z260" s="3133"/>
      <c r="AA260" s="3133"/>
      <c r="AB260" s="3133"/>
      <c r="AC260" s="3123">
        <f t="shared" si="126"/>
        <v>0</v>
      </c>
      <c r="AD260" s="3143"/>
      <c r="AE260" s="3143"/>
      <c r="AF260" s="3143"/>
      <c r="AG260" s="3143"/>
      <c r="AH260" s="3143"/>
      <c r="AI260" s="3143"/>
      <c r="AJ260" s="3143"/>
      <c r="AK260" s="3143"/>
      <c r="AL260" s="3143"/>
      <c r="AM260" s="3143"/>
      <c r="AN260" s="3143"/>
      <c r="AO260" s="3143"/>
      <c r="AP260" s="3143"/>
      <c r="AQ260" s="3143"/>
      <c r="AR260" s="3143"/>
      <c r="AS260" s="3143"/>
      <c r="AT260" s="3153"/>
      <c r="AU260" s="3154"/>
      <c r="AV260" s="270">
        <f t="shared" si="127"/>
        <v>0</v>
      </c>
      <c r="AW260" s="270">
        <f t="shared" si="128"/>
        <v>0</v>
      </c>
      <c r="AX260" s="270">
        <f t="shared" si="129"/>
        <v>0</v>
      </c>
      <c r="AY260" s="3168">
        <f t="shared" si="130"/>
        <v>0</v>
      </c>
      <c r="AZ260" s="3123">
        <f t="shared" si="131"/>
        <v>0</v>
      </c>
      <c r="BA260" s="3123">
        <f t="shared" si="132"/>
        <v>0</v>
      </c>
      <c r="BB260" s="3123">
        <f t="shared" si="133"/>
        <v>0</v>
      </c>
      <c r="BC260" s="3123">
        <f t="shared" si="134"/>
        <v>0</v>
      </c>
      <c r="BD260" s="3123">
        <f t="shared" si="135"/>
        <v>0</v>
      </c>
      <c r="BE260" s="3123">
        <f t="shared" si="136"/>
        <v>0</v>
      </c>
      <c r="BF260" s="3123">
        <f t="shared" si="137"/>
        <v>0</v>
      </c>
      <c r="BG260" s="3123">
        <f t="shared" si="138"/>
        <v>0</v>
      </c>
      <c r="BH260" s="3123">
        <f t="shared" si="139"/>
        <v>0</v>
      </c>
      <c r="BI260" s="3123">
        <f t="shared" si="140"/>
        <v>0</v>
      </c>
      <c r="BJ260" s="3123">
        <f t="shared" si="141"/>
        <v>0</v>
      </c>
      <c r="BK260" s="3123">
        <f t="shared" si="142"/>
        <v>0</v>
      </c>
      <c r="BL260" s="3123">
        <f t="shared" si="143"/>
        <v>0</v>
      </c>
      <c r="BM260" s="3123">
        <f t="shared" si="144"/>
        <v>0</v>
      </c>
      <c r="BN260" s="3123">
        <f t="shared" si="145"/>
        <v>0</v>
      </c>
      <c r="BO260" s="3123">
        <f t="shared" si="146"/>
        <v>0</v>
      </c>
      <c r="BP260" s="3123">
        <f t="shared" si="147"/>
        <v>0</v>
      </c>
      <c r="BQ260" s="3123">
        <f t="shared" si="148"/>
        <v>0</v>
      </c>
      <c r="BR260" s="3123">
        <f t="shared" si="149"/>
        <v>0</v>
      </c>
      <c r="BS260" s="3123">
        <f t="shared" si="150"/>
        <v>0</v>
      </c>
      <c r="BT260" s="3175">
        <f t="shared" si="151"/>
        <v>0</v>
      </c>
    </row>
    <row r="261" spans="1:72">
      <c r="A261" s="3120"/>
      <c r="B261" s="3121"/>
      <c r="C261" s="3121"/>
      <c r="D261" s="3122"/>
      <c r="E261" s="3123">
        <f t="shared" si="123"/>
        <v>0</v>
      </c>
      <c r="F261" s="3124"/>
      <c r="G261" s="3125">
        <f t="shared" si="124"/>
        <v>0</v>
      </c>
      <c r="H261" s="3126">
        <f t="shared" si="125"/>
        <v>0</v>
      </c>
      <c r="I261" s="3133"/>
      <c r="J261" s="3133"/>
      <c r="K261" s="3133"/>
      <c r="L261" s="3133"/>
      <c r="M261" s="3133"/>
      <c r="N261" s="3133"/>
      <c r="O261" s="3133"/>
      <c r="P261" s="3133"/>
      <c r="Q261" s="3133"/>
      <c r="R261" s="3133"/>
      <c r="S261" s="3133"/>
      <c r="T261" s="3133"/>
      <c r="U261" s="3133"/>
      <c r="V261" s="3133"/>
      <c r="W261" s="3133"/>
      <c r="X261" s="3133"/>
      <c r="Y261" s="3133"/>
      <c r="Z261" s="3133"/>
      <c r="AA261" s="3133"/>
      <c r="AB261" s="3133"/>
      <c r="AC261" s="3123">
        <f t="shared" si="126"/>
        <v>0</v>
      </c>
      <c r="AD261" s="3143"/>
      <c r="AE261" s="3143"/>
      <c r="AF261" s="3143"/>
      <c r="AG261" s="3143"/>
      <c r="AH261" s="3143"/>
      <c r="AI261" s="3143"/>
      <c r="AJ261" s="3143"/>
      <c r="AK261" s="3143"/>
      <c r="AL261" s="3143"/>
      <c r="AM261" s="3143"/>
      <c r="AN261" s="3143"/>
      <c r="AO261" s="3143"/>
      <c r="AP261" s="3143"/>
      <c r="AQ261" s="3143"/>
      <c r="AR261" s="3143"/>
      <c r="AS261" s="3143"/>
      <c r="AT261" s="3153"/>
      <c r="AU261" s="3154"/>
      <c r="AV261" s="270">
        <f t="shared" si="127"/>
        <v>0</v>
      </c>
      <c r="AW261" s="270">
        <f t="shared" si="128"/>
        <v>0</v>
      </c>
      <c r="AX261" s="270">
        <f t="shared" si="129"/>
        <v>0</v>
      </c>
      <c r="AY261" s="3168">
        <f t="shared" si="130"/>
        <v>0</v>
      </c>
      <c r="AZ261" s="3123">
        <f t="shared" si="131"/>
        <v>0</v>
      </c>
      <c r="BA261" s="3123">
        <f t="shared" si="132"/>
        <v>0</v>
      </c>
      <c r="BB261" s="3123">
        <f t="shared" si="133"/>
        <v>0</v>
      </c>
      <c r="BC261" s="3123">
        <f t="shared" si="134"/>
        <v>0</v>
      </c>
      <c r="BD261" s="3123">
        <f t="shared" si="135"/>
        <v>0</v>
      </c>
      <c r="BE261" s="3123">
        <f t="shared" si="136"/>
        <v>0</v>
      </c>
      <c r="BF261" s="3123">
        <f t="shared" si="137"/>
        <v>0</v>
      </c>
      <c r="BG261" s="3123">
        <f t="shared" si="138"/>
        <v>0</v>
      </c>
      <c r="BH261" s="3123">
        <f t="shared" si="139"/>
        <v>0</v>
      </c>
      <c r="BI261" s="3123">
        <f t="shared" si="140"/>
        <v>0</v>
      </c>
      <c r="BJ261" s="3123">
        <f t="shared" si="141"/>
        <v>0</v>
      </c>
      <c r="BK261" s="3123">
        <f t="shared" si="142"/>
        <v>0</v>
      </c>
      <c r="BL261" s="3123">
        <f t="shared" si="143"/>
        <v>0</v>
      </c>
      <c r="BM261" s="3123">
        <f t="shared" si="144"/>
        <v>0</v>
      </c>
      <c r="BN261" s="3123">
        <f t="shared" si="145"/>
        <v>0</v>
      </c>
      <c r="BO261" s="3123">
        <f t="shared" si="146"/>
        <v>0</v>
      </c>
      <c r="BP261" s="3123">
        <f t="shared" si="147"/>
        <v>0</v>
      </c>
      <c r="BQ261" s="3123">
        <f t="shared" si="148"/>
        <v>0</v>
      </c>
      <c r="BR261" s="3123">
        <f t="shared" si="149"/>
        <v>0</v>
      </c>
      <c r="BS261" s="3123">
        <f t="shared" si="150"/>
        <v>0</v>
      </c>
      <c r="BT261" s="3175">
        <f t="shared" si="151"/>
        <v>0</v>
      </c>
    </row>
    <row r="262" spans="1:72">
      <c r="A262" s="3120"/>
      <c r="B262" s="3121"/>
      <c r="C262" s="3121"/>
      <c r="D262" s="3122"/>
      <c r="E262" s="3123">
        <f t="shared" si="123"/>
        <v>0</v>
      </c>
      <c r="F262" s="3124"/>
      <c r="G262" s="3125">
        <f t="shared" si="124"/>
        <v>0</v>
      </c>
      <c r="H262" s="3126">
        <f t="shared" si="125"/>
        <v>0</v>
      </c>
      <c r="I262" s="3133"/>
      <c r="J262" s="3133"/>
      <c r="K262" s="3133"/>
      <c r="L262" s="3133"/>
      <c r="M262" s="3133"/>
      <c r="N262" s="3133"/>
      <c r="O262" s="3133"/>
      <c r="P262" s="3133"/>
      <c r="Q262" s="3133"/>
      <c r="R262" s="3133"/>
      <c r="S262" s="3133"/>
      <c r="T262" s="3133"/>
      <c r="U262" s="3133"/>
      <c r="V262" s="3133"/>
      <c r="W262" s="3133"/>
      <c r="X262" s="3133"/>
      <c r="Y262" s="3133"/>
      <c r="Z262" s="3133"/>
      <c r="AA262" s="3133"/>
      <c r="AB262" s="3133"/>
      <c r="AC262" s="3123">
        <f t="shared" si="126"/>
        <v>0</v>
      </c>
      <c r="AD262" s="3143"/>
      <c r="AE262" s="3143"/>
      <c r="AF262" s="3143"/>
      <c r="AG262" s="3143"/>
      <c r="AH262" s="3143"/>
      <c r="AI262" s="3143"/>
      <c r="AJ262" s="3143"/>
      <c r="AK262" s="3143"/>
      <c r="AL262" s="3143"/>
      <c r="AM262" s="3143"/>
      <c r="AN262" s="3143"/>
      <c r="AO262" s="3143"/>
      <c r="AP262" s="3143"/>
      <c r="AQ262" s="3143"/>
      <c r="AR262" s="3143"/>
      <c r="AS262" s="3143"/>
      <c r="AT262" s="3153"/>
      <c r="AU262" s="3154"/>
      <c r="AV262" s="270">
        <f t="shared" si="127"/>
        <v>0</v>
      </c>
      <c r="AW262" s="270">
        <f t="shared" si="128"/>
        <v>0</v>
      </c>
      <c r="AX262" s="270">
        <f t="shared" si="129"/>
        <v>0</v>
      </c>
      <c r="AY262" s="3168">
        <f t="shared" si="130"/>
        <v>0</v>
      </c>
      <c r="AZ262" s="3123">
        <f t="shared" si="131"/>
        <v>0</v>
      </c>
      <c r="BA262" s="3123">
        <f t="shared" si="132"/>
        <v>0</v>
      </c>
      <c r="BB262" s="3123">
        <f t="shared" si="133"/>
        <v>0</v>
      </c>
      <c r="BC262" s="3123">
        <f t="shared" si="134"/>
        <v>0</v>
      </c>
      <c r="BD262" s="3123">
        <f t="shared" si="135"/>
        <v>0</v>
      </c>
      <c r="BE262" s="3123">
        <f t="shared" si="136"/>
        <v>0</v>
      </c>
      <c r="BF262" s="3123">
        <f t="shared" si="137"/>
        <v>0</v>
      </c>
      <c r="BG262" s="3123">
        <f t="shared" si="138"/>
        <v>0</v>
      </c>
      <c r="BH262" s="3123">
        <f t="shared" si="139"/>
        <v>0</v>
      </c>
      <c r="BI262" s="3123">
        <f t="shared" si="140"/>
        <v>0</v>
      </c>
      <c r="BJ262" s="3123">
        <f t="shared" si="141"/>
        <v>0</v>
      </c>
      <c r="BK262" s="3123">
        <f t="shared" si="142"/>
        <v>0</v>
      </c>
      <c r="BL262" s="3123">
        <f t="shared" si="143"/>
        <v>0</v>
      </c>
      <c r="BM262" s="3123">
        <f t="shared" si="144"/>
        <v>0</v>
      </c>
      <c r="BN262" s="3123">
        <f t="shared" si="145"/>
        <v>0</v>
      </c>
      <c r="BO262" s="3123">
        <f t="shared" si="146"/>
        <v>0</v>
      </c>
      <c r="BP262" s="3123">
        <f t="shared" si="147"/>
        <v>0</v>
      </c>
      <c r="BQ262" s="3123">
        <f t="shared" si="148"/>
        <v>0</v>
      </c>
      <c r="BR262" s="3123">
        <f t="shared" si="149"/>
        <v>0</v>
      </c>
      <c r="BS262" s="3123">
        <f t="shared" si="150"/>
        <v>0</v>
      </c>
      <c r="BT262" s="3175">
        <f t="shared" si="151"/>
        <v>0</v>
      </c>
    </row>
    <row r="263" spans="1:72">
      <c r="A263" s="3120"/>
      <c r="B263" s="3121"/>
      <c r="C263" s="3121"/>
      <c r="D263" s="3122"/>
      <c r="E263" s="3123">
        <f t="shared" si="123"/>
        <v>0</v>
      </c>
      <c r="F263" s="3124"/>
      <c r="G263" s="3125">
        <f t="shared" si="124"/>
        <v>0</v>
      </c>
      <c r="H263" s="3126">
        <f t="shared" si="125"/>
        <v>0</v>
      </c>
      <c r="I263" s="3133"/>
      <c r="J263" s="3133"/>
      <c r="K263" s="3133"/>
      <c r="L263" s="3133"/>
      <c r="M263" s="3133"/>
      <c r="N263" s="3133"/>
      <c r="O263" s="3133"/>
      <c r="P263" s="3133"/>
      <c r="Q263" s="3133"/>
      <c r="R263" s="3133"/>
      <c r="S263" s="3133"/>
      <c r="T263" s="3133"/>
      <c r="U263" s="3133"/>
      <c r="V263" s="3133"/>
      <c r="W263" s="3133"/>
      <c r="X263" s="3133"/>
      <c r="Y263" s="3133"/>
      <c r="Z263" s="3133"/>
      <c r="AA263" s="3133"/>
      <c r="AB263" s="3133"/>
      <c r="AC263" s="3123">
        <f t="shared" si="126"/>
        <v>0</v>
      </c>
      <c r="AD263" s="3143"/>
      <c r="AE263" s="3143"/>
      <c r="AF263" s="3143"/>
      <c r="AG263" s="3143"/>
      <c r="AH263" s="3143"/>
      <c r="AI263" s="3143"/>
      <c r="AJ263" s="3143"/>
      <c r="AK263" s="3143"/>
      <c r="AL263" s="3143"/>
      <c r="AM263" s="3143"/>
      <c r="AN263" s="3143"/>
      <c r="AO263" s="3143"/>
      <c r="AP263" s="3143"/>
      <c r="AQ263" s="3143"/>
      <c r="AR263" s="3143"/>
      <c r="AS263" s="3143"/>
      <c r="AT263" s="3153"/>
      <c r="AU263" s="3154"/>
      <c r="AV263" s="270">
        <f t="shared" si="127"/>
        <v>0</v>
      </c>
      <c r="AW263" s="270">
        <f t="shared" si="128"/>
        <v>0</v>
      </c>
      <c r="AX263" s="270">
        <f t="shared" si="129"/>
        <v>0</v>
      </c>
      <c r="AY263" s="3168">
        <f t="shared" si="130"/>
        <v>0</v>
      </c>
      <c r="AZ263" s="3123">
        <f t="shared" si="131"/>
        <v>0</v>
      </c>
      <c r="BA263" s="3123">
        <f t="shared" si="132"/>
        <v>0</v>
      </c>
      <c r="BB263" s="3123">
        <f t="shared" si="133"/>
        <v>0</v>
      </c>
      <c r="BC263" s="3123">
        <f t="shared" si="134"/>
        <v>0</v>
      </c>
      <c r="BD263" s="3123">
        <f t="shared" si="135"/>
        <v>0</v>
      </c>
      <c r="BE263" s="3123">
        <f t="shared" si="136"/>
        <v>0</v>
      </c>
      <c r="BF263" s="3123">
        <f t="shared" si="137"/>
        <v>0</v>
      </c>
      <c r="BG263" s="3123">
        <f t="shared" si="138"/>
        <v>0</v>
      </c>
      <c r="BH263" s="3123">
        <f t="shared" si="139"/>
        <v>0</v>
      </c>
      <c r="BI263" s="3123">
        <f t="shared" si="140"/>
        <v>0</v>
      </c>
      <c r="BJ263" s="3123">
        <f t="shared" si="141"/>
        <v>0</v>
      </c>
      <c r="BK263" s="3123">
        <f t="shared" si="142"/>
        <v>0</v>
      </c>
      <c r="BL263" s="3123">
        <f t="shared" si="143"/>
        <v>0</v>
      </c>
      <c r="BM263" s="3123">
        <f t="shared" si="144"/>
        <v>0</v>
      </c>
      <c r="BN263" s="3123">
        <f t="shared" si="145"/>
        <v>0</v>
      </c>
      <c r="BO263" s="3123">
        <f t="shared" si="146"/>
        <v>0</v>
      </c>
      <c r="BP263" s="3123">
        <f t="shared" si="147"/>
        <v>0</v>
      </c>
      <c r="BQ263" s="3123">
        <f t="shared" si="148"/>
        <v>0</v>
      </c>
      <c r="BR263" s="3123">
        <f t="shared" si="149"/>
        <v>0</v>
      </c>
      <c r="BS263" s="3123">
        <f t="shared" si="150"/>
        <v>0</v>
      </c>
      <c r="BT263" s="3175">
        <f t="shared" si="151"/>
        <v>0</v>
      </c>
    </row>
    <row r="264" spans="1:72">
      <c r="A264" s="3120"/>
      <c r="B264" s="3121"/>
      <c r="C264" s="3121"/>
      <c r="D264" s="3122"/>
      <c r="E264" s="3123">
        <f t="shared" si="123"/>
        <v>0</v>
      </c>
      <c r="F264" s="3124"/>
      <c r="G264" s="3125">
        <f t="shared" si="124"/>
        <v>0</v>
      </c>
      <c r="H264" s="3126">
        <f t="shared" si="125"/>
        <v>0</v>
      </c>
      <c r="I264" s="3133"/>
      <c r="J264" s="3133"/>
      <c r="K264" s="3133"/>
      <c r="L264" s="3133"/>
      <c r="M264" s="3133"/>
      <c r="N264" s="3133"/>
      <c r="O264" s="3133"/>
      <c r="P264" s="3133"/>
      <c r="Q264" s="3133"/>
      <c r="R264" s="3133"/>
      <c r="S264" s="3133"/>
      <c r="T264" s="3133"/>
      <c r="U264" s="3133"/>
      <c r="V264" s="3133"/>
      <c r="W264" s="3133"/>
      <c r="X264" s="3133"/>
      <c r="Y264" s="3133"/>
      <c r="Z264" s="3133"/>
      <c r="AA264" s="3133"/>
      <c r="AB264" s="3133"/>
      <c r="AC264" s="3123">
        <f t="shared" si="126"/>
        <v>0</v>
      </c>
      <c r="AD264" s="3143"/>
      <c r="AE264" s="3143"/>
      <c r="AF264" s="3143"/>
      <c r="AG264" s="3143"/>
      <c r="AH264" s="3143"/>
      <c r="AI264" s="3143"/>
      <c r="AJ264" s="3143"/>
      <c r="AK264" s="3143"/>
      <c r="AL264" s="3143"/>
      <c r="AM264" s="3143"/>
      <c r="AN264" s="3143"/>
      <c r="AO264" s="3143"/>
      <c r="AP264" s="3143"/>
      <c r="AQ264" s="3143"/>
      <c r="AR264" s="3143"/>
      <c r="AS264" s="3143"/>
      <c r="AT264" s="3153"/>
      <c r="AU264" s="3154"/>
      <c r="AV264" s="270">
        <f t="shared" si="127"/>
        <v>0</v>
      </c>
      <c r="AW264" s="270">
        <f t="shared" si="128"/>
        <v>0</v>
      </c>
      <c r="AX264" s="270">
        <f t="shared" si="129"/>
        <v>0</v>
      </c>
      <c r="AY264" s="3168">
        <f t="shared" si="130"/>
        <v>0</v>
      </c>
      <c r="AZ264" s="3123">
        <f t="shared" si="131"/>
        <v>0</v>
      </c>
      <c r="BA264" s="3123">
        <f t="shared" si="132"/>
        <v>0</v>
      </c>
      <c r="BB264" s="3123">
        <f t="shared" si="133"/>
        <v>0</v>
      </c>
      <c r="BC264" s="3123">
        <f t="shared" si="134"/>
        <v>0</v>
      </c>
      <c r="BD264" s="3123">
        <f t="shared" si="135"/>
        <v>0</v>
      </c>
      <c r="BE264" s="3123">
        <f t="shared" si="136"/>
        <v>0</v>
      </c>
      <c r="BF264" s="3123">
        <f t="shared" si="137"/>
        <v>0</v>
      </c>
      <c r="BG264" s="3123">
        <f t="shared" si="138"/>
        <v>0</v>
      </c>
      <c r="BH264" s="3123">
        <f t="shared" si="139"/>
        <v>0</v>
      </c>
      <c r="BI264" s="3123">
        <f t="shared" si="140"/>
        <v>0</v>
      </c>
      <c r="BJ264" s="3123">
        <f t="shared" si="141"/>
        <v>0</v>
      </c>
      <c r="BK264" s="3123">
        <f t="shared" si="142"/>
        <v>0</v>
      </c>
      <c r="BL264" s="3123">
        <f t="shared" si="143"/>
        <v>0</v>
      </c>
      <c r="BM264" s="3123">
        <f t="shared" si="144"/>
        <v>0</v>
      </c>
      <c r="BN264" s="3123">
        <f t="shared" si="145"/>
        <v>0</v>
      </c>
      <c r="BO264" s="3123">
        <f t="shared" si="146"/>
        <v>0</v>
      </c>
      <c r="BP264" s="3123">
        <f t="shared" si="147"/>
        <v>0</v>
      </c>
      <c r="BQ264" s="3123">
        <f t="shared" si="148"/>
        <v>0</v>
      </c>
      <c r="BR264" s="3123">
        <f t="shared" si="149"/>
        <v>0</v>
      </c>
      <c r="BS264" s="3123">
        <f t="shared" si="150"/>
        <v>0</v>
      </c>
      <c r="BT264" s="3175">
        <f t="shared" si="151"/>
        <v>0</v>
      </c>
    </row>
    <row r="265" spans="1:72">
      <c r="A265" s="3120"/>
      <c r="B265" s="3121"/>
      <c r="C265" s="3121"/>
      <c r="D265" s="3122"/>
      <c r="E265" s="3123">
        <f t="shared" si="123"/>
        <v>0</v>
      </c>
      <c r="F265" s="3124"/>
      <c r="G265" s="3125">
        <f t="shared" si="124"/>
        <v>0</v>
      </c>
      <c r="H265" s="3126">
        <f t="shared" si="125"/>
        <v>0</v>
      </c>
      <c r="I265" s="3133"/>
      <c r="J265" s="3133"/>
      <c r="K265" s="3133"/>
      <c r="L265" s="3133"/>
      <c r="M265" s="3133"/>
      <c r="N265" s="3133"/>
      <c r="O265" s="3133"/>
      <c r="P265" s="3133"/>
      <c r="Q265" s="3133"/>
      <c r="R265" s="3133"/>
      <c r="S265" s="3133"/>
      <c r="T265" s="3133"/>
      <c r="U265" s="3133"/>
      <c r="V265" s="3133"/>
      <c r="W265" s="3133"/>
      <c r="X265" s="3133"/>
      <c r="Y265" s="3133"/>
      <c r="Z265" s="3133"/>
      <c r="AA265" s="3133"/>
      <c r="AB265" s="3133"/>
      <c r="AC265" s="3123">
        <f t="shared" si="126"/>
        <v>0</v>
      </c>
      <c r="AD265" s="3143"/>
      <c r="AE265" s="3143"/>
      <c r="AF265" s="3143"/>
      <c r="AG265" s="3143"/>
      <c r="AH265" s="3143"/>
      <c r="AI265" s="3143"/>
      <c r="AJ265" s="3143"/>
      <c r="AK265" s="3143"/>
      <c r="AL265" s="3143"/>
      <c r="AM265" s="3143"/>
      <c r="AN265" s="3143"/>
      <c r="AO265" s="3143"/>
      <c r="AP265" s="3143"/>
      <c r="AQ265" s="3143"/>
      <c r="AR265" s="3143"/>
      <c r="AS265" s="3143"/>
      <c r="AT265" s="3153"/>
      <c r="AU265" s="3154"/>
      <c r="AV265" s="270">
        <f t="shared" si="127"/>
        <v>0</v>
      </c>
      <c r="AW265" s="270">
        <f t="shared" si="128"/>
        <v>0</v>
      </c>
      <c r="AX265" s="270">
        <f t="shared" si="129"/>
        <v>0</v>
      </c>
      <c r="AY265" s="3168">
        <f t="shared" si="130"/>
        <v>0</v>
      </c>
      <c r="AZ265" s="3123">
        <f t="shared" si="131"/>
        <v>0</v>
      </c>
      <c r="BA265" s="3123">
        <f t="shared" si="132"/>
        <v>0</v>
      </c>
      <c r="BB265" s="3123">
        <f t="shared" si="133"/>
        <v>0</v>
      </c>
      <c r="BC265" s="3123">
        <f t="shared" si="134"/>
        <v>0</v>
      </c>
      <c r="BD265" s="3123">
        <f t="shared" si="135"/>
        <v>0</v>
      </c>
      <c r="BE265" s="3123">
        <f t="shared" si="136"/>
        <v>0</v>
      </c>
      <c r="BF265" s="3123">
        <f t="shared" si="137"/>
        <v>0</v>
      </c>
      <c r="BG265" s="3123">
        <f t="shared" si="138"/>
        <v>0</v>
      </c>
      <c r="BH265" s="3123">
        <f t="shared" si="139"/>
        <v>0</v>
      </c>
      <c r="BI265" s="3123">
        <f t="shared" si="140"/>
        <v>0</v>
      </c>
      <c r="BJ265" s="3123">
        <f t="shared" si="141"/>
        <v>0</v>
      </c>
      <c r="BK265" s="3123">
        <f t="shared" si="142"/>
        <v>0</v>
      </c>
      <c r="BL265" s="3123">
        <f t="shared" si="143"/>
        <v>0</v>
      </c>
      <c r="BM265" s="3123">
        <f t="shared" si="144"/>
        <v>0</v>
      </c>
      <c r="BN265" s="3123">
        <f t="shared" si="145"/>
        <v>0</v>
      </c>
      <c r="BO265" s="3123">
        <f t="shared" si="146"/>
        <v>0</v>
      </c>
      <c r="BP265" s="3123">
        <f t="shared" si="147"/>
        <v>0</v>
      </c>
      <c r="BQ265" s="3123">
        <f t="shared" si="148"/>
        <v>0</v>
      </c>
      <c r="BR265" s="3123">
        <f t="shared" si="149"/>
        <v>0</v>
      </c>
      <c r="BS265" s="3123">
        <f t="shared" si="150"/>
        <v>0</v>
      </c>
      <c r="BT265" s="3175">
        <f t="shared" si="151"/>
        <v>0</v>
      </c>
    </row>
    <row r="266" spans="1:72">
      <c r="A266" s="3120"/>
      <c r="B266" s="3121"/>
      <c r="C266" s="3121"/>
      <c r="D266" s="3122"/>
      <c r="E266" s="3123">
        <f t="shared" si="123"/>
        <v>0</v>
      </c>
      <c r="F266" s="3124"/>
      <c r="G266" s="3125">
        <f t="shared" si="124"/>
        <v>0</v>
      </c>
      <c r="H266" s="3126">
        <f t="shared" si="125"/>
        <v>0</v>
      </c>
      <c r="I266" s="3133"/>
      <c r="J266" s="3133"/>
      <c r="K266" s="3133"/>
      <c r="L266" s="3133"/>
      <c r="M266" s="3133"/>
      <c r="N266" s="3133"/>
      <c r="O266" s="3133"/>
      <c r="P266" s="3133"/>
      <c r="Q266" s="3133"/>
      <c r="R266" s="3133"/>
      <c r="S266" s="3133"/>
      <c r="T266" s="3133"/>
      <c r="U266" s="3133"/>
      <c r="V266" s="3133"/>
      <c r="W266" s="3133"/>
      <c r="X266" s="3133"/>
      <c r="Y266" s="3133"/>
      <c r="Z266" s="3133"/>
      <c r="AA266" s="3133"/>
      <c r="AB266" s="3133"/>
      <c r="AC266" s="3123">
        <f t="shared" si="126"/>
        <v>0</v>
      </c>
      <c r="AD266" s="3143"/>
      <c r="AE266" s="3143"/>
      <c r="AF266" s="3143"/>
      <c r="AG266" s="3143"/>
      <c r="AH266" s="3143"/>
      <c r="AI266" s="3143"/>
      <c r="AJ266" s="3143"/>
      <c r="AK266" s="3143"/>
      <c r="AL266" s="3143"/>
      <c r="AM266" s="3143"/>
      <c r="AN266" s="3143"/>
      <c r="AO266" s="3143"/>
      <c r="AP266" s="3143"/>
      <c r="AQ266" s="3143"/>
      <c r="AR266" s="3143"/>
      <c r="AS266" s="3143"/>
      <c r="AT266" s="3153"/>
      <c r="AU266" s="3154"/>
      <c r="AV266" s="270">
        <f t="shared" si="127"/>
        <v>0</v>
      </c>
      <c r="AW266" s="270">
        <f t="shared" si="128"/>
        <v>0</v>
      </c>
      <c r="AX266" s="270">
        <f t="shared" si="129"/>
        <v>0</v>
      </c>
      <c r="AY266" s="3168">
        <f t="shared" si="130"/>
        <v>0</v>
      </c>
      <c r="AZ266" s="3123">
        <f t="shared" si="131"/>
        <v>0</v>
      </c>
      <c r="BA266" s="3123">
        <f t="shared" si="132"/>
        <v>0</v>
      </c>
      <c r="BB266" s="3123">
        <f t="shared" si="133"/>
        <v>0</v>
      </c>
      <c r="BC266" s="3123">
        <f t="shared" si="134"/>
        <v>0</v>
      </c>
      <c r="BD266" s="3123">
        <f t="shared" si="135"/>
        <v>0</v>
      </c>
      <c r="BE266" s="3123">
        <f t="shared" si="136"/>
        <v>0</v>
      </c>
      <c r="BF266" s="3123">
        <f t="shared" si="137"/>
        <v>0</v>
      </c>
      <c r="BG266" s="3123">
        <f t="shared" si="138"/>
        <v>0</v>
      </c>
      <c r="BH266" s="3123">
        <f t="shared" si="139"/>
        <v>0</v>
      </c>
      <c r="BI266" s="3123">
        <f t="shared" si="140"/>
        <v>0</v>
      </c>
      <c r="BJ266" s="3123">
        <f t="shared" si="141"/>
        <v>0</v>
      </c>
      <c r="BK266" s="3123">
        <f t="shared" si="142"/>
        <v>0</v>
      </c>
      <c r="BL266" s="3123">
        <f t="shared" si="143"/>
        <v>0</v>
      </c>
      <c r="BM266" s="3123">
        <f t="shared" si="144"/>
        <v>0</v>
      </c>
      <c r="BN266" s="3123">
        <f t="shared" si="145"/>
        <v>0</v>
      </c>
      <c r="BO266" s="3123">
        <f t="shared" si="146"/>
        <v>0</v>
      </c>
      <c r="BP266" s="3123">
        <f t="shared" si="147"/>
        <v>0</v>
      </c>
      <c r="BQ266" s="3123">
        <f t="shared" si="148"/>
        <v>0</v>
      </c>
      <c r="BR266" s="3123">
        <f t="shared" si="149"/>
        <v>0</v>
      </c>
      <c r="BS266" s="3123">
        <f t="shared" si="150"/>
        <v>0</v>
      </c>
      <c r="BT266" s="3175">
        <f t="shared" si="151"/>
        <v>0</v>
      </c>
    </row>
    <row r="267" spans="1:72">
      <c r="A267" s="3120"/>
      <c r="B267" s="3121"/>
      <c r="C267" s="3121"/>
      <c r="D267" s="3122"/>
      <c r="E267" s="3123">
        <f t="shared" si="123"/>
        <v>0</v>
      </c>
      <c r="F267" s="3124"/>
      <c r="G267" s="3125">
        <f t="shared" si="124"/>
        <v>0</v>
      </c>
      <c r="H267" s="3126">
        <f t="shared" si="125"/>
        <v>0</v>
      </c>
      <c r="I267" s="3133"/>
      <c r="J267" s="3133"/>
      <c r="K267" s="3133"/>
      <c r="L267" s="3133"/>
      <c r="M267" s="3133"/>
      <c r="N267" s="3133"/>
      <c r="O267" s="3133"/>
      <c r="P267" s="3133"/>
      <c r="Q267" s="3133"/>
      <c r="R267" s="3133"/>
      <c r="S267" s="3133"/>
      <c r="T267" s="3133"/>
      <c r="U267" s="3133"/>
      <c r="V267" s="3133"/>
      <c r="W267" s="3133"/>
      <c r="X267" s="3133"/>
      <c r="Y267" s="3133"/>
      <c r="Z267" s="3133"/>
      <c r="AA267" s="3133"/>
      <c r="AB267" s="3133"/>
      <c r="AC267" s="3123">
        <f t="shared" si="126"/>
        <v>0</v>
      </c>
      <c r="AD267" s="3143"/>
      <c r="AE267" s="3143"/>
      <c r="AF267" s="3143"/>
      <c r="AG267" s="3143"/>
      <c r="AH267" s="3143"/>
      <c r="AI267" s="3143"/>
      <c r="AJ267" s="3143"/>
      <c r="AK267" s="3143"/>
      <c r="AL267" s="3143"/>
      <c r="AM267" s="3143"/>
      <c r="AN267" s="3143"/>
      <c r="AO267" s="3143"/>
      <c r="AP267" s="3143"/>
      <c r="AQ267" s="3143"/>
      <c r="AR267" s="3143"/>
      <c r="AS267" s="3143"/>
      <c r="AT267" s="3153"/>
      <c r="AU267" s="3154"/>
      <c r="AV267" s="270">
        <f t="shared" si="127"/>
        <v>0</v>
      </c>
      <c r="AW267" s="270">
        <f t="shared" si="128"/>
        <v>0</v>
      </c>
      <c r="AX267" s="270">
        <f t="shared" si="129"/>
        <v>0</v>
      </c>
      <c r="AY267" s="3168">
        <f t="shared" si="130"/>
        <v>0</v>
      </c>
      <c r="AZ267" s="3123">
        <f t="shared" si="131"/>
        <v>0</v>
      </c>
      <c r="BA267" s="3123">
        <f t="shared" si="132"/>
        <v>0</v>
      </c>
      <c r="BB267" s="3123">
        <f t="shared" si="133"/>
        <v>0</v>
      </c>
      <c r="BC267" s="3123">
        <f t="shared" si="134"/>
        <v>0</v>
      </c>
      <c r="BD267" s="3123">
        <f t="shared" si="135"/>
        <v>0</v>
      </c>
      <c r="BE267" s="3123">
        <f t="shared" si="136"/>
        <v>0</v>
      </c>
      <c r="BF267" s="3123">
        <f t="shared" si="137"/>
        <v>0</v>
      </c>
      <c r="BG267" s="3123">
        <f t="shared" si="138"/>
        <v>0</v>
      </c>
      <c r="BH267" s="3123">
        <f t="shared" si="139"/>
        <v>0</v>
      </c>
      <c r="BI267" s="3123">
        <f t="shared" si="140"/>
        <v>0</v>
      </c>
      <c r="BJ267" s="3123">
        <f t="shared" si="141"/>
        <v>0</v>
      </c>
      <c r="BK267" s="3123">
        <f t="shared" si="142"/>
        <v>0</v>
      </c>
      <c r="BL267" s="3123">
        <f t="shared" si="143"/>
        <v>0</v>
      </c>
      <c r="BM267" s="3123">
        <f t="shared" si="144"/>
        <v>0</v>
      </c>
      <c r="BN267" s="3123">
        <f t="shared" si="145"/>
        <v>0</v>
      </c>
      <c r="BO267" s="3123">
        <f t="shared" si="146"/>
        <v>0</v>
      </c>
      <c r="BP267" s="3123">
        <f t="shared" si="147"/>
        <v>0</v>
      </c>
      <c r="BQ267" s="3123">
        <f t="shared" si="148"/>
        <v>0</v>
      </c>
      <c r="BR267" s="3123">
        <f t="shared" si="149"/>
        <v>0</v>
      </c>
      <c r="BS267" s="3123">
        <f t="shared" si="150"/>
        <v>0</v>
      </c>
      <c r="BT267" s="3175">
        <f t="shared" si="151"/>
        <v>0</v>
      </c>
    </row>
    <row r="268" spans="1:72">
      <c r="A268" s="3120"/>
      <c r="B268" s="3121"/>
      <c r="C268" s="3121"/>
      <c r="D268" s="3122"/>
      <c r="E268" s="3123">
        <f t="shared" si="123"/>
        <v>0</v>
      </c>
      <c r="F268" s="3124"/>
      <c r="G268" s="3125">
        <f t="shared" si="124"/>
        <v>0</v>
      </c>
      <c r="H268" s="3126">
        <f t="shared" si="125"/>
        <v>0</v>
      </c>
      <c r="I268" s="3133"/>
      <c r="J268" s="3133"/>
      <c r="K268" s="3133"/>
      <c r="L268" s="3133"/>
      <c r="M268" s="3133"/>
      <c r="N268" s="3133"/>
      <c r="O268" s="3133"/>
      <c r="P268" s="3133"/>
      <c r="Q268" s="3133"/>
      <c r="R268" s="3133"/>
      <c r="S268" s="3133"/>
      <c r="T268" s="3133"/>
      <c r="U268" s="3133"/>
      <c r="V268" s="3133"/>
      <c r="W268" s="3133"/>
      <c r="X268" s="3133"/>
      <c r="Y268" s="3133"/>
      <c r="Z268" s="3133"/>
      <c r="AA268" s="3133"/>
      <c r="AB268" s="3133"/>
      <c r="AC268" s="3123">
        <f t="shared" si="126"/>
        <v>0</v>
      </c>
      <c r="AD268" s="3143"/>
      <c r="AE268" s="3143"/>
      <c r="AF268" s="3143"/>
      <c r="AG268" s="3143"/>
      <c r="AH268" s="3143"/>
      <c r="AI268" s="3143"/>
      <c r="AJ268" s="3143"/>
      <c r="AK268" s="3143"/>
      <c r="AL268" s="3143"/>
      <c r="AM268" s="3143"/>
      <c r="AN268" s="3143"/>
      <c r="AO268" s="3143"/>
      <c r="AP268" s="3143"/>
      <c r="AQ268" s="3143"/>
      <c r="AR268" s="3143"/>
      <c r="AS268" s="3143"/>
      <c r="AT268" s="3153"/>
      <c r="AU268" s="3154"/>
      <c r="AV268" s="270">
        <f t="shared" si="127"/>
        <v>0</v>
      </c>
      <c r="AW268" s="270">
        <f t="shared" si="128"/>
        <v>0</v>
      </c>
      <c r="AX268" s="270">
        <f t="shared" si="129"/>
        <v>0</v>
      </c>
      <c r="AY268" s="3168">
        <f t="shared" si="130"/>
        <v>0</v>
      </c>
      <c r="AZ268" s="3123">
        <f t="shared" si="131"/>
        <v>0</v>
      </c>
      <c r="BA268" s="3123">
        <f t="shared" si="132"/>
        <v>0</v>
      </c>
      <c r="BB268" s="3123">
        <f t="shared" si="133"/>
        <v>0</v>
      </c>
      <c r="BC268" s="3123">
        <f t="shared" si="134"/>
        <v>0</v>
      </c>
      <c r="BD268" s="3123">
        <f t="shared" si="135"/>
        <v>0</v>
      </c>
      <c r="BE268" s="3123">
        <f t="shared" si="136"/>
        <v>0</v>
      </c>
      <c r="BF268" s="3123">
        <f t="shared" si="137"/>
        <v>0</v>
      </c>
      <c r="BG268" s="3123">
        <f t="shared" si="138"/>
        <v>0</v>
      </c>
      <c r="BH268" s="3123">
        <f t="shared" si="139"/>
        <v>0</v>
      </c>
      <c r="BI268" s="3123">
        <f t="shared" si="140"/>
        <v>0</v>
      </c>
      <c r="BJ268" s="3123">
        <f t="shared" si="141"/>
        <v>0</v>
      </c>
      <c r="BK268" s="3123">
        <f t="shared" si="142"/>
        <v>0</v>
      </c>
      <c r="BL268" s="3123">
        <f t="shared" si="143"/>
        <v>0</v>
      </c>
      <c r="BM268" s="3123">
        <f t="shared" si="144"/>
        <v>0</v>
      </c>
      <c r="BN268" s="3123">
        <f t="shared" si="145"/>
        <v>0</v>
      </c>
      <c r="BO268" s="3123">
        <f t="shared" si="146"/>
        <v>0</v>
      </c>
      <c r="BP268" s="3123">
        <f t="shared" si="147"/>
        <v>0</v>
      </c>
      <c r="BQ268" s="3123">
        <f t="shared" si="148"/>
        <v>0</v>
      </c>
      <c r="BR268" s="3123">
        <f t="shared" si="149"/>
        <v>0</v>
      </c>
      <c r="BS268" s="3123">
        <f t="shared" si="150"/>
        <v>0</v>
      </c>
      <c r="BT268" s="3175">
        <f t="shared" si="151"/>
        <v>0</v>
      </c>
    </row>
    <row r="269" spans="1:72">
      <c r="A269" s="3120"/>
      <c r="B269" s="3121"/>
      <c r="C269" s="3121"/>
      <c r="D269" s="3122"/>
      <c r="E269" s="3123">
        <f t="shared" si="123"/>
        <v>0</v>
      </c>
      <c r="F269" s="3124"/>
      <c r="G269" s="3125">
        <f t="shared" si="124"/>
        <v>0</v>
      </c>
      <c r="H269" s="3126">
        <f t="shared" si="125"/>
        <v>0</v>
      </c>
      <c r="I269" s="3133"/>
      <c r="J269" s="3133"/>
      <c r="K269" s="3133"/>
      <c r="L269" s="3133"/>
      <c r="M269" s="3133"/>
      <c r="N269" s="3133"/>
      <c r="O269" s="3133"/>
      <c r="P269" s="3133"/>
      <c r="Q269" s="3133"/>
      <c r="R269" s="3133"/>
      <c r="S269" s="3133"/>
      <c r="T269" s="3133"/>
      <c r="U269" s="3133"/>
      <c r="V269" s="3133"/>
      <c r="W269" s="3133"/>
      <c r="X269" s="3133"/>
      <c r="Y269" s="3133"/>
      <c r="Z269" s="3133"/>
      <c r="AA269" s="3133"/>
      <c r="AB269" s="3133"/>
      <c r="AC269" s="3123">
        <f t="shared" si="126"/>
        <v>0</v>
      </c>
      <c r="AD269" s="3143"/>
      <c r="AE269" s="3143"/>
      <c r="AF269" s="3143"/>
      <c r="AG269" s="3143"/>
      <c r="AH269" s="3143"/>
      <c r="AI269" s="3143"/>
      <c r="AJ269" s="3143"/>
      <c r="AK269" s="3143"/>
      <c r="AL269" s="3143"/>
      <c r="AM269" s="3143"/>
      <c r="AN269" s="3143"/>
      <c r="AO269" s="3143"/>
      <c r="AP269" s="3143"/>
      <c r="AQ269" s="3143"/>
      <c r="AR269" s="3143"/>
      <c r="AS269" s="3143"/>
      <c r="AT269" s="3153"/>
      <c r="AU269" s="3154"/>
      <c r="AV269" s="270">
        <f t="shared" si="127"/>
        <v>0</v>
      </c>
      <c r="AW269" s="270">
        <f t="shared" si="128"/>
        <v>0</v>
      </c>
      <c r="AX269" s="270">
        <f t="shared" si="129"/>
        <v>0</v>
      </c>
      <c r="AY269" s="3168">
        <f t="shared" si="130"/>
        <v>0</v>
      </c>
      <c r="AZ269" s="3123">
        <f t="shared" si="131"/>
        <v>0</v>
      </c>
      <c r="BA269" s="3123">
        <f t="shared" si="132"/>
        <v>0</v>
      </c>
      <c r="BB269" s="3123">
        <f t="shared" si="133"/>
        <v>0</v>
      </c>
      <c r="BC269" s="3123">
        <f t="shared" si="134"/>
        <v>0</v>
      </c>
      <c r="BD269" s="3123">
        <f t="shared" si="135"/>
        <v>0</v>
      </c>
      <c r="BE269" s="3123">
        <f t="shared" si="136"/>
        <v>0</v>
      </c>
      <c r="BF269" s="3123">
        <f t="shared" si="137"/>
        <v>0</v>
      </c>
      <c r="BG269" s="3123">
        <f t="shared" si="138"/>
        <v>0</v>
      </c>
      <c r="BH269" s="3123">
        <f t="shared" si="139"/>
        <v>0</v>
      </c>
      <c r="BI269" s="3123">
        <f t="shared" si="140"/>
        <v>0</v>
      </c>
      <c r="BJ269" s="3123">
        <f t="shared" si="141"/>
        <v>0</v>
      </c>
      <c r="BK269" s="3123">
        <f t="shared" si="142"/>
        <v>0</v>
      </c>
      <c r="BL269" s="3123">
        <f t="shared" si="143"/>
        <v>0</v>
      </c>
      <c r="BM269" s="3123">
        <f t="shared" si="144"/>
        <v>0</v>
      </c>
      <c r="BN269" s="3123">
        <f t="shared" si="145"/>
        <v>0</v>
      </c>
      <c r="BO269" s="3123">
        <f t="shared" si="146"/>
        <v>0</v>
      </c>
      <c r="BP269" s="3123">
        <f t="shared" si="147"/>
        <v>0</v>
      </c>
      <c r="BQ269" s="3123">
        <f t="shared" si="148"/>
        <v>0</v>
      </c>
      <c r="BR269" s="3123">
        <f t="shared" si="149"/>
        <v>0</v>
      </c>
      <c r="BS269" s="3123">
        <f t="shared" si="150"/>
        <v>0</v>
      </c>
      <c r="BT269" s="3175">
        <f t="shared" si="151"/>
        <v>0</v>
      </c>
    </row>
    <row r="270" spans="1:72">
      <c r="A270" s="3120"/>
      <c r="B270" s="3121"/>
      <c r="C270" s="3121"/>
      <c r="D270" s="3122"/>
      <c r="E270" s="3123">
        <f t="shared" si="123"/>
        <v>0</v>
      </c>
      <c r="F270" s="3124"/>
      <c r="G270" s="3125">
        <f t="shared" si="124"/>
        <v>0</v>
      </c>
      <c r="H270" s="3126">
        <f t="shared" si="125"/>
        <v>0</v>
      </c>
      <c r="I270" s="3133"/>
      <c r="J270" s="3133"/>
      <c r="K270" s="3133"/>
      <c r="L270" s="3133"/>
      <c r="M270" s="3133"/>
      <c r="N270" s="3133"/>
      <c r="O270" s="3133"/>
      <c r="P270" s="3133"/>
      <c r="Q270" s="3133"/>
      <c r="R270" s="3133"/>
      <c r="S270" s="3133"/>
      <c r="T270" s="3133"/>
      <c r="U270" s="3133"/>
      <c r="V270" s="3133"/>
      <c r="W270" s="3133"/>
      <c r="X270" s="3133"/>
      <c r="Y270" s="3133"/>
      <c r="Z270" s="3133"/>
      <c r="AA270" s="3133"/>
      <c r="AB270" s="3133"/>
      <c r="AC270" s="3123">
        <f t="shared" si="126"/>
        <v>0</v>
      </c>
      <c r="AD270" s="3143"/>
      <c r="AE270" s="3143"/>
      <c r="AF270" s="3143"/>
      <c r="AG270" s="3143"/>
      <c r="AH270" s="3143"/>
      <c r="AI270" s="3143"/>
      <c r="AJ270" s="3143"/>
      <c r="AK270" s="3143"/>
      <c r="AL270" s="3143"/>
      <c r="AM270" s="3143"/>
      <c r="AN270" s="3143"/>
      <c r="AO270" s="3143"/>
      <c r="AP270" s="3143"/>
      <c r="AQ270" s="3143"/>
      <c r="AR270" s="3143"/>
      <c r="AS270" s="3143"/>
      <c r="AT270" s="3153"/>
      <c r="AU270" s="3154"/>
      <c r="AV270" s="270">
        <f t="shared" si="127"/>
        <v>0</v>
      </c>
      <c r="AW270" s="270">
        <f t="shared" si="128"/>
        <v>0</v>
      </c>
      <c r="AX270" s="270">
        <f t="shared" si="129"/>
        <v>0</v>
      </c>
      <c r="AY270" s="3168">
        <f t="shared" si="130"/>
        <v>0</v>
      </c>
      <c r="AZ270" s="3123">
        <f t="shared" si="131"/>
        <v>0</v>
      </c>
      <c r="BA270" s="3123">
        <f t="shared" si="132"/>
        <v>0</v>
      </c>
      <c r="BB270" s="3123">
        <f t="shared" si="133"/>
        <v>0</v>
      </c>
      <c r="BC270" s="3123">
        <f t="shared" si="134"/>
        <v>0</v>
      </c>
      <c r="BD270" s="3123">
        <f t="shared" si="135"/>
        <v>0</v>
      </c>
      <c r="BE270" s="3123">
        <f t="shared" si="136"/>
        <v>0</v>
      </c>
      <c r="BF270" s="3123">
        <f t="shared" si="137"/>
        <v>0</v>
      </c>
      <c r="BG270" s="3123">
        <f t="shared" si="138"/>
        <v>0</v>
      </c>
      <c r="BH270" s="3123">
        <f t="shared" si="139"/>
        <v>0</v>
      </c>
      <c r="BI270" s="3123">
        <f t="shared" si="140"/>
        <v>0</v>
      </c>
      <c r="BJ270" s="3123">
        <f t="shared" si="141"/>
        <v>0</v>
      </c>
      <c r="BK270" s="3123">
        <f t="shared" si="142"/>
        <v>0</v>
      </c>
      <c r="BL270" s="3123">
        <f t="shared" si="143"/>
        <v>0</v>
      </c>
      <c r="BM270" s="3123">
        <f t="shared" si="144"/>
        <v>0</v>
      </c>
      <c r="BN270" s="3123">
        <f t="shared" si="145"/>
        <v>0</v>
      </c>
      <c r="BO270" s="3123">
        <f t="shared" si="146"/>
        <v>0</v>
      </c>
      <c r="BP270" s="3123">
        <f t="shared" si="147"/>
        <v>0</v>
      </c>
      <c r="BQ270" s="3123">
        <f t="shared" si="148"/>
        <v>0</v>
      </c>
      <c r="BR270" s="3123">
        <f t="shared" si="149"/>
        <v>0</v>
      </c>
      <c r="BS270" s="3123">
        <f t="shared" si="150"/>
        <v>0</v>
      </c>
      <c r="BT270" s="3175">
        <f t="shared" si="151"/>
        <v>0</v>
      </c>
    </row>
    <row r="271" spans="1:72">
      <c r="A271" s="3120"/>
      <c r="B271" s="3121"/>
      <c r="C271" s="3121"/>
      <c r="D271" s="3122"/>
      <c r="E271" s="3123">
        <f t="shared" si="123"/>
        <v>0</v>
      </c>
      <c r="F271" s="3124"/>
      <c r="G271" s="3125">
        <f t="shared" si="124"/>
        <v>0</v>
      </c>
      <c r="H271" s="3126">
        <f t="shared" si="125"/>
        <v>0</v>
      </c>
      <c r="I271" s="3133"/>
      <c r="J271" s="3133"/>
      <c r="K271" s="3133"/>
      <c r="L271" s="3133"/>
      <c r="M271" s="3133"/>
      <c r="N271" s="3133"/>
      <c r="O271" s="3133"/>
      <c r="P271" s="3133"/>
      <c r="Q271" s="3133"/>
      <c r="R271" s="3133"/>
      <c r="S271" s="3133"/>
      <c r="T271" s="3133"/>
      <c r="U271" s="3133"/>
      <c r="V271" s="3133"/>
      <c r="W271" s="3133"/>
      <c r="X271" s="3133"/>
      <c r="Y271" s="3133"/>
      <c r="Z271" s="3133"/>
      <c r="AA271" s="3133"/>
      <c r="AB271" s="3133"/>
      <c r="AC271" s="3123">
        <f t="shared" si="126"/>
        <v>0</v>
      </c>
      <c r="AD271" s="3143"/>
      <c r="AE271" s="3143"/>
      <c r="AF271" s="3143"/>
      <c r="AG271" s="3143"/>
      <c r="AH271" s="3143"/>
      <c r="AI271" s="3143"/>
      <c r="AJ271" s="3143"/>
      <c r="AK271" s="3143"/>
      <c r="AL271" s="3143"/>
      <c r="AM271" s="3143"/>
      <c r="AN271" s="3143"/>
      <c r="AO271" s="3143"/>
      <c r="AP271" s="3143"/>
      <c r="AQ271" s="3143"/>
      <c r="AR271" s="3143"/>
      <c r="AS271" s="3143"/>
      <c r="AT271" s="3153"/>
      <c r="AU271" s="3154"/>
      <c r="AV271" s="270">
        <f t="shared" si="127"/>
        <v>0</v>
      </c>
      <c r="AW271" s="270">
        <f t="shared" si="128"/>
        <v>0</v>
      </c>
      <c r="AX271" s="270">
        <f t="shared" si="129"/>
        <v>0</v>
      </c>
      <c r="AY271" s="3168">
        <f t="shared" si="130"/>
        <v>0</v>
      </c>
      <c r="AZ271" s="3123">
        <f t="shared" si="131"/>
        <v>0</v>
      </c>
      <c r="BA271" s="3123">
        <f t="shared" si="132"/>
        <v>0</v>
      </c>
      <c r="BB271" s="3123">
        <f t="shared" si="133"/>
        <v>0</v>
      </c>
      <c r="BC271" s="3123">
        <f t="shared" si="134"/>
        <v>0</v>
      </c>
      <c r="BD271" s="3123">
        <f t="shared" si="135"/>
        <v>0</v>
      </c>
      <c r="BE271" s="3123">
        <f t="shared" si="136"/>
        <v>0</v>
      </c>
      <c r="BF271" s="3123">
        <f t="shared" si="137"/>
        <v>0</v>
      </c>
      <c r="BG271" s="3123">
        <f t="shared" si="138"/>
        <v>0</v>
      </c>
      <c r="BH271" s="3123">
        <f t="shared" si="139"/>
        <v>0</v>
      </c>
      <c r="BI271" s="3123">
        <f t="shared" si="140"/>
        <v>0</v>
      </c>
      <c r="BJ271" s="3123">
        <f t="shared" si="141"/>
        <v>0</v>
      </c>
      <c r="BK271" s="3123">
        <f t="shared" si="142"/>
        <v>0</v>
      </c>
      <c r="BL271" s="3123">
        <f t="shared" si="143"/>
        <v>0</v>
      </c>
      <c r="BM271" s="3123">
        <f t="shared" si="144"/>
        <v>0</v>
      </c>
      <c r="BN271" s="3123">
        <f t="shared" si="145"/>
        <v>0</v>
      </c>
      <c r="BO271" s="3123">
        <f t="shared" si="146"/>
        <v>0</v>
      </c>
      <c r="BP271" s="3123">
        <f t="shared" si="147"/>
        <v>0</v>
      </c>
      <c r="BQ271" s="3123">
        <f t="shared" si="148"/>
        <v>0</v>
      </c>
      <c r="BR271" s="3123">
        <f t="shared" si="149"/>
        <v>0</v>
      </c>
      <c r="BS271" s="3123">
        <f t="shared" si="150"/>
        <v>0</v>
      </c>
      <c r="BT271" s="3175">
        <f t="shared" si="151"/>
        <v>0</v>
      </c>
    </row>
    <row r="272" spans="1:72">
      <c r="A272" s="3120"/>
      <c r="B272" s="3121"/>
      <c r="C272" s="3121"/>
      <c r="D272" s="3122"/>
      <c r="E272" s="3123">
        <f t="shared" si="123"/>
        <v>0</v>
      </c>
      <c r="F272" s="3124"/>
      <c r="G272" s="3125">
        <f t="shared" si="124"/>
        <v>0</v>
      </c>
      <c r="H272" s="3126">
        <f t="shared" si="125"/>
        <v>0</v>
      </c>
      <c r="I272" s="3133"/>
      <c r="J272" s="3133"/>
      <c r="K272" s="3133"/>
      <c r="L272" s="3133"/>
      <c r="M272" s="3133"/>
      <c r="N272" s="3133"/>
      <c r="O272" s="3133"/>
      <c r="P272" s="3133"/>
      <c r="Q272" s="3133"/>
      <c r="R272" s="3133"/>
      <c r="S272" s="3133"/>
      <c r="T272" s="3133"/>
      <c r="U272" s="3133"/>
      <c r="V272" s="3133"/>
      <c r="W272" s="3133"/>
      <c r="X272" s="3133"/>
      <c r="Y272" s="3133"/>
      <c r="Z272" s="3133"/>
      <c r="AA272" s="3133"/>
      <c r="AB272" s="3133"/>
      <c r="AC272" s="3123">
        <f t="shared" si="126"/>
        <v>0</v>
      </c>
      <c r="AD272" s="3143"/>
      <c r="AE272" s="3143"/>
      <c r="AF272" s="3143"/>
      <c r="AG272" s="3143"/>
      <c r="AH272" s="3143"/>
      <c r="AI272" s="3143"/>
      <c r="AJ272" s="3143"/>
      <c r="AK272" s="3143"/>
      <c r="AL272" s="3143"/>
      <c r="AM272" s="3143"/>
      <c r="AN272" s="3143"/>
      <c r="AO272" s="3143"/>
      <c r="AP272" s="3143"/>
      <c r="AQ272" s="3143"/>
      <c r="AR272" s="3143"/>
      <c r="AS272" s="3143"/>
      <c r="AT272" s="3153"/>
      <c r="AU272" s="3154"/>
      <c r="AV272" s="270">
        <f t="shared" si="127"/>
        <v>0</v>
      </c>
      <c r="AW272" s="270">
        <f t="shared" si="128"/>
        <v>0</v>
      </c>
      <c r="AX272" s="270">
        <f t="shared" si="129"/>
        <v>0</v>
      </c>
      <c r="AY272" s="3168">
        <f t="shared" si="130"/>
        <v>0</v>
      </c>
      <c r="AZ272" s="3123">
        <f t="shared" si="131"/>
        <v>0</v>
      </c>
      <c r="BA272" s="3123">
        <f t="shared" si="132"/>
        <v>0</v>
      </c>
      <c r="BB272" s="3123">
        <f t="shared" si="133"/>
        <v>0</v>
      </c>
      <c r="BC272" s="3123">
        <f t="shared" si="134"/>
        <v>0</v>
      </c>
      <c r="BD272" s="3123">
        <f t="shared" si="135"/>
        <v>0</v>
      </c>
      <c r="BE272" s="3123">
        <f t="shared" si="136"/>
        <v>0</v>
      </c>
      <c r="BF272" s="3123">
        <f t="shared" si="137"/>
        <v>0</v>
      </c>
      <c r="BG272" s="3123">
        <f t="shared" si="138"/>
        <v>0</v>
      </c>
      <c r="BH272" s="3123">
        <f t="shared" si="139"/>
        <v>0</v>
      </c>
      <c r="BI272" s="3123">
        <f t="shared" si="140"/>
        <v>0</v>
      </c>
      <c r="BJ272" s="3123">
        <f t="shared" si="141"/>
        <v>0</v>
      </c>
      <c r="BK272" s="3123">
        <f t="shared" si="142"/>
        <v>0</v>
      </c>
      <c r="BL272" s="3123">
        <f t="shared" si="143"/>
        <v>0</v>
      </c>
      <c r="BM272" s="3123">
        <f t="shared" si="144"/>
        <v>0</v>
      </c>
      <c r="BN272" s="3123">
        <f t="shared" si="145"/>
        <v>0</v>
      </c>
      <c r="BO272" s="3123">
        <f t="shared" si="146"/>
        <v>0</v>
      </c>
      <c r="BP272" s="3123">
        <f t="shared" si="147"/>
        <v>0</v>
      </c>
      <c r="BQ272" s="3123">
        <f t="shared" si="148"/>
        <v>0</v>
      </c>
      <c r="BR272" s="3123">
        <f t="shared" si="149"/>
        <v>0</v>
      </c>
      <c r="BS272" s="3123">
        <f t="shared" si="150"/>
        <v>0</v>
      </c>
      <c r="BT272" s="3175">
        <f t="shared" si="151"/>
        <v>0</v>
      </c>
    </row>
    <row r="273" spans="1:72">
      <c r="A273" s="3120"/>
      <c r="B273" s="3121"/>
      <c r="C273" s="3121"/>
      <c r="D273" s="3122"/>
      <c r="E273" s="3123">
        <f t="shared" si="123"/>
        <v>0</v>
      </c>
      <c r="F273" s="3124"/>
      <c r="G273" s="3125">
        <f t="shared" si="124"/>
        <v>0</v>
      </c>
      <c r="H273" s="3126">
        <f t="shared" si="125"/>
        <v>0</v>
      </c>
      <c r="I273" s="3133"/>
      <c r="J273" s="3133"/>
      <c r="K273" s="3133"/>
      <c r="L273" s="3133"/>
      <c r="M273" s="3133"/>
      <c r="N273" s="3133"/>
      <c r="O273" s="3133"/>
      <c r="P273" s="3133"/>
      <c r="Q273" s="3133"/>
      <c r="R273" s="3133"/>
      <c r="S273" s="3133"/>
      <c r="T273" s="3133"/>
      <c r="U273" s="3133"/>
      <c r="V273" s="3133"/>
      <c r="W273" s="3133"/>
      <c r="X273" s="3133"/>
      <c r="Y273" s="3133"/>
      <c r="Z273" s="3133"/>
      <c r="AA273" s="3133"/>
      <c r="AB273" s="3133"/>
      <c r="AC273" s="3123">
        <f t="shared" si="126"/>
        <v>0</v>
      </c>
      <c r="AD273" s="3143"/>
      <c r="AE273" s="3143"/>
      <c r="AF273" s="3143"/>
      <c r="AG273" s="3143"/>
      <c r="AH273" s="3143"/>
      <c r="AI273" s="3143"/>
      <c r="AJ273" s="3143"/>
      <c r="AK273" s="3143"/>
      <c r="AL273" s="3143"/>
      <c r="AM273" s="3143"/>
      <c r="AN273" s="3143"/>
      <c r="AO273" s="3143"/>
      <c r="AP273" s="3143"/>
      <c r="AQ273" s="3143"/>
      <c r="AR273" s="3143"/>
      <c r="AS273" s="3143"/>
      <c r="AT273" s="3153"/>
      <c r="AU273" s="3154"/>
      <c r="AV273" s="270">
        <f t="shared" si="127"/>
        <v>0</v>
      </c>
      <c r="AW273" s="270">
        <f t="shared" si="128"/>
        <v>0</v>
      </c>
      <c r="AX273" s="270">
        <f t="shared" si="129"/>
        <v>0</v>
      </c>
      <c r="AY273" s="3168">
        <f t="shared" si="130"/>
        <v>0</v>
      </c>
      <c r="AZ273" s="3123">
        <f t="shared" si="131"/>
        <v>0</v>
      </c>
      <c r="BA273" s="3123">
        <f t="shared" si="132"/>
        <v>0</v>
      </c>
      <c r="BB273" s="3123">
        <f t="shared" si="133"/>
        <v>0</v>
      </c>
      <c r="BC273" s="3123">
        <f t="shared" si="134"/>
        <v>0</v>
      </c>
      <c r="BD273" s="3123">
        <f t="shared" si="135"/>
        <v>0</v>
      </c>
      <c r="BE273" s="3123">
        <f t="shared" si="136"/>
        <v>0</v>
      </c>
      <c r="BF273" s="3123">
        <f t="shared" si="137"/>
        <v>0</v>
      </c>
      <c r="BG273" s="3123">
        <f t="shared" si="138"/>
        <v>0</v>
      </c>
      <c r="BH273" s="3123">
        <f t="shared" si="139"/>
        <v>0</v>
      </c>
      <c r="BI273" s="3123">
        <f t="shared" si="140"/>
        <v>0</v>
      </c>
      <c r="BJ273" s="3123">
        <f t="shared" si="141"/>
        <v>0</v>
      </c>
      <c r="BK273" s="3123">
        <f t="shared" si="142"/>
        <v>0</v>
      </c>
      <c r="BL273" s="3123">
        <f t="shared" si="143"/>
        <v>0</v>
      </c>
      <c r="BM273" s="3123">
        <f t="shared" si="144"/>
        <v>0</v>
      </c>
      <c r="BN273" s="3123">
        <f t="shared" si="145"/>
        <v>0</v>
      </c>
      <c r="BO273" s="3123">
        <f t="shared" si="146"/>
        <v>0</v>
      </c>
      <c r="BP273" s="3123">
        <f t="shared" si="147"/>
        <v>0</v>
      </c>
      <c r="BQ273" s="3123">
        <f t="shared" si="148"/>
        <v>0</v>
      </c>
      <c r="BR273" s="3123">
        <f t="shared" si="149"/>
        <v>0</v>
      </c>
      <c r="BS273" s="3123">
        <f t="shared" si="150"/>
        <v>0</v>
      </c>
      <c r="BT273" s="3175">
        <f t="shared" si="151"/>
        <v>0</v>
      </c>
    </row>
    <row r="274" spans="1:72">
      <c r="A274" s="3120"/>
      <c r="B274" s="3121"/>
      <c r="C274" s="3121"/>
      <c r="D274" s="3122"/>
      <c r="E274" s="3123">
        <f t="shared" si="123"/>
        <v>0</v>
      </c>
      <c r="F274" s="3124"/>
      <c r="G274" s="3125">
        <f t="shared" si="124"/>
        <v>0</v>
      </c>
      <c r="H274" s="3126">
        <f t="shared" si="125"/>
        <v>0</v>
      </c>
      <c r="I274" s="3133"/>
      <c r="J274" s="3133"/>
      <c r="K274" s="3133"/>
      <c r="L274" s="3133"/>
      <c r="M274" s="3133"/>
      <c r="N274" s="3133"/>
      <c r="O274" s="3133"/>
      <c r="P274" s="3133"/>
      <c r="Q274" s="3133"/>
      <c r="R274" s="3133"/>
      <c r="S274" s="3133"/>
      <c r="T274" s="3133"/>
      <c r="U274" s="3133"/>
      <c r="V274" s="3133"/>
      <c r="W274" s="3133"/>
      <c r="X274" s="3133"/>
      <c r="Y274" s="3133"/>
      <c r="Z274" s="3133"/>
      <c r="AA274" s="3133"/>
      <c r="AB274" s="3133"/>
      <c r="AC274" s="3123">
        <f t="shared" si="126"/>
        <v>0</v>
      </c>
      <c r="AD274" s="3143"/>
      <c r="AE274" s="3143"/>
      <c r="AF274" s="3143"/>
      <c r="AG274" s="3143"/>
      <c r="AH274" s="3143"/>
      <c r="AI274" s="3143"/>
      <c r="AJ274" s="3143"/>
      <c r="AK274" s="3143"/>
      <c r="AL274" s="3143"/>
      <c r="AM274" s="3143"/>
      <c r="AN274" s="3143"/>
      <c r="AO274" s="3143"/>
      <c r="AP274" s="3143"/>
      <c r="AQ274" s="3143"/>
      <c r="AR274" s="3143"/>
      <c r="AS274" s="3143"/>
      <c r="AT274" s="3153"/>
      <c r="AU274" s="3154"/>
      <c r="AV274" s="270">
        <f t="shared" si="127"/>
        <v>0</v>
      </c>
      <c r="AW274" s="270">
        <f t="shared" si="128"/>
        <v>0</v>
      </c>
      <c r="AX274" s="270">
        <f t="shared" si="129"/>
        <v>0</v>
      </c>
      <c r="AY274" s="3168">
        <f t="shared" si="130"/>
        <v>0</v>
      </c>
      <c r="AZ274" s="3123">
        <f t="shared" si="131"/>
        <v>0</v>
      </c>
      <c r="BA274" s="3123">
        <f t="shared" si="132"/>
        <v>0</v>
      </c>
      <c r="BB274" s="3123">
        <f t="shared" si="133"/>
        <v>0</v>
      </c>
      <c r="BC274" s="3123">
        <f t="shared" si="134"/>
        <v>0</v>
      </c>
      <c r="BD274" s="3123">
        <f t="shared" si="135"/>
        <v>0</v>
      </c>
      <c r="BE274" s="3123">
        <f t="shared" si="136"/>
        <v>0</v>
      </c>
      <c r="BF274" s="3123">
        <f t="shared" si="137"/>
        <v>0</v>
      </c>
      <c r="BG274" s="3123">
        <f t="shared" si="138"/>
        <v>0</v>
      </c>
      <c r="BH274" s="3123">
        <f t="shared" si="139"/>
        <v>0</v>
      </c>
      <c r="BI274" s="3123">
        <f t="shared" si="140"/>
        <v>0</v>
      </c>
      <c r="BJ274" s="3123">
        <f t="shared" si="141"/>
        <v>0</v>
      </c>
      <c r="BK274" s="3123">
        <f t="shared" si="142"/>
        <v>0</v>
      </c>
      <c r="BL274" s="3123">
        <f t="shared" si="143"/>
        <v>0</v>
      </c>
      <c r="BM274" s="3123">
        <f t="shared" si="144"/>
        <v>0</v>
      </c>
      <c r="BN274" s="3123">
        <f t="shared" si="145"/>
        <v>0</v>
      </c>
      <c r="BO274" s="3123">
        <f t="shared" si="146"/>
        <v>0</v>
      </c>
      <c r="BP274" s="3123">
        <f t="shared" si="147"/>
        <v>0</v>
      </c>
      <c r="BQ274" s="3123">
        <f t="shared" si="148"/>
        <v>0</v>
      </c>
      <c r="BR274" s="3123">
        <f t="shared" si="149"/>
        <v>0</v>
      </c>
      <c r="BS274" s="3123">
        <f t="shared" si="150"/>
        <v>0</v>
      </c>
      <c r="BT274" s="3175">
        <f t="shared" si="151"/>
        <v>0</v>
      </c>
    </row>
    <row r="275" spans="1:72">
      <c r="A275" s="3120"/>
      <c r="B275" s="3121"/>
      <c r="C275" s="3121"/>
      <c r="D275" s="3122"/>
      <c r="E275" s="3123">
        <f t="shared" si="123"/>
        <v>0</v>
      </c>
      <c r="F275" s="3124"/>
      <c r="G275" s="3125">
        <f t="shared" si="124"/>
        <v>0</v>
      </c>
      <c r="H275" s="3126">
        <f t="shared" si="125"/>
        <v>0</v>
      </c>
      <c r="I275" s="3133"/>
      <c r="J275" s="3133"/>
      <c r="K275" s="3133"/>
      <c r="L275" s="3133"/>
      <c r="M275" s="3133"/>
      <c r="N275" s="3133"/>
      <c r="O275" s="3133"/>
      <c r="P275" s="3133"/>
      <c r="Q275" s="3133"/>
      <c r="R275" s="3133"/>
      <c r="S275" s="3133"/>
      <c r="T275" s="3133"/>
      <c r="U275" s="3133"/>
      <c r="V275" s="3133"/>
      <c r="W275" s="3133"/>
      <c r="X275" s="3133"/>
      <c r="Y275" s="3133"/>
      <c r="Z275" s="3133"/>
      <c r="AA275" s="3133"/>
      <c r="AB275" s="3133"/>
      <c r="AC275" s="3123">
        <f t="shared" si="126"/>
        <v>0</v>
      </c>
      <c r="AD275" s="3143"/>
      <c r="AE275" s="3143"/>
      <c r="AF275" s="3143"/>
      <c r="AG275" s="3143"/>
      <c r="AH275" s="3143"/>
      <c r="AI275" s="3143"/>
      <c r="AJ275" s="3143"/>
      <c r="AK275" s="3143"/>
      <c r="AL275" s="3143"/>
      <c r="AM275" s="3143"/>
      <c r="AN275" s="3143"/>
      <c r="AO275" s="3143"/>
      <c r="AP275" s="3143"/>
      <c r="AQ275" s="3143"/>
      <c r="AR275" s="3143"/>
      <c r="AS275" s="3143"/>
      <c r="AT275" s="3153"/>
      <c r="AU275" s="3154"/>
      <c r="AV275" s="270">
        <f t="shared" si="127"/>
        <v>0</v>
      </c>
      <c r="AW275" s="270">
        <f t="shared" si="128"/>
        <v>0</v>
      </c>
      <c r="AX275" s="270">
        <f t="shared" si="129"/>
        <v>0</v>
      </c>
      <c r="AY275" s="3168">
        <f t="shared" si="130"/>
        <v>0</v>
      </c>
      <c r="AZ275" s="3123">
        <f t="shared" si="131"/>
        <v>0</v>
      </c>
      <c r="BA275" s="3123">
        <f t="shared" si="132"/>
        <v>0</v>
      </c>
      <c r="BB275" s="3123">
        <f t="shared" si="133"/>
        <v>0</v>
      </c>
      <c r="BC275" s="3123">
        <f t="shared" si="134"/>
        <v>0</v>
      </c>
      <c r="BD275" s="3123">
        <f t="shared" si="135"/>
        <v>0</v>
      </c>
      <c r="BE275" s="3123">
        <f t="shared" si="136"/>
        <v>0</v>
      </c>
      <c r="BF275" s="3123">
        <f t="shared" si="137"/>
        <v>0</v>
      </c>
      <c r="BG275" s="3123">
        <f t="shared" si="138"/>
        <v>0</v>
      </c>
      <c r="BH275" s="3123">
        <f t="shared" si="139"/>
        <v>0</v>
      </c>
      <c r="BI275" s="3123">
        <f t="shared" si="140"/>
        <v>0</v>
      </c>
      <c r="BJ275" s="3123">
        <f t="shared" si="141"/>
        <v>0</v>
      </c>
      <c r="BK275" s="3123">
        <f t="shared" si="142"/>
        <v>0</v>
      </c>
      <c r="BL275" s="3123">
        <f t="shared" si="143"/>
        <v>0</v>
      </c>
      <c r="BM275" s="3123">
        <f t="shared" si="144"/>
        <v>0</v>
      </c>
      <c r="BN275" s="3123">
        <f t="shared" si="145"/>
        <v>0</v>
      </c>
      <c r="BO275" s="3123">
        <f t="shared" si="146"/>
        <v>0</v>
      </c>
      <c r="BP275" s="3123">
        <f t="shared" si="147"/>
        <v>0</v>
      </c>
      <c r="BQ275" s="3123">
        <f t="shared" si="148"/>
        <v>0</v>
      </c>
      <c r="BR275" s="3123">
        <f t="shared" si="149"/>
        <v>0</v>
      </c>
      <c r="BS275" s="3123">
        <f t="shared" si="150"/>
        <v>0</v>
      </c>
      <c r="BT275" s="3175">
        <f t="shared" si="151"/>
        <v>0</v>
      </c>
    </row>
    <row r="276" spans="1:72">
      <c r="A276" s="3120"/>
      <c r="B276" s="3121"/>
      <c r="C276" s="3121"/>
      <c r="D276" s="3122"/>
      <c r="E276" s="3123">
        <f t="shared" si="123"/>
        <v>0</v>
      </c>
      <c r="F276" s="3124"/>
      <c r="G276" s="3125">
        <f t="shared" si="124"/>
        <v>0</v>
      </c>
      <c r="H276" s="3126">
        <f t="shared" si="125"/>
        <v>0</v>
      </c>
      <c r="I276" s="3133"/>
      <c r="J276" s="3133"/>
      <c r="K276" s="3133"/>
      <c r="L276" s="3133"/>
      <c r="M276" s="3133"/>
      <c r="N276" s="3133"/>
      <c r="O276" s="3133"/>
      <c r="P276" s="3133"/>
      <c r="Q276" s="3133"/>
      <c r="R276" s="3133"/>
      <c r="S276" s="3133"/>
      <c r="T276" s="3133"/>
      <c r="U276" s="3133"/>
      <c r="V276" s="3133"/>
      <c r="W276" s="3133"/>
      <c r="X276" s="3133"/>
      <c r="Y276" s="3133"/>
      <c r="Z276" s="3133"/>
      <c r="AA276" s="3133"/>
      <c r="AB276" s="3133"/>
      <c r="AC276" s="3123">
        <f t="shared" si="126"/>
        <v>0</v>
      </c>
      <c r="AD276" s="3143"/>
      <c r="AE276" s="3143"/>
      <c r="AF276" s="3143"/>
      <c r="AG276" s="3143"/>
      <c r="AH276" s="3143"/>
      <c r="AI276" s="3143"/>
      <c r="AJ276" s="3143"/>
      <c r="AK276" s="3143"/>
      <c r="AL276" s="3143"/>
      <c r="AM276" s="3143"/>
      <c r="AN276" s="3143"/>
      <c r="AO276" s="3143"/>
      <c r="AP276" s="3143"/>
      <c r="AQ276" s="3143"/>
      <c r="AR276" s="3143"/>
      <c r="AS276" s="3143"/>
      <c r="AT276" s="3153"/>
      <c r="AU276" s="3154"/>
      <c r="AV276" s="270">
        <f t="shared" si="127"/>
        <v>0</v>
      </c>
      <c r="AW276" s="270">
        <f t="shared" si="128"/>
        <v>0</v>
      </c>
      <c r="AX276" s="270">
        <f t="shared" si="129"/>
        <v>0</v>
      </c>
      <c r="AY276" s="3168">
        <f t="shared" si="130"/>
        <v>0</v>
      </c>
      <c r="AZ276" s="3123">
        <f t="shared" si="131"/>
        <v>0</v>
      </c>
      <c r="BA276" s="3123">
        <f t="shared" si="132"/>
        <v>0</v>
      </c>
      <c r="BB276" s="3123">
        <f t="shared" si="133"/>
        <v>0</v>
      </c>
      <c r="BC276" s="3123">
        <f t="shared" si="134"/>
        <v>0</v>
      </c>
      <c r="BD276" s="3123">
        <f t="shared" si="135"/>
        <v>0</v>
      </c>
      <c r="BE276" s="3123">
        <f t="shared" si="136"/>
        <v>0</v>
      </c>
      <c r="BF276" s="3123">
        <f t="shared" si="137"/>
        <v>0</v>
      </c>
      <c r="BG276" s="3123">
        <f t="shared" si="138"/>
        <v>0</v>
      </c>
      <c r="BH276" s="3123">
        <f t="shared" si="139"/>
        <v>0</v>
      </c>
      <c r="BI276" s="3123">
        <f t="shared" si="140"/>
        <v>0</v>
      </c>
      <c r="BJ276" s="3123">
        <f t="shared" si="141"/>
        <v>0</v>
      </c>
      <c r="BK276" s="3123">
        <f t="shared" si="142"/>
        <v>0</v>
      </c>
      <c r="BL276" s="3123">
        <f t="shared" si="143"/>
        <v>0</v>
      </c>
      <c r="BM276" s="3123">
        <f t="shared" si="144"/>
        <v>0</v>
      </c>
      <c r="BN276" s="3123">
        <f t="shared" si="145"/>
        <v>0</v>
      </c>
      <c r="BO276" s="3123">
        <f t="shared" si="146"/>
        <v>0</v>
      </c>
      <c r="BP276" s="3123">
        <f t="shared" si="147"/>
        <v>0</v>
      </c>
      <c r="BQ276" s="3123">
        <f t="shared" si="148"/>
        <v>0</v>
      </c>
      <c r="BR276" s="3123">
        <f t="shared" si="149"/>
        <v>0</v>
      </c>
      <c r="BS276" s="3123">
        <f t="shared" si="150"/>
        <v>0</v>
      </c>
      <c r="BT276" s="3175">
        <f t="shared" si="151"/>
        <v>0</v>
      </c>
    </row>
    <row r="277" spans="1:72">
      <c r="A277" s="3120"/>
      <c r="B277" s="3121"/>
      <c r="C277" s="3121"/>
      <c r="D277" s="3122"/>
      <c r="E277" s="3123">
        <f t="shared" si="123"/>
        <v>0</v>
      </c>
      <c r="F277" s="3124"/>
      <c r="G277" s="3125">
        <f t="shared" si="124"/>
        <v>0</v>
      </c>
      <c r="H277" s="3126">
        <f t="shared" si="125"/>
        <v>0</v>
      </c>
      <c r="I277" s="3133"/>
      <c r="J277" s="3133"/>
      <c r="K277" s="3133"/>
      <c r="L277" s="3133"/>
      <c r="M277" s="3133"/>
      <c r="N277" s="3133"/>
      <c r="O277" s="3133"/>
      <c r="P277" s="3133"/>
      <c r="Q277" s="3133"/>
      <c r="R277" s="3133"/>
      <c r="S277" s="3133"/>
      <c r="T277" s="3133"/>
      <c r="U277" s="3133"/>
      <c r="V277" s="3133"/>
      <c r="W277" s="3133"/>
      <c r="X277" s="3133"/>
      <c r="Y277" s="3133"/>
      <c r="Z277" s="3133"/>
      <c r="AA277" s="3133"/>
      <c r="AB277" s="3133"/>
      <c r="AC277" s="3123">
        <f t="shared" si="126"/>
        <v>0</v>
      </c>
      <c r="AD277" s="3143"/>
      <c r="AE277" s="3143"/>
      <c r="AF277" s="3143"/>
      <c r="AG277" s="3143"/>
      <c r="AH277" s="3143"/>
      <c r="AI277" s="3143"/>
      <c r="AJ277" s="3143"/>
      <c r="AK277" s="3143"/>
      <c r="AL277" s="3143"/>
      <c r="AM277" s="3143"/>
      <c r="AN277" s="3143"/>
      <c r="AO277" s="3143"/>
      <c r="AP277" s="3143"/>
      <c r="AQ277" s="3143"/>
      <c r="AR277" s="3143"/>
      <c r="AS277" s="3143"/>
      <c r="AT277" s="3153"/>
      <c r="AU277" s="3154"/>
      <c r="AV277" s="270">
        <f t="shared" si="127"/>
        <v>0</v>
      </c>
      <c r="AW277" s="270">
        <f t="shared" si="128"/>
        <v>0</v>
      </c>
      <c r="AX277" s="270">
        <f t="shared" si="129"/>
        <v>0</v>
      </c>
      <c r="AY277" s="3168">
        <f t="shared" si="130"/>
        <v>0</v>
      </c>
      <c r="AZ277" s="3123">
        <f t="shared" si="131"/>
        <v>0</v>
      </c>
      <c r="BA277" s="3123">
        <f t="shared" si="132"/>
        <v>0</v>
      </c>
      <c r="BB277" s="3123">
        <f t="shared" si="133"/>
        <v>0</v>
      </c>
      <c r="BC277" s="3123">
        <f t="shared" si="134"/>
        <v>0</v>
      </c>
      <c r="BD277" s="3123">
        <f t="shared" si="135"/>
        <v>0</v>
      </c>
      <c r="BE277" s="3123">
        <f t="shared" si="136"/>
        <v>0</v>
      </c>
      <c r="BF277" s="3123">
        <f t="shared" si="137"/>
        <v>0</v>
      </c>
      <c r="BG277" s="3123">
        <f t="shared" si="138"/>
        <v>0</v>
      </c>
      <c r="BH277" s="3123">
        <f t="shared" si="139"/>
        <v>0</v>
      </c>
      <c r="BI277" s="3123">
        <f t="shared" si="140"/>
        <v>0</v>
      </c>
      <c r="BJ277" s="3123">
        <f t="shared" si="141"/>
        <v>0</v>
      </c>
      <c r="BK277" s="3123">
        <f t="shared" si="142"/>
        <v>0</v>
      </c>
      <c r="BL277" s="3123">
        <f t="shared" si="143"/>
        <v>0</v>
      </c>
      <c r="BM277" s="3123">
        <f t="shared" si="144"/>
        <v>0</v>
      </c>
      <c r="BN277" s="3123">
        <f t="shared" si="145"/>
        <v>0</v>
      </c>
      <c r="BO277" s="3123">
        <f t="shared" si="146"/>
        <v>0</v>
      </c>
      <c r="BP277" s="3123">
        <f t="shared" si="147"/>
        <v>0</v>
      </c>
      <c r="BQ277" s="3123">
        <f t="shared" si="148"/>
        <v>0</v>
      </c>
      <c r="BR277" s="3123">
        <f t="shared" si="149"/>
        <v>0</v>
      </c>
      <c r="BS277" s="3123">
        <f t="shared" si="150"/>
        <v>0</v>
      </c>
      <c r="BT277" s="3175">
        <f t="shared" si="151"/>
        <v>0</v>
      </c>
    </row>
    <row r="278" spans="1:72">
      <c r="A278" s="3120"/>
      <c r="B278" s="3121"/>
      <c r="C278" s="3121"/>
      <c r="D278" s="3122"/>
      <c r="E278" s="3123">
        <f t="shared" si="123"/>
        <v>0</v>
      </c>
      <c r="F278" s="3124"/>
      <c r="G278" s="3125">
        <f t="shared" si="124"/>
        <v>0</v>
      </c>
      <c r="H278" s="3126">
        <f t="shared" si="125"/>
        <v>0</v>
      </c>
      <c r="I278" s="3133"/>
      <c r="J278" s="3133"/>
      <c r="K278" s="3133"/>
      <c r="L278" s="3133"/>
      <c r="M278" s="3133"/>
      <c r="N278" s="3133"/>
      <c r="O278" s="3133"/>
      <c r="P278" s="3133"/>
      <c r="Q278" s="3133"/>
      <c r="R278" s="3133"/>
      <c r="S278" s="3133"/>
      <c r="T278" s="3133"/>
      <c r="U278" s="3133"/>
      <c r="V278" s="3133"/>
      <c r="W278" s="3133"/>
      <c r="X278" s="3133"/>
      <c r="Y278" s="3133"/>
      <c r="Z278" s="3133"/>
      <c r="AA278" s="3133"/>
      <c r="AB278" s="3133"/>
      <c r="AC278" s="3123">
        <f t="shared" si="126"/>
        <v>0</v>
      </c>
      <c r="AD278" s="3143"/>
      <c r="AE278" s="3143"/>
      <c r="AF278" s="3143"/>
      <c r="AG278" s="3143"/>
      <c r="AH278" s="3143"/>
      <c r="AI278" s="3143"/>
      <c r="AJ278" s="3143"/>
      <c r="AK278" s="3143"/>
      <c r="AL278" s="3143"/>
      <c r="AM278" s="3143"/>
      <c r="AN278" s="3143"/>
      <c r="AO278" s="3143"/>
      <c r="AP278" s="3143"/>
      <c r="AQ278" s="3143"/>
      <c r="AR278" s="3143"/>
      <c r="AS278" s="3143"/>
      <c r="AT278" s="3153"/>
      <c r="AU278" s="3154"/>
      <c r="AV278" s="270">
        <f t="shared" si="127"/>
        <v>0</v>
      </c>
      <c r="AW278" s="270">
        <f t="shared" si="128"/>
        <v>0</v>
      </c>
      <c r="AX278" s="270">
        <f t="shared" si="129"/>
        <v>0</v>
      </c>
      <c r="AY278" s="3168">
        <f t="shared" si="130"/>
        <v>0</v>
      </c>
      <c r="AZ278" s="3123">
        <f t="shared" si="131"/>
        <v>0</v>
      </c>
      <c r="BA278" s="3123">
        <f t="shared" si="132"/>
        <v>0</v>
      </c>
      <c r="BB278" s="3123">
        <f t="shared" si="133"/>
        <v>0</v>
      </c>
      <c r="BC278" s="3123">
        <f t="shared" si="134"/>
        <v>0</v>
      </c>
      <c r="BD278" s="3123">
        <f t="shared" si="135"/>
        <v>0</v>
      </c>
      <c r="BE278" s="3123">
        <f t="shared" si="136"/>
        <v>0</v>
      </c>
      <c r="BF278" s="3123">
        <f t="shared" si="137"/>
        <v>0</v>
      </c>
      <c r="BG278" s="3123">
        <f t="shared" si="138"/>
        <v>0</v>
      </c>
      <c r="BH278" s="3123">
        <f t="shared" si="139"/>
        <v>0</v>
      </c>
      <c r="BI278" s="3123">
        <f t="shared" si="140"/>
        <v>0</v>
      </c>
      <c r="BJ278" s="3123">
        <f t="shared" si="141"/>
        <v>0</v>
      </c>
      <c r="BK278" s="3123">
        <f t="shared" si="142"/>
        <v>0</v>
      </c>
      <c r="BL278" s="3123">
        <f t="shared" si="143"/>
        <v>0</v>
      </c>
      <c r="BM278" s="3123">
        <f t="shared" si="144"/>
        <v>0</v>
      </c>
      <c r="BN278" s="3123">
        <f t="shared" si="145"/>
        <v>0</v>
      </c>
      <c r="BO278" s="3123">
        <f t="shared" si="146"/>
        <v>0</v>
      </c>
      <c r="BP278" s="3123">
        <f t="shared" si="147"/>
        <v>0</v>
      </c>
      <c r="BQ278" s="3123">
        <f t="shared" si="148"/>
        <v>0</v>
      </c>
      <c r="BR278" s="3123">
        <f t="shared" si="149"/>
        <v>0</v>
      </c>
      <c r="BS278" s="3123">
        <f t="shared" si="150"/>
        <v>0</v>
      </c>
      <c r="BT278" s="3175">
        <f t="shared" si="151"/>
        <v>0</v>
      </c>
    </row>
    <row r="279" spans="1:72">
      <c r="A279" s="3120"/>
      <c r="B279" s="3121"/>
      <c r="C279" s="3121"/>
      <c r="D279" s="3122"/>
      <c r="E279" s="3123">
        <f t="shared" si="123"/>
        <v>0</v>
      </c>
      <c r="F279" s="3124"/>
      <c r="G279" s="3125">
        <f t="shared" si="124"/>
        <v>0</v>
      </c>
      <c r="H279" s="3126">
        <f t="shared" si="125"/>
        <v>0</v>
      </c>
      <c r="I279" s="3133"/>
      <c r="J279" s="3133"/>
      <c r="K279" s="3133"/>
      <c r="L279" s="3133"/>
      <c r="M279" s="3133"/>
      <c r="N279" s="3133"/>
      <c r="O279" s="3133"/>
      <c r="P279" s="3133"/>
      <c r="Q279" s="3133"/>
      <c r="R279" s="3133"/>
      <c r="S279" s="3133"/>
      <c r="T279" s="3133"/>
      <c r="U279" s="3133"/>
      <c r="V279" s="3133"/>
      <c r="W279" s="3133"/>
      <c r="X279" s="3133"/>
      <c r="Y279" s="3133"/>
      <c r="Z279" s="3133"/>
      <c r="AA279" s="3133"/>
      <c r="AB279" s="3133"/>
      <c r="AC279" s="3123">
        <f t="shared" si="126"/>
        <v>0</v>
      </c>
      <c r="AD279" s="3143"/>
      <c r="AE279" s="3143"/>
      <c r="AF279" s="3143"/>
      <c r="AG279" s="3143"/>
      <c r="AH279" s="3143"/>
      <c r="AI279" s="3143"/>
      <c r="AJ279" s="3143"/>
      <c r="AK279" s="3143"/>
      <c r="AL279" s="3143"/>
      <c r="AM279" s="3143"/>
      <c r="AN279" s="3143"/>
      <c r="AO279" s="3143"/>
      <c r="AP279" s="3143"/>
      <c r="AQ279" s="3143"/>
      <c r="AR279" s="3143"/>
      <c r="AS279" s="3143"/>
      <c r="AT279" s="3153"/>
      <c r="AU279" s="3154"/>
      <c r="AV279" s="270">
        <f t="shared" si="127"/>
        <v>0</v>
      </c>
      <c r="AW279" s="270">
        <f t="shared" si="128"/>
        <v>0</v>
      </c>
      <c r="AX279" s="270">
        <f t="shared" si="129"/>
        <v>0</v>
      </c>
      <c r="AY279" s="3168">
        <f t="shared" si="130"/>
        <v>0</v>
      </c>
      <c r="AZ279" s="3123">
        <f t="shared" si="131"/>
        <v>0</v>
      </c>
      <c r="BA279" s="3123">
        <f t="shared" si="132"/>
        <v>0</v>
      </c>
      <c r="BB279" s="3123">
        <f t="shared" si="133"/>
        <v>0</v>
      </c>
      <c r="BC279" s="3123">
        <f t="shared" si="134"/>
        <v>0</v>
      </c>
      <c r="BD279" s="3123">
        <f t="shared" si="135"/>
        <v>0</v>
      </c>
      <c r="BE279" s="3123">
        <f t="shared" si="136"/>
        <v>0</v>
      </c>
      <c r="BF279" s="3123">
        <f t="shared" si="137"/>
        <v>0</v>
      </c>
      <c r="BG279" s="3123">
        <f t="shared" si="138"/>
        <v>0</v>
      </c>
      <c r="BH279" s="3123">
        <f t="shared" si="139"/>
        <v>0</v>
      </c>
      <c r="BI279" s="3123">
        <f t="shared" si="140"/>
        <v>0</v>
      </c>
      <c r="BJ279" s="3123">
        <f t="shared" si="141"/>
        <v>0</v>
      </c>
      <c r="BK279" s="3123">
        <f t="shared" si="142"/>
        <v>0</v>
      </c>
      <c r="BL279" s="3123">
        <f t="shared" si="143"/>
        <v>0</v>
      </c>
      <c r="BM279" s="3123">
        <f t="shared" si="144"/>
        <v>0</v>
      </c>
      <c r="BN279" s="3123">
        <f t="shared" si="145"/>
        <v>0</v>
      </c>
      <c r="BO279" s="3123">
        <f t="shared" si="146"/>
        <v>0</v>
      </c>
      <c r="BP279" s="3123">
        <f t="shared" si="147"/>
        <v>0</v>
      </c>
      <c r="BQ279" s="3123">
        <f t="shared" si="148"/>
        <v>0</v>
      </c>
      <c r="BR279" s="3123">
        <f t="shared" si="149"/>
        <v>0</v>
      </c>
      <c r="BS279" s="3123">
        <f t="shared" si="150"/>
        <v>0</v>
      </c>
      <c r="BT279" s="3175">
        <f t="shared" si="151"/>
        <v>0</v>
      </c>
    </row>
    <row r="280" spans="1:72">
      <c r="A280" s="3120"/>
      <c r="B280" s="3121"/>
      <c r="C280" s="3121"/>
      <c r="D280" s="3122"/>
      <c r="E280" s="3123">
        <f t="shared" si="123"/>
        <v>0</v>
      </c>
      <c r="F280" s="3124"/>
      <c r="G280" s="3125">
        <f t="shared" si="124"/>
        <v>0</v>
      </c>
      <c r="H280" s="3126">
        <f t="shared" si="125"/>
        <v>0</v>
      </c>
      <c r="I280" s="3133"/>
      <c r="J280" s="3133"/>
      <c r="K280" s="3133"/>
      <c r="L280" s="3133"/>
      <c r="M280" s="3133"/>
      <c r="N280" s="3133"/>
      <c r="O280" s="3133"/>
      <c r="P280" s="3133"/>
      <c r="Q280" s="3133"/>
      <c r="R280" s="3133"/>
      <c r="S280" s="3133"/>
      <c r="T280" s="3133"/>
      <c r="U280" s="3133"/>
      <c r="V280" s="3133"/>
      <c r="W280" s="3133"/>
      <c r="X280" s="3133"/>
      <c r="Y280" s="3133"/>
      <c r="Z280" s="3133"/>
      <c r="AA280" s="3133"/>
      <c r="AB280" s="3133"/>
      <c r="AC280" s="3123">
        <f t="shared" si="126"/>
        <v>0</v>
      </c>
      <c r="AD280" s="3143"/>
      <c r="AE280" s="3143"/>
      <c r="AF280" s="3143"/>
      <c r="AG280" s="3143"/>
      <c r="AH280" s="3143"/>
      <c r="AI280" s="3143"/>
      <c r="AJ280" s="3143"/>
      <c r="AK280" s="3143"/>
      <c r="AL280" s="3143"/>
      <c r="AM280" s="3143"/>
      <c r="AN280" s="3143"/>
      <c r="AO280" s="3143"/>
      <c r="AP280" s="3143"/>
      <c r="AQ280" s="3143"/>
      <c r="AR280" s="3143"/>
      <c r="AS280" s="3143"/>
      <c r="AT280" s="3153"/>
      <c r="AU280" s="3154"/>
      <c r="AV280" s="270">
        <f t="shared" si="127"/>
        <v>0</v>
      </c>
      <c r="AW280" s="270">
        <f t="shared" si="128"/>
        <v>0</v>
      </c>
      <c r="AX280" s="270">
        <f t="shared" si="129"/>
        <v>0</v>
      </c>
      <c r="AY280" s="3168">
        <f t="shared" si="130"/>
        <v>0</v>
      </c>
      <c r="AZ280" s="3123">
        <f t="shared" si="131"/>
        <v>0</v>
      </c>
      <c r="BA280" s="3123">
        <f t="shared" si="132"/>
        <v>0</v>
      </c>
      <c r="BB280" s="3123">
        <f t="shared" si="133"/>
        <v>0</v>
      </c>
      <c r="BC280" s="3123">
        <f t="shared" si="134"/>
        <v>0</v>
      </c>
      <c r="BD280" s="3123">
        <f t="shared" si="135"/>
        <v>0</v>
      </c>
      <c r="BE280" s="3123">
        <f t="shared" si="136"/>
        <v>0</v>
      </c>
      <c r="BF280" s="3123">
        <f t="shared" si="137"/>
        <v>0</v>
      </c>
      <c r="BG280" s="3123">
        <f t="shared" si="138"/>
        <v>0</v>
      </c>
      <c r="BH280" s="3123">
        <f t="shared" si="139"/>
        <v>0</v>
      </c>
      <c r="BI280" s="3123">
        <f t="shared" si="140"/>
        <v>0</v>
      </c>
      <c r="BJ280" s="3123">
        <f t="shared" si="141"/>
        <v>0</v>
      </c>
      <c r="BK280" s="3123">
        <f t="shared" si="142"/>
        <v>0</v>
      </c>
      <c r="BL280" s="3123">
        <f t="shared" si="143"/>
        <v>0</v>
      </c>
      <c r="BM280" s="3123">
        <f t="shared" si="144"/>
        <v>0</v>
      </c>
      <c r="BN280" s="3123">
        <f t="shared" si="145"/>
        <v>0</v>
      </c>
      <c r="BO280" s="3123">
        <f t="shared" si="146"/>
        <v>0</v>
      </c>
      <c r="BP280" s="3123">
        <f t="shared" si="147"/>
        <v>0</v>
      </c>
      <c r="BQ280" s="3123">
        <f t="shared" si="148"/>
        <v>0</v>
      </c>
      <c r="BR280" s="3123">
        <f t="shared" si="149"/>
        <v>0</v>
      </c>
      <c r="BS280" s="3123">
        <f t="shared" si="150"/>
        <v>0</v>
      </c>
      <c r="BT280" s="3175">
        <f t="shared" si="151"/>
        <v>0</v>
      </c>
    </row>
    <row r="281" spans="1:72">
      <c r="A281" s="3120"/>
      <c r="B281" s="3121"/>
      <c r="C281" s="3121"/>
      <c r="D281" s="3122"/>
      <c r="E281" s="3123">
        <f t="shared" si="123"/>
        <v>0</v>
      </c>
      <c r="F281" s="3124"/>
      <c r="G281" s="3125">
        <f t="shared" si="124"/>
        <v>0</v>
      </c>
      <c r="H281" s="3126">
        <f t="shared" si="125"/>
        <v>0</v>
      </c>
      <c r="I281" s="3133"/>
      <c r="J281" s="3133"/>
      <c r="K281" s="3133"/>
      <c r="L281" s="3133"/>
      <c r="M281" s="3133"/>
      <c r="N281" s="3133"/>
      <c r="O281" s="3133"/>
      <c r="P281" s="3133"/>
      <c r="Q281" s="3133"/>
      <c r="R281" s="3133"/>
      <c r="S281" s="3133"/>
      <c r="T281" s="3133"/>
      <c r="U281" s="3133"/>
      <c r="V281" s="3133"/>
      <c r="W281" s="3133"/>
      <c r="X281" s="3133"/>
      <c r="Y281" s="3133"/>
      <c r="Z281" s="3133"/>
      <c r="AA281" s="3133"/>
      <c r="AB281" s="3133"/>
      <c r="AC281" s="3123">
        <f t="shared" si="126"/>
        <v>0</v>
      </c>
      <c r="AD281" s="3143"/>
      <c r="AE281" s="3143"/>
      <c r="AF281" s="3143"/>
      <c r="AG281" s="3143"/>
      <c r="AH281" s="3143"/>
      <c r="AI281" s="3143"/>
      <c r="AJ281" s="3143"/>
      <c r="AK281" s="3143"/>
      <c r="AL281" s="3143"/>
      <c r="AM281" s="3143"/>
      <c r="AN281" s="3143"/>
      <c r="AO281" s="3143"/>
      <c r="AP281" s="3143"/>
      <c r="AQ281" s="3143"/>
      <c r="AR281" s="3143"/>
      <c r="AS281" s="3143"/>
      <c r="AT281" s="3153"/>
      <c r="AU281" s="3154"/>
      <c r="AV281" s="270">
        <f t="shared" si="127"/>
        <v>0</v>
      </c>
      <c r="AW281" s="270">
        <f t="shared" si="128"/>
        <v>0</v>
      </c>
      <c r="AX281" s="270">
        <f t="shared" si="129"/>
        <v>0</v>
      </c>
      <c r="AY281" s="3168">
        <f t="shared" si="130"/>
        <v>0</v>
      </c>
      <c r="AZ281" s="3123">
        <f t="shared" si="131"/>
        <v>0</v>
      </c>
      <c r="BA281" s="3123">
        <f t="shared" si="132"/>
        <v>0</v>
      </c>
      <c r="BB281" s="3123">
        <f t="shared" si="133"/>
        <v>0</v>
      </c>
      <c r="BC281" s="3123">
        <f t="shared" si="134"/>
        <v>0</v>
      </c>
      <c r="BD281" s="3123">
        <f t="shared" si="135"/>
        <v>0</v>
      </c>
      <c r="BE281" s="3123">
        <f t="shared" si="136"/>
        <v>0</v>
      </c>
      <c r="BF281" s="3123">
        <f t="shared" si="137"/>
        <v>0</v>
      </c>
      <c r="BG281" s="3123">
        <f t="shared" si="138"/>
        <v>0</v>
      </c>
      <c r="BH281" s="3123">
        <f t="shared" si="139"/>
        <v>0</v>
      </c>
      <c r="BI281" s="3123">
        <f t="shared" si="140"/>
        <v>0</v>
      </c>
      <c r="BJ281" s="3123">
        <f t="shared" si="141"/>
        <v>0</v>
      </c>
      <c r="BK281" s="3123">
        <f t="shared" si="142"/>
        <v>0</v>
      </c>
      <c r="BL281" s="3123">
        <f t="shared" si="143"/>
        <v>0</v>
      </c>
      <c r="BM281" s="3123">
        <f t="shared" si="144"/>
        <v>0</v>
      </c>
      <c r="BN281" s="3123">
        <f t="shared" si="145"/>
        <v>0</v>
      </c>
      <c r="BO281" s="3123">
        <f t="shared" si="146"/>
        <v>0</v>
      </c>
      <c r="BP281" s="3123">
        <f t="shared" si="147"/>
        <v>0</v>
      </c>
      <c r="BQ281" s="3123">
        <f t="shared" si="148"/>
        <v>0</v>
      </c>
      <c r="BR281" s="3123">
        <f t="shared" si="149"/>
        <v>0</v>
      </c>
      <c r="BS281" s="3123">
        <f t="shared" si="150"/>
        <v>0</v>
      </c>
      <c r="BT281" s="3175">
        <f t="shared" si="151"/>
        <v>0</v>
      </c>
    </row>
    <row r="282" spans="1:72">
      <c r="A282" s="3120"/>
      <c r="B282" s="3121"/>
      <c r="C282" s="3121"/>
      <c r="D282" s="3122"/>
      <c r="E282" s="3123">
        <f t="shared" si="123"/>
        <v>0</v>
      </c>
      <c r="F282" s="3124"/>
      <c r="G282" s="3125">
        <f t="shared" si="124"/>
        <v>0</v>
      </c>
      <c r="H282" s="3126">
        <f t="shared" si="125"/>
        <v>0</v>
      </c>
      <c r="I282" s="3133"/>
      <c r="J282" s="3133"/>
      <c r="K282" s="3133"/>
      <c r="L282" s="3133"/>
      <c r="M282" s="3133"/>
      <c r="N282" s="3133"/>
      <c r="O282" s="3133"/>
      <c r="P282" s="3133"/>
      <c r="Q282" s="3133"/>
      <c r="R282" s="3133"/>
      <c r="S282" s="3133"/>
      <c r="T282" s="3133"/>
      <c r="U282" s="3133"/>
      <c r="V282" s="3133"/>
      <c r="W282" s="3133"/>
      <c r="X282" s="3133"/>
      <c r="Y282" s="3133"/>
      <c r="Z282" s="3133"/>
      <c r="AA282" s="3133"/>
      <c r="AB282" s="3133"/>
      <c r="AC282" s="3123">
        <f t="shared" si="126"/>
        <v>0</v>
      </c>
      <c r="AD282" s="3143"/>
      <c r="AE282" s="3143"/>
      <c r="AF282" s="3143"/>
      <c r="AG282" s="3143"/>
      <c r="AH282" s="3143"/>
      <c r="AI282" s="3143"/>
      <c r="AJ282" s="3143"/>
      <c r="AK282" s="3143"/>
      <c r="AL282" s="3143"/>
      <c r="AM282" s="3143"/>
      <c r="AN282" s="3143"/>
      <c r="AO282" s="3143"/>
      <c r="AP282" s="3143"/>
      <c r="AQ282" s="3143"/>
      <c r="AR282" s="3143"/>
      <c r="AS282" s="3143"/>
      <c r="AT282" s="3153"/>
      <c r="AU282" s="3154"/>
      <c r="AV282" s="270">
        <f t="shared" si="127"/>
        <v>0</v>
      </c>
      <c r="AW282" s="270">
        <f t="shared" si="128"/>
        <v>0</v>
      </c>
      <c r="AX282" s="270">
        <f t="shared" si="129"/>
        <v>0</v>
      </c>
      <c r="AY282" s="3168">
        <f t="shared" si="130"/>
        <v>0</v>
      </c>
      <c r="AZ282" s="3123">
        <f t="shared" si="131"/>
        <v>0</v>
      </c>
      <c r="BA282" s="3123">
        <f t="shared" si="132"/>
        <v>0</v>
      </c>
      <c r="BB282" s="3123">
        <f t="shared" si="133"/>
        <v>0</v>
      </c>
      <c r="BC282" s="3123">
        <f t="shared" si="134"/>
        <v>0</v>
      </c>
      <c r="BD282" s="3123">
        <f t="shared" si="135"/>
        <v>0</v>
      </c>
      <c r="BE282" s="3123">
        <f t="shared" si="136"/>
        <v>0</v>
      </c>
      <c r="BF282" s="3123">
        <f t="shared" si="137"/>
        <v>0</v>
      </c>
      <c r="BG282" s="3123">
        <f t="shared" si="138"/>
        <v>0</v>
      </c>
      <c r="BH282" s="3123">
        <f t="shared" si="139"/>
        <v>0</v>
      </c>
      <c r="BI282" s="3123">
        <f t="shared" si="140"/>
        <v>0</v>
      </c>
      <c r="BJ282" s="3123">
        <f t="shared" si="141"/>
        <v>0</v>
      </c>
      <c r="BK282" s="3123">
        <f t="shared" si="142"/>
        <v>0</v>
      </c>
      <c r="BL282" s="3123">
        <f t="shared" si="143"/>
        <v>0</v>
      </c>
      <c r="BM282" s="3123">
        <f t="shared" si="144"/>
        <v>0</v>
      </c>
      <c r="BN282" s="3123">
        <f t="shared" si="145"/>
        <v>0</v>
      </c>
      <c r="BO282" s="3123">
        <f t="shared" si="146"/>
        <v>0</v>
      </c>
      <c r="BP282" s="3123">
        <f t="shared" si="147"/>
        <v>0</v>
      </c>
      <c r="BQ282" s="3123">
        <f t="shared" si="148"/>
        <v>0</v>
      </c>
      <c r="BR282" s="3123">
        <f t="shared" si="149"/>
        <v>0</v>
      </c>
      <c r="BS282" s="3123">
        <f t="shared" si="150"/>
        <v>0</v>
      </c>
      <c r="BT282" s="3175">
        <f t="shared" si="151"/>
        <v>0</v>
      </c>
    </row>
    <row r="283" spans="1:72">
      <c r="A283" s="3120"/>
      <c r="B283" s="3121"/>
      <c r="C283" s="3121"/>
      <c r="D283" s="3122"/>
      <c r="E283" s="3123">
        <f t="shared" si="123"/>
        <v>0</v>
      </c>
      <c r="F283" s="3124"/>
      <c r="G283" s="3125">
        <f t="shared" si="124"/>
        <v>0</v>
      </c>
      <c r="H283" s="3126">
        <f t="shared" si="125"/>
        <v>0</v>
      </c>
      <c r="I283" s="3133"/>
      <c r="J283" s="3133"/>
      <c r="K283" s="3133"/>
      <c r="L283" s="3133"/>
      <c r="M283" s="3133"/>
      <c r="N283" s="3133"/>
      <c r="O283" s="3133"/>
      <c r="P283" s="3133"/>
      <c r="Q283" s="3133"/>
      <c r="R283" s="3133"/>
      <c r="S283" s="3133"/>
      <c r="T283" s="3133"/>
      <c r="U283" s="3133"/>
      <c r="V283" s="3133"/>
      <c r="W283" s="3133"/>
      <c r="X283" s="3133"/>
      <c r="Y283" s="3133"/>
      <c r="Z283" s="3133"/>
      <c r="AA283" s="3133"/>
      <c r="AB283" s="3133"/>
      <c r="AC283" s="3123">
        <f t="shared" si="126"/>
        <v>0</v>
      </c>
      <c r="AD283" s="3143"/>
      <c r="AE283" s="3143"/>
      <c r="AF283" s="3143"/>
      <c r="AG283" s="3143"/>
      <c r="AH283" s="3143"/>
      <c r="AI283" s="3143"/>
      <c r="AJ283" s="3143"/>
      <c r="AK283" s="3143"/>
      <c r="AL283" s="3143"/>
      <c r="AM283" s="3143"/>
      <c r="AN283" s="3143"/>
      <c r="AO283" s="3143"/>
      <c r="AP283" s="3143"/>
      <c r="AQ283" s="3143"/>
      <c r="AR283" s="3143"/>
      <c r="AS283" s="3143"/>
      <c r="AT283" s="3153"/>
      <c r="AU283" s="3154"/>
      <c r="AV283" s="270">
        <f t="shared" si="127"/>
        <v>0</v>
      </c>
      <c r="AW283" s="270">
        <f t="shared" si="128"/>
        <v>0</v>
      </c>
      <c r="AX283" s="270">
        <f t="shared" si="129"/>
        <v>0</v>
      </c>
      <c r="AY283" s="3168">
        <f t="shared" si="130"/>
        <v>0</v>
      </c>
      <c r="AZ283" s="3123">
        <f t="shared" si="131"/>
        <v>0</v>
      </c>
      <c r="BA283" s="3123">
        <f t="shared" si="132"/>
        <v>0</v>
      </c>
      <c r="BB283" s="3123">
        <f t="shared" si="133"/>
        <v>0</v>
      </c>
      <c r="BC283" s="3123">
        <f t="shared" si="134"/>
        <v>0</v>
      </c>
      <c r="BD283" s="3123">
        <f t="shared" si="135"/>
        <v>0</v>
      </c>
      <c r="BE283" s="3123">
        <f t="shared" si="136"/>
        <v>0</v>
      </c>
      <c r="BF283" s="3123">
        <f t="shared" si="137"/>
        <v>0</v>
      </c>
      <c r="BG283" s="3123">
        <f t="shared" si="138"/>
        <v>0</v>
      </c>
      <c r="BH283" s="3123">
        <f t="shared" si="139"/>
        <v>0</v>
      </c>
      <c r="BI283" s="3123">
        <f t="shared" si="140"/>
        <v>0</v>
      </c>
      <c r="BJ283" s="3123">
        <f t="shared" si="141"/>
        <v>0</v>
      </c>
      <c r="BK283" s="3123">
        <f t="shared" si="142"/>
        <v>0</v>
      </c>
      <c r="BL283" s="3123">
        <f t="shared" si="143"/>
        <v>0</v>
      </c>
      <c r="BM283" s="3123">
        <f t="shared" si="144"/>
        <v>0</v>
      </c>
      <c r="BN283" s="3123">
        <f t="shared" si="145"/>
        <v>0</v>
      </c>
      <c r="BO283" s="3123">
        <f t="shared" si="146"/>
        <v>0</v>
      </c>
      <c r="BP283" s="3123">
        <f t="shared" si="147"/>
        <v>0</v>
      </c>
      <c r="BQ283" s="3123">
        <f t="shared" si="148"/>
        <v>0</v>
      </c>
      <c r="BR283" s="3123">
        <f t="shared" si="149"/>
        <v>0</v>
      </c>
      <c r="BS283" s="3123">
        <f t="shared" si="150"/>
        <v>0</v>
      </c>
      <c r="BT283" s="3175">
        <f t="shared" si="151"/>
        <v>0</v>
      </c>
    </row>
    <row r="284" spans="1:72">
      <c r="A284" s="3120"/>
      <c r="B284" s="3121"/>
      <c r="C284" s="3121"/>
      <c r="D284" s="3122"/>
      <c r="E284" s="3123">
        <f t="shared" si="123"/>
        <v>0</v>
      </c>
      <c r="F284" s="3124"/>
      <c r="G284" s="3125">
        <f t="shared" si="124"/>
        <v>0</v>
      </c>
      <c r="H284" s="3126">
        <f t="shared" si="125"/>
        <v>0</v>
      </c>
      <c r="I284" s="3133"/>
      <c r="J284" s="3133"/>
      <c r="K284" s="3133"/>
      <c r="L284" s="3133"/>
      <c r="M284" s="3133"/>
      <c r="N284" s="3133"/>
      <c r="O284" s="3133"/>
      <c r="P284" s="3133"/>
      <c r="Q284" s="3133"/>
      <c r="R284" s="3133"/>
      <c r="S284" s="3133"/>
      <c r="T284" s="3133"/>
      <c r="U284" s="3133"/>
      <c r="V284" s="3133"/>
      <c r="W284" s="3133"/>
      <c r="X284" s="3133"/>
      <c r="Y284" s="3133"/>
      <c r="Z284" s="3133"/>
      <c r="AA284" s="3133"/>
      <c r="AB284" s="3133"/>
      <c r="AC284" s="3123">
        <f t="shared" si="126"/>
        <v>0</v>
      </c>
      <c r="AD284" s="3143"/>
      <c r="AE284" s="3143"/>
      <c r="AF284" s="3143"/>
      <c r="AG284" s="3143"/>
      <c r="AH284" s="3143"/>
      <c r="AI284" s="3143"/>
      <c r="AJ284" s="3143"/>
      <c r="AK284" s="3143"/>
      <c r="AL284" s="3143"/>
      <c r="AM284" s="3143"/>
      <c r="AN284" s="3143"/>
      <c r="AO284" s="3143"/>
      <c r="AP284" s="3143"/>
      <c r="AQ284" s="3143"/>
      <c r="AR284" s="3143"/>
      <c r="AS284" s="3143"/>
      <c r="AT284" s="3153"/>
      <c r="AU284" s="3154"/>
      <c r="AV284" s="270">
        <f t="shared" si="127"/>
        <v>0</v>
      </c>
      <c r="AW284" s="270">
        <f t="shared" si="128"/>
        <v>0</v>
      </c>
      <c r="AX284" s="270">
        <f t="shared" si="129"/>
        <v>0</v>
      </c>
      <c r="AY284" s="3168">
        <f t="shared" si="130"/>
        <v>0</v>
      </c>
      <c r="AZ284" s="3123">
        <f t="shared" si="131"/>
        <v>0</v>
      </c>
      <c r="BA284" s="3123">
        <f t="shared" si="132"/>
        <v>0</v>
      </c>
      <c r="BB284" s="3123">
        <f t="shared" si="133"/>
        <v>0</v>
      </c>
      <c r="BC284" s="3123">
        <f t="shared" si="134"/>
        <v>0</v>
      </c>
      <c r="BD284" s="3123">
        <f t="shared" si="135"/>
        <v>0</v>
      </c>
      <c r="BE284" s="3123">
        <f t="shared" si="136"/>
        <v>0</v>
      </c>
      <c r="BF284" s="3123">
        <f t="shared" si="137"/>
        <v>0</v>
      </c>
      <c r="BG284" s="3123">
        <f t="shared" si="138"/>
        <v>0</v>
      </c>
      <c r="BH284" s="3123">
        <f t="shared" si="139"/>
        <v>0</v>
      </c>
      <c r="BI284" s="3123">
        <f t="shared" si="140"/>
        <v>0</v>
      </c>
      <c r="BJ284" s="3123">
        <f t="shared" si="141"/>
        <v>0</v>
      </c>
      <c r="BK284" s="3123">
        <f t="shared" si="142"/>
        <v>0</v>
      </c>
      <c r="BL284" s="3123">
        <f t="shared" si="143"/>
        <v>0</v>
      </c>
      <c r="BM284" s="3123">
        <f t="shared" si="144"/>
        <v>0</v>
      </c>
      <c r="BN284" s="3123">
        <f t="shared" si="145"/>
        <v>0</v>
      </c>
      <c r="BO284" s="3123">
        <f t="shared" si="146"/>
        <v>0</v>
      </c>
      <c r="BP284" s="3123">
        <f t="shared" si="147"/>
        <v>0</v>
      </c>
      <c r="BQ284" s="3123">
        <f t="shared" si="148"/>
        <v>0</v>
      </c>
      <c r="BR284" s="3123">
        <f t="shared" si="149"/>
        <v>0</v>
      </c>
      <c r="BS284" s="3123">
        <f t="shared" si="150"/>
        <v>0</v>
      </c>
      <c r="BT284" s="3175">
        <f t="shared" si="151"/>
        <v>0</v>
      </c>
    </row>
    <row r="285" spans="1:72">
      <c r="A285" s="3120"/>
      <c r="B285" s="3121"/>
      <c r="C285" s="3121"/>
      <c r="D285" s="3122"/>
      <c r="E285" s="3123">
        <f t="shared" si="123"/>
        <v>0</v>
      </c>
      <c r="F285" s="3124"/>
      <c r="G285" s="3125">
        <f t="shared" si="124"/>
        <v>0</v>
      </c>
      <c r="H285" s="3126">
        <f t="shared" si="125"/>
        <v>0</v>
      </c>
      <c r="I285" s="3133"/>
      <c r="J285" s="3133"/>
      <c r="K285" s="3133"/>
      <c r="L285" s="3133"/>
      <c r="M285" s="3133"/>
      <c r="N285" s="3133"/>
      <c r="O285" s="3133"/>
      <c r="P285" s="3133"/>
      <c r="Q285" s="3133"/>
      <c r="R285" s="3133"/>
      <c r="S285" s="3133"/>
      <c r="T285" s="3133"/>
      <c r="U285" s="3133"/>
      <c r="V285" s="3133"/>
      <c r="W285" s="3133"/>
      <c r="X285" s="3133"/>
      <c r="Y285" s="3133"/>
      <c r="Z285" s="3133"/>
      <c r="AA285" s="3133"/>
      <c r="AB285" s="3133"/>
      <c r="AC285" s="3123">
        <f t="shared" si="126"/>
        <v>0</v>
      </c>
      <c r="AD285" s="3143"/>
      <c r="AE285" s="3143"/>
      <c r="AF285" s="3143"/>
      <c r="AG285" s="3143"/>
      <c r="AH285" s="3143"/>
      <c r="AI285" s="3143"/>
      <c r="AJ285" s="3143"/>
      <c r="AK285" s="3143"/>
      <c r="AL285" s="3143"/>
      <c r="AM285" s="3143"/>
      <c r="AN285" s="3143"/>
      <c r="AO285" s="3143"/>
      <c r="AP285" s="3143"/>
      <c r="AQ285" s="3143"/>
      <c r="AR285" s="3143"/>
      <c r="AS285" s="3143"/>
      <c r="AT285" s="3153"/>
      <c r="AU285" s="3154"/>
      <c r="AV285" s="270">
        <f t="shared" si="127"/>
        <v>0</v>
      </c>
      <c r="AW285" s="270">
        <f t="shared" si="128"/>
        <v>0</v>
      </c>
      <c r="AX285" s="270">
        <f t="shared" si="129"/>
        <v>0</v>
      </c>
      <c r="AY285" s="3168">
        <f t="shared" si="130"/>
        <v>0</v>
      </c>
      <c r="AZ285" s="3123">
        <f t="shared" si="131"/>
        <v>0</v>
      </c>
      <c r="BA285" s="3123">
        <f t="shared" si="132"/>
        <v>0</v>
      </c>
      <c r="BB285" s="3123">
        <f t="shared" si="133"/>
        <v>0</v>
      </c>
      <c r="BC285" s="3123">
        <f t="shared" si="134"/>
        <v>0</v>
      </c>
      <c r="BD285" s="3123">
        <f t="shared" si="135"/>
        <v>0</v>
      </c>
      <c r="BE285" s="3123">
        <f t="shared" si="136"/>
        <v>0</v>
      </c>
      <c r="BF285" s="3123">
        <f t="shared" si="137"/>
        <v>0</v>
      </c>
      <c r="BG285" s="3123">
        <f t="shared" si="138"/>
        <v>0</v>
      </c>
      <c r="BH285" s="3123">
        <f t="shared" si="139"/>
        <v>0</v>
      </c>
      <c r="BI285" s="3123">
        <f t="shared" si="140"/>
        <v>0</v>
      </c>
      <c r="BJ285" s="3123">
        <f t="shared" si="141"/>
        <v>0</v>
      </c>
      <c r="BK285" s="3123">
        <f t="shared" si="142"/>
        <v>0</v>
      </c>
      <c r="BL285" s="3123">
        <f t="shared" si="143"/>
        <v>0</v>
      </c>
      <c r="BM285" s="3123">
        <f t="shared" si="144"/>
        <v>0</v>
      </c>
      <c r="BN285" s="3123">
        <f t="shared" si="145"/>
        <v>0</v>
      </c>
      <c r="BO285" s="3123">
        <f t="shared" si="146"/>
        <v>0</v>
      </c>
      <c r="BP285" s="3123">
        <f t="shared" si="147"/>
        <v>0</v>
      </c>
      <c r="BQ285" s="3123">
        <f t="shared" si="148"/>
        <v>0</v>
      </c>
      <c r="BR285" s="3123">
        <f t="shared" si="149"/>
        <v>0</v>
      </c>
      <c r="BS285" s="3123">
        <f t="shared" si="150"/>
        <v>0</v>
      </c>
      <c r="BT285" s="3175">
        <f t="shared" si="151"/>
        <v>0</v>
      </c>
    </row>
    <row r="286" spans="1:72">
      <c r="A286" s="3120"/>
      <c r="B286" s="3121"/>
      <c r="C286" s="3121"/>
      <c r="D286" s="3122"/>
      <c r="E286" s="3123">
        <f t="shared" si="123"/>
        <v>0</v>
      </c>
      <c r="F286" s="3124"/>
      <c r="G286" s="3125">
        <f t="shared" si="124"/>
        <v>0</v>
      </c>
      <c r="H286" s="3126">
        <f t="shared" si="125"/>
        <v>0</v>
      </c>
      <c r="I286" s="3133"/>
      <c r="J286" s="3133"/>
      <c r="K286" s="3133"/>
      <c r="L286" s="3133"/>
      <c r="M286" s="3133"/>
      <c r="N286" s="3133"/>
      <c r="O286" s="3133"/>
      <c r="P286" s="3133"/>
      <c r="Q286" s="3133"/>
      <c r="R286" s="3133"/>
      <c r="S286" s="3133"/>
      <c r="T286" s="3133"/>
      <c r="U286" s="3133"/>
      <c r="V286" s="3133"/>
      <c r="W286" s="3133"/>
      <c r="X286" s="3133"/>
      <c r="Y286" s="3133"/>
      <c r="Z286" s="3133"/>
      <c r="AA286" s="3133"/>
      <c r="AB286" s="3133"/>
      <c r="AC286" s="3123">
        <f t="shared" si="126"/>
        <v>0</v>
      </c>
      <c r="AD286" s="3143"/>
      <c r="AE286" s="3143"/>
      <c r="AF286" s="3143"/>
      <c r="AG286" s="3143"/>
      <c r="AH286" s="3143"/>
      <c r="AI286" s="3143"/>
      <c r="AJ286" s="3143"/>
      <c r="AK286" s="3143"/>
      <c r="AL286" s="3143"/>
      <c r="AM286" s="3143"/>
      <c r="AN286" s="3143"/>
      <c r="AO286" s="3143"/>
      <c r="AP286" s="3143"/>
      <c r="AQ286" s="3143"/>
      <c r="AR286" s="3143"/>
      <c r="AS286" s="3143"/>
      <c r="AT286" s="3153"/>
      <c r="AU286" s="3154"/>
      <c r="AV286" s="270">
        <f t="shared" si="127"/>
        <v>0</v>
      </c>
      <c r="AW286" s="270">
        <f t="shared" si="128"/>
        <v>0</v>
      </c>
      <c r="AX286" s="270">
        <f t="shared" si="129"/>
        <v>0</v>
      </c>
      <c r="AY286" s="3168">
        <f t="shared" si="130"/>
        <v>0</v>
      </c>
      <c r="AZ286" s="3123">
        <f t="shared" si="131"/>
        <v>0</v>
      </c>
      <c r="BA286" s="3123">
        <f t="shared" si="132"/>
        <v>0</v>
      </c>
      <c r="BB286" s="3123">
        <f t="shared" si="133"/>
        <v>0</v>
      </c>
      <c r="BC286" s="3123">
        <f t="shared" si="134"/>
        <v>0</v>
      </c>
      <c r="BD286" s="3123">
        <f t="shared" si="135"/>
        <v>0</v>
      </c>
      <c r="BE286" s="3123">
        <f t="shared" si="136"/>
        <v>0</v>
      </c>
      <c r="BF286" s="3123">
        <f t="shared" si="137"/>
        <v>0</v>
      </c>
      <c r="BG286" s="3123">
        <f t="shared" si="138"/>
        <v>0</v>
      </c>
      <c r="BH286" s="3123">
        <f t="shared" si="139"/>
        <v>0</v>
      </c>
      <c r="BI286" s="3123">
        <f t="shared" si="140"/>
        <v>0</v>
      </c>
      <c r="BJ286" s="3123">
        <f t="shared" si="141"/>
        <v>0</v>
      </c>
      <c r="BK286" s="3123">
        <f t="shared" si="142"/>
        <v>0</v>
      </c>
      <c r="BL286" s="3123">
        <f t="shared" si="143"/>
        <v>0</v>
      </c>
      <c r="BM286" s="3123">
        <f t="shared" si="144"/>
        <v>0</v>
      </c>
      <c r="BN286" s="3123">
        <f t="shared" si="145"/>
        <v>0</v>
      </c>
      <c r="BO286" s="3123">
        <f t="shared" si="146"/>
        <v>0</v>
      </c>
      <c r="BP286" s="3123">
        <f t="shared" si="147"/>
        <v>0</v>
      </c>
      <c r="BQ286" s="3123">
        <f t="shared" si="148"/>
        <v>0</v>
      </c>
      <c r="BR286" s="3123">
        <f t="shared" si="149"/>
        <v>0</v>
      </c>
      <c r="BS286" s="3123">
        <f t="shared" si="150"/>
        <v>0</v>
      </c>
      <c r="BT286" s="3175">
        <f t="shared" si="151"/>
        <v>0</v>
      </c>
    </row>
    <row r="287" spans="1:72">
      <c r="A287" s="3120"/>
      <c r="B287" s="3121"/>
      <c r="C287" s="3121"/>
      <c r="D287" s="3122"/>
      <c r="E287" s="3123">
        <f t="shared" si="123"/>
        <v>0</v>
      </c>
      <c r="F287" s="3124"/>
      <c r="G287" s="3125">
        <f t="shared" si="124"/>
        <v>0</v>
      </c>
      <c r="H287" s="3126">
        <f t="shared" si="125"/>
        <v>0</v>
      </c>
      <c r="I287" s="3133"/>
      <c r="J287" s="3133"/>
      <c r="K287" s="3133"/>
      <c r="L287" s="3133"/>
      <c r="M287" s="3133"/>
      <c r="N287" s="3133"/>
      <c r="O287" s="3133"/>
      <c r="P287" s="3133"/>
      <c r="Q287" s="3133"/>
      <c r="R287" s="3133"/>
      <c r="S287" s="3133"/>
      <c r="T287" s="3133"/>
      <c r="U287" s="3133"/>
      <c r="V287" s="3133"/>
      <c r="W287" s="3133"/>
      <c r="X287" s="3133"/>
      <c r="Y287" s="3133"/>
      <c r="Z287" s="3133"/>
      <c r="AA287" s="3133"/>
      <c r="AB287" s="3133"/>
      <c r="AC287" s="3123">
        <f t="shared" si="126"/>
        <v>0</v>
      </c>
      <c r="AD287" s="3143"/>
      <c r="AE287" s="3143"/>
      <c r="AF287" s="3143"/>
      <c r="AG287" s="3143"/>
      <c r="AH287" s="3143"/>
      <c r="AI287" s="3143"/>
      <c r="AJ287" s="3143"/>
      <c r="AK287" s="3143"/>
      <c r="AL287" s="3143"/>
      <c r="AM287" s="3143"/>
      <c r="AN287" s="3143"/>
      <c r="AO287" s="3143"/>
      <c r="AP287" s="3143"/>
      <c r="AQ287" s="3143"/>
      <c r="AR287" s="3143"/>
      <c r="AS287" s="3143"/>
      <c r="AT287" s="3153"/>
      <c r="AU287" s="3154"/>
      <c r="AV287" s="270">
        <f t="shared" si="127"/>
        <v>0</v>
      </c>
      <c r="AW287" s="270">
        <f t="shared" si="128"/>
        <v>0</v>
      </c>
      <c r="AX287" s="270">
        <f t="shared" si="129"/>
        <v>0</v>
      </c>
      <c r="AY287" s="3168">
        <f t="shared" si="130"/>
        <v>0</v>
      </c>
      <c r="AZ287" s="3123">
        <f t="shared" si="131"/>
        <v>0</v>
      </c>
      <c r="BA287" s="3123">
        <f t="shared" si="132"/>
        <v>0</v>
      </c>
      <c r="BB287" s="3123">
        <f t="shared" si="133"/>
        <v>0</v>
      </c>
      <c r="BC287" s="3123">
        <f t="shared" si="134"/>
        <v>0</v>
      </c>
      <c r="BD287" s="3123">
        <f t="shared" si="135"/>
        <v>0</v>
      </c>
      <c r="BE287" s="3123">
        <f t="shared" si="136"/>
        <v>0</v>
      </c>
      <c r="BF287" s="3123">
        <f t="shared" si="137"/>
        <v>0</v>
      </c>
      <c r="BG287" s="3123">
        <f t="shared" si="138"/>
        <v>0</v>
      </c>
      <c r="BH287" s="3123">
        <f t="shared" si="139"/>
        <v>0</v>
      </c>
      <c r="BI287" s="3123">
        <f t="shared" si="140"/>
        <v>0</v>
      </c>
      <c r="BJ287" s="3123">
        <f t="shared" si="141"/>
        <v>0</v>
      </c>
      <c r="BK287" s="3123">
        <f t="shared" si="142"/>
        <v>0</v>
      </c>
      <c r="BL287" s="3123">
        <f t="shared" si="143"/>
        <v>0</v>
      </c>
      <c r="BM287" s="3123">
        <f t="shared" si="144"/>
        <v>0</v>
      </c>
      <c r="BN287" s="3123">
        <f t="shared" si="145"/>
        <v>0</v>
      </c>
      <c r="BO287" s="3123">
        <f t="shared" si="146"/>
        <v>0</v>
      </c>
      <c r="BP287" s="3123">
        <f t="shared" si="147"/>
        <v>0</v>
      </c>
      <c r="BQ287" s="3123">
        <f t="shared" si="148"/>
        <v>0</v>
      </c>
      <c r="BR287" s="3123">
        <f t="shared" si="149"/>
        <v>0</v>
      </c>
      <c r="BS287" s="3123">
        <f t="shared" si="150"/>
        <v>0</v>
      </c>
      <c r="BT287" s="3175">
        <f t="shared" si="151"/>
        <v>0</v>
      </c>
    </row>
    <row r="288" spans="1:72">
      <c r="A288" s="3120"/>
      <c r="B288" s="3121"/>
      <c r="C288" s="3121"/>
      <c r="D288" s="3122"/>
      <c r="E288" s="3123">
        <f t="shared" si="123"/>
        <v>0</v>
      </c>
      <c r="F288" s="3124"/>
      <c r="G288" s="3125">
        <f t="shared" si="124"/>
        <v>0</v>
      </c>
      <c r="H288" s="3126">
        <f t="shared" si="125"/>
        <v>0</v>
      </c>
      <c r="I288" s="3133"/>
      <c r="J288" s="3133"/>
      <c r="K288" s="3133"/>
      <c r="L288" s="3133"/>
      <c r="M288" s="3133"/>
      <c r="N288" s="3133"/>
      <c r="O288" s="3133"/>
      <c r="P288" s="3133"/>
      <c r="Q288" s="3133"/>
      <c r="R288" s="3133"/>
      <c r="S288" s="3133"/>
      <c r="T288" s="3133"/>
      <c r="U288" s="3133"/>
      <c r="V288" s="3133"/>
      <c r="W288" s="3133"/>
      <c r="X288" s="3133"/>
      <c r="Y288" s="3133"/>
      <c r="Z288" s="3133"/>
      <c r="AA288" s="3133"/>
      <c r="AB288" s="3133"/>
      <c r="AC288" s="3123">
        <f t="shared" si="126"/>
        <v>0</v>
      </c>
      <c r="AD288" s="3143"/>
      <c r="AE288" s="3143"/>
      <c r="AF288" s="3143"/>
      <c r="AG288" s="3143"/>
      <c r="AH288" s="3143"/>
      <c r="AI288" s="3143"/>
      <c r="AJ288" s="3143"/>
      <c r="AK288" s="3143"/>
      <c r="AL288" s="3143"/>
      <c r="AM288" s="3143"/>
      <c r="AN288" s="3143"/>
      <c r="AO288" s="3143"/>
      <c r="AP288" s="3143"/>
      <c r="AQ288" s="3143"/>
      <c r="AR288" s="3143"/>
      <c r="AS288" s="3143"/>
      <c r="AT288" s="3153"/>
      <c r="AU288" s="3154"/>
      <c r="AV288" s="270">
        <f t="shared" si="127"/>
        <v>0</v>
      </c>
      <c r="AW288" s="270">
        <f t="shared" si="128"/>
        <v>0</v>
      </c>
      <c r="AX288" s="270">
        <f t="shared" si="129"/>
        <v>0</v>
      </c>
      <c r="AY288" s="3168">
        <f t="shared" si="130"/>
        <v>0</v>
      </c>
      <c r="AZ288" s="3123">
        <f t="shared" si="131"/>
        <v>0</v>
      </c>
      <c r="BA288" s="3123">
        <f t="shared" si="132"/>
        <v>0</v>
      </c>
      <c r="BB288" s="3123">
        <f t="shared" si="133"/>
        <v>0</v>
      </c>
      <c r="BC288" s="3123">
        <f t="shared" si="134"/>
        <v>0</v>
      </c>
      <c r="BD288" s="3123">
        <f t="shared" si="135"/>
        <v>0</v>
      </c>
      <c r="BE288" s="3123">
        <f t="shared" si="136"/>
        <v>0</v>
      </c>
      <c r="BF288" s="3123">
        <f t="shared" si="137"/>
        <v>0</v>
      </c>
      <c r="BG288" s="3123">
        <f t="shared" si="138"/>
        <v>0</v>
      </c>
      <c r="BH288" s="3123">
        <f t="shared" si="139"/>
        <v>0</v>
      </c>
      <c r="BI288" s="3123">
        <f t="shared" si="140"/>
        <v>0</v>
      </c>
      <c r="BJ288" s="3123">
        <f t="shared" si="141"/>
        <v>0</v>
      </c>
      <c r="BK288" s="3123">
        <f t="shared" si="142"/>
        <v>0</v>
      </c>
      <c r="BL288" s="3123">
        <f t="shared" si="143"/>
        <v>0</v>
      </c>
      <c r="BM288" s="3123">
        <f t="shared" si="144"/>
        <v>0</v>
      </c>
      <c r="BN288" s="3123">
        <f t="shared" si="145"/>
        <v>0</v>
      </c>
      <c r="BO288" s="3123">
        <f t="shared" si="146"/>
        <v>0</v>
      </c>
      <c r="BP288" s="3123">
        <f t="shared" si="147"/>
        <v>0</v>
      </c>
      <c r="BQ288" s="3123">
        <f t="shared" si="148"/>
        <v>0</v>
      </c>
      <c r="BR288" s="3123">
        <f t="shared" si="149"/>
        <v>0</v>
      </c>
      <c r="BS288" s="3123">
        <f t="shared" si="150"/>
        <v>0</v>
      </c>
      <c r="BT288" s="3175">
        <f t="shared" si="151"/>
        <v>0</v>
      </c>
    </row>
    <row r="289" spans="1:72">
      <c r="A289" s="3120"/>
      <c r="B289" s="3121"/>
      <c r="C289" s="3121"/>
      <c r="D289" s="3122"/>
      <c r="E289" s="3123">
        <f t="shared" si="123"/>
        <v>0</v>
      </c>
      <c r="F289" s="3124"/>
      <c r="G289" s="3125">
        <f t="shared" si="124"/>
        <v>0</v>
      </c>
      <c r="H289" s="3126">
        <f t="shared" si="125"/>
        <v>0</v>
      </c>
      <c r="I289" s="3133"/>
      <c r="J289" s="3133"/>
      <c r="K289" s="3133"/>
      <c r="L289" s="3133"/>
      <c r="M289" s="3133"/>
      <c r="N289" s="3133"/>
      <c r="O289" s="3133"/>
      <c r="P289" s="3133"/>
      <c r="Q289" s="3133"/>
      <c r="R289" s="3133"/>
      <c r="S289" s="3133"/>
      <c r="T289" s="3133"/>
      <c r="U289" s="3133"/>
      <c r="V289" s="3133"/>
      <c r="W289" s="3133"/>
      <c r="X289" s="3133"/>
      <c r="Y289" s="3133"/>
      <c r="Z289" s="3133"/>
      <c r="AA289" s="3133"/>
      <c r="AB289" s="3133"/>
      <c r="AC289" s="3123">
        <f t="shared" si="126"/>
        <v>0</v>
      </c>
      <c r="AD289" s="3143"/>
      <c r="AE289" s="3143"/>
      <c r="AF289" s="3143"/>
      <c r="AG289" s="3143"/>
      <c r="AH289" s="3143"/>
      <c r="AI289" s="3143"/>
      <c r="AJ289" s="3143"/>
      <c r="AK289" s="3143"/>
      <c r="AL289" s="3143"/>
      <c r="AM289" s="3143"/>
      <c r="AN289" s="3143"/>
      <c r="AO289" s="3143"/>
      <c r="AP289" s="3143"/>
      <c r="AQ289" s="3143"/>
      <c r="AR289" s="3143"/>
      <c r="AS289" s="3143"/>
      <c r="AT289" s="3153"/>
      <c r="AU289" s="3154"/>
      <c r="AV289" s="270">
        <f t="shared" si="127"/>
        <v>0</v>
      </c>
      <c r="AW289" s="270">
        <f t="shared" si="128"/>
        <v>0</v>
      </c>
      <c r="AX289" s="270">
        <f t="shared" si="129"/>
        <v>0</v>
      </c>
      <c r="AY289" s="3168">
        <f t="shared" si="130"/>
        <v>0</v>
      </c>
      <c r="AZ289" s="3123">
        <f t="shared" si="131"/>
        <v>0</v>
      </c>
      <c r="BA289" s="3123">
        <f t="shared" si="132"/>
        <v>0</v>
      </c>
      <c r="BB289" s="3123">
        <f t="shared" si="133"/>
        <v>0</v>
      </c>
      <c r="BC289" s="3123">
        <f t="shared" si="134"/>
        <v>0</v>
      </c>
      <c r="BD289" s="3123">
        <f t="shared" si="135"/>
        <v>0</v>
      </c>
      <c r="BE289" s="3123">
        <f t="shared" si="136"/>
        <v>0</v>
      </c>
      <c r="BF289" s="3123">
        <f t="shared" si="137"/>
        <v>0</v>
      </c>
      <c r="BG289" s="3123">
        <f t="shared" si="138"/>
        <v>0</v>
      </c>
      <c r="BH289" s="3123">
        <f t="shared" si="139"/>
        <v>0</v>
      </c>
      <c r="BI289" s="3123">
        <f t="shared" si="140"/>
        <v>0</v>
      </c>
      <c r="BJ289" s="3123">
        <f t="shared" si="141"/>
        <v>0</v>
      </c>
      <c r="BK289" s="3123">
        <f t="shared" si="142"/>
        <v>0</v>
      </c>
      <c r="BL289" s="3123">
        <f t="shared" si="143"/>
        <v>0</v>
      </c>
      <c r="BM289" s="3123">
        <f t="shared" si="144"/>
        <v>0</v>
      </c>
      <c r="BN289" s="3123">
        <f t="shared" si="145"/>
        <v>0</v>
      </c>
      <c r="BO289" s="3123">
        <f t="shared" si="146"/>
        <v>0</v>
      </c>
      <c r="BP289" s="3123">
        <f t="shared" si="147"/>
        <v>0</v>
      </c>
      <c r="BQ289" s="3123">
        <f t="shared" si="148"/>
        <v>0</v>
      </c>
      <c r="BR289" s="3123">
        <f t="shared" si="149"/>
        <v>0</v>
      </c>
      <c r="BS289" s="3123">
        <f t="shared" si="150"/>
        <v>0</v>
      </c>
      <c r="BT289" s="3175">
        <f t="shared" si="151"/>
        <v>0</v>
      </c>
    </row>
    <row r="290" spans="1:72">
      <c r="A290" s="3120"/>
      <c r="B290" s="3121"/>
      <c r="C290" s="3121"/>
      <c r="D290" s="3122"/>
      <c r="E290" s="3123">
        <f t="shared" si="123"/>
        <v>0</v>
      </c>
      <c r="F290" s="3124"/>
      <c r="G290" s="3125">
        <f t="shared" si="124"/>
        <v>0</v>
      </c>
      <c r="H290" s="3126">
        <f t="shared" si="125"/>
        <v>0</v>
      </c>
      <c r="I290" s="3133"/>
      <c r="J290" s="3133"/>
      <c r="K290" s="3133"/>
      <c r="L290" s="3133"/>
      <c r="M290" s="3133"/>
      <c r="N290" s="3133"/>
      <c r="O290" s="3133"/>
      <c r="P290" s="3133"/>
      <c r="Q290" s="3133"/>
      <c r="R290" s="3133"/>
      <c r="S290" s="3133"/>
      <c r="T290" s="3133"/>
      <c r="U290" s="3133"/>
      <c r="V290" s="3133"/>
      <c r="W290" s="3133"/>
      <c r="X290" s="3133"/>
      <c r="Y290" s="3133"/>
      <c r="Z290" s="3133"/>
      <c r="AA290" s="3133"/>
      <c r="AB290" s="3133"/>
      <c r="AC290" s="3123">
        <f t="shared" si="126"/>
        <v>0</v>
      </c>
      <c r="AD290" s="3143"/>
      <c r="AE290" s="3143"/>
      <c r="AF290" s="3143"/>
      <c r="AG290" s="3143"/>
      <c r="AH290" s="3143"/>
      <c r="AI290" s="3143"/>
      <c r="AJ290" s="3143"/>
      <c r="AK290" s="3143"/>
      <c r="AL290" s="3143"/>
      <c r="AM290" s="3143"/>
      <c r="AN290" s="3143"/>
      <c r="AO290" s="3143"/>
      <c r="AP290" s="3143"/>
      <c r="AQ290" s="3143"/>
      <c r="AR290" s="3143"/>
      <c r="AS290" s="3143"/>
      <c r="AT290" s="3153"/>
      <c r="AU290" s="3154"/>
      <c r="AV290" s="270">
        <f t="shared" si="127"/>
        <v>0</v>
      </c>
      <c r="AW290" s="270">
        <f t="shared" si="128"/>
        <v>0</v>
      </c>
      <c r="AX290" s="270">
        <f t="shared" si="129"/>
        <v>0</v>
      </c>
      <c r="AY290" s="3168">
        <f t="shared" si="130"/>
        <v>0</v>
      </c>
      <c r="AZ290" s="3123">
        <f t="shared" si="131"/>
        <v>0</v>
      </c>
      <c r="BA290" s="3123">
        <f t="shared" si="132"/>
        <v>0</v>
      </c>
      <c r="BB290" s="3123">
        <f t="shared" si="133"/>
        <v>0</v>
      </c>
      <c r="BC290" s="3123">
        <f t="shared" si="134"/>
        <v>0</v>
      </c>
      <c r="BD290" s="3123">
        <f t="shared" si="135"/>
        <v>0</v>
      </c>
      <c r="BE290" s="3123">
        <f t="shared" si="136"/>
        <v>0</v>
      </c>
      <c r="BF290" s="3123">
        <f t="shared" si="137"/>
        <v>0</v>
      </c>
      <c r="BG290" s="3123">
        <f t="shared" si="138"/>
        <v>0</v>
      </c>
      <c r="BH290" s="3123">
        <f t="shared" si="139"/>
        <v>0</v>
      </c>
      <c r="BI290" s="3123">
        <f t="shared" si="140"/>
        <v>0</v>
      </c>
      <c r="BJ290" s="3123">
        <f t="shared" si="141"/>
        <v>0</v>
      </c>
      <c r="BK290" s="3123">
        <f t="shared" si="142"/>
        <v>0</v>
      </c>
      <c r="BL290" s="3123">
        <f t="shared" si="143"/>
        <v>0</v>
      </c>
      <c r="BM290" s="3123">
        <f t="shared" si="144"/>
        <v>0</v>
      </c>
      <c r="BN290" s="3123">
        <f t="shared" si="145"/>
        <v>0</v>
      </c>
      <c r="BO290" s="3123">
        <f t="shared" si="146"/>
        <v>0</v>
      </c>
      <c r="BP290" s="3123">
        <f t="shared" si="147"/>
        <v>0</v>
      </c>
      <c r="BQ290" s="3123">
        <f t="shared" si="148"/>
        <v>0</v>
      </c>
      <c r="BR290" s="3123">
        <f t="shared" si="149"/>
        <v>0</v>
      </c>
      <c r="BS290" s="3123">
        <f t="shared" si="150"/>
        <v>0</v>
      </c>
      <c r="BT290" s="3175">
        <f t="shared" si="151"/>
        <v>0</v>
      </c>
    </row>
    <row r="291" spans="1:72">
      <c r="A291" s="3120"/>
      <c r="B291" s="3121"/>
      <c r="C291" s="3121"/>
      <c r="D291" s="3122"/>
      <c r="E291" s="3123">
        <f t="shared" si="123"/>
        <v>0</v>
      </c>
      <c r="F291" s="3124"/>
      <c r="G291" s="3125">
        <f t="shared" si="124"/>
        <v>0</v>
      </c>
      <c r="H291" s="3126">
        <f t="shared" si="125"/>
        <v>0</v>
      </c>
      <c r="I291" s="3133"/>
      <c r="J291" s="3133"/>
      <c r="K291" s="3133"/>
      <c r="L291" s="3133"/>
      <c r="M291" s="3133"/>
      <c r="N291" s="3133"/>
      <c r="O291" s="3133"/>
      <c r="P291" s="3133"/>
      <c r="Q291" s="3133"/>
      <c r="R291" s="3133"/>
      <c r="S291" s="3133"/>
      <c r="T291" s="3133"/>
      <c r="U291" s="3133"/>
      <c r="V291" s="3133"/>
      <c r="W291" s="3133"/>
      <c r="X291" s="3133"/>
      <c r="Y291" s="3133"/>
      <c r="Z291" s="3133"/>
      <c r="AA291" s="3133"/>
      <c r="AB291" s="3133"/>
      <c r="AC291" s="3123">
        <f t="shared" si="126"/>
        <v>0</v>
      </c>
      <c r="AD291" s="3143"/>
      <c r="AE291" s="3143"/>
      <c r="AF291" s="3143"/>
      <c r="AG291" s="3143"/>
      <c r="AH291" s="3143"/>
      <c r="AI291" s="3143"/>
      <c r="AJ291" s="3143"/>
      <c r="AK291" s="3143"/>
      <c r="AL291" s="3143"/>
      <c r="AM291" s="3143"/>
      <c r="AN291" s="3143"/>
      <c r="AO291" s="3143"/>
      <c r="AP291" s="3143"/>
      <c r="AQ291" s="3143"/>
      <c r="AR291" s="3143"/>
      <c r="AS291" s="3143"/>
      <c r="AT291" s="3153"/>
      <c r="AU291" s="3154"/>
      <c r="AV291" s="270">
        <f t="shared" si="127"/>
        <v>0</v>
      </c>
      <c r="AW291" s="270">
        <f t="shared" si="128"/>
        <v>0</v>
      </c>
      <c r="AX291" s="270">
        <f t="shared" si="129"/>
        <v>0</v>
      </c>
      <c r="AY291" s="3168">
        <f t="shared" si="130"/>
        <v>0</v>
      </c>
      <c r="AZ291" s="3123">
        <f t="shared" si="131"/>
        <v>0</v>
      </c>
      <c r="BA291" s="3123">
        <f t="shared" si="132"/>
        <v>0</v>
      </c>
      <c r="BB291" s="3123">
        <f t="shared" si="133"/>
        <v>0</v>
      </c>
      <c r="BC291" s="3123">
        <f t="shared" si="134"/>
        <v>0</v>
      </c>
      <c r="BD291" s="3123">
        <f t="shared" si="135"/>
        <v>0</v>
      </c>
      <c r="BE291" s="3123">
        <f t="shared" si="136"/>
        <v>0</v>
      </c>
      <c r="BF291" s="3123">
        <f t="shared" si="137"/>
        <v>0</v>
      </c>
      <c r="BG291" s="3123">
        <f t="shared" si="138"/>
        <v>0</v>
      </c>
      <c r="BH291" s="3123">
        <f t="shared" si="139"/>
        <v>0</v>
      </c>
      <c r="BI291" s="3123">
        <f t="shared" si="140"/>
        <v>0</v>
      </c>
      <c r="BJ291" s="3123">
        <f t="shared" si="141"/>
        <v>0</v>
      </c>
      <c r="BK291" s="3123">
        <f t="shared" si="142"/>
        <v>0</v>
      </c>
      <c r="BL291" s="3123">
        <f t="shared" si="143"/>
        <v>0</v>
      </c>
      <c r="BM291" s="3123">
        <f t="shared" si="144"/>
        <v>0</v>
      </c>
      <c r="BN291" s="3123">
        <f t="shared" si="145"/>
        <v>0</v>
      </c>
      <c r="BO291" s="3123">
        <f t="shared" si="146"/>
        <v>0</v>
      </c>
      <c r="BP291" s="3123">
        <f t="shared" si="147"/>
        <v>0</v>
      </c>
      <c r="BQ291" s="3123">
        <f t="shared" si="148"/>
        <v>0</v>
      </c>
      <c r="BR291" s="3123">
        <f t="shared" si="149"/>
        <v>0</v>
      </c>
      <c r="BS291" s="3123">
        <f t="shared" si="150"/>
        <v>0</v>
      </c>
      <c r="BT291" s="3175">
        <f t="shared" si="151"/>
        <v>0</v>
      </c>
    </row>
    <row r="292" spans="1:72">
      <c r="A292" s="3120"/>
      <c r="B292" s="3121"/>
      <c r="C292" s="3121"/>
      <c r="D292" s="3122"/>
      <c r="E292" s="3123">
        <f t="shared" si="123"/>
        <v>0</v>
      </c>
      <c r="F292" s="3124"/>
      <c r="G292" s="3125">
        <f t="shared" si="124"/>
        <v>0</v>
      </c>
      <c r="H292" s="3126">
        <f t="shared" si="125"/>
        <v>0</v>
      </c>
      <c r="I292" s="3133"/>
      <c r="J292" s="3133"/>
      <c r="K292" s="3133"/>
      <c r="L292" s="3133"/>
      <c r="M292" s="3133"/>
      <c r="N292" s="3133"/>
      <c r="O292" s="3133"/>
      <c r="P292" s="3133"/>
      <c r="Q292" s="3133"/>
      <c r="R292" s="3133"/>
      <c r="S292" s="3133"/>
      <c r="T292" s="3133"/>
      <c r="U292" s="3133"/>
      <c r="V292" s="3133"/>
      <c r="W292" s="3133"/>
      <c r="X292" s="3133"/>
      <c r="Y292" s="3133"/>
      <c r="Z292" s="3133"/>
      <c r="AA292" s="3133"/>
      <c r="AB292" s="3133"/>
      <c r="AC292" s="3123">
        <f t="shared" si="126"/>
        <v>0</v>
      </c>
      <c r="AD292" s="3143"/>
      <c r="AE292" s="3143"/>
      <c r="AF292" s="3143"/>
      <c r="AG292" s="3143"/>
      <c r="AH292" s="3143"/>
      <c r="AI292" s="3143"/>
      <c r="AJ292" s="3143"/>
      <c r="AK292" s="3143"/>
      <c r="AL292" s="3143"/>
      <c r="AM292" s="3143"/>
      <c r="AN292" s="3143"/>
      <c r="AO292" s="3143"/>
      <c r="AP292" s="3143"/>
      <c r="AQ292" s="3143"/>
      <c r="AR292" s="3143"/>
      <c r="AS292" s="3143"/>
      <c r="AT292" s="3153"/>
      <c r="AU292" s="3154"/>
      <c r="AV292" s="270">
        <f t="shared" si="127"/>
        <v>0</v>
      </c>
      <c r="AW292" s="270">
        <f t="shared" si="128"/>
        <v>0</v>
      </c>
      <c r="AX292" s="270">
        <f t="shared" si="129"/>
        <v>0</v>
      </c>
      <c r="AY292" s="3168">
        <f t="shared" si="130"/>
        <v>0</v>
      </c>
      <c r="AZ292" s="3123">
        <f t="shared" si="131"/>
        <v>0</v>
      </c>
      <c r="BA292" s="3123">
        <f t="shared" si="132"/>
        <v>0</v>
      </c>
      <c r="BB292" s="3123">
        <f t="shared" si="133"/>
        <v>0</v>
      </c>
      <c r="BC292" s="3123">
        <f t="shared" si="134"/>
        <v>0</v>
      </c>
      <c r="BD292" s="3123">
        <f t="shared" si="135"/>
        <v>0</v>
      </c>
      <c r="BE292" s="3123">
        <f t="shared" si="136"/>
        <v>0</v>
      </c>
      <c r="BF292" s="3123">
        <f t="shared" si="137"/>
        <v>0</v>
      </c>
      <c r="BG292" s="3123">
        <f t="shared" si="138"/>
        <v>0</v>
      </c>
      <c r="BH292" s="3123">
        <f t="shared" si="139"/>
        <v>0</v>
      </c>
      <c r="BI292" s="3123">
        <f t="shared" si="140"/>
        <v>0</v>
      </c>
      <c r="BJ292" s="3123">
        <f t="shared" si="141"/>
        <v>0</v>
      </c>
      <c r="BK292" s="3123">
        <f t="shared" si="142"/>
        <v>0</v>
      </c>
      <c r="BL292" s="3123">
        <f t="shared" si="143"/>
        <v>0</v>
      </c>
      <c r="BM292" s="3123">
        <f t="shared" si="144"/>
        <v>0</v>
      </c>
      <c r="BN292" s="3123">
        <f t="shared" si="145"/>
        <v>0</v>
      </c>
      <c r="BO292" s="3123">
        <f t="shared" si="146"/>
        <v>0</v>
      </c>
      <c r="BP292" s="3123">
        <f t="shared" si="147"/>
        <v>0</v>
      </c>
      <c r="BQ292" s="3123">
        <f t="shared" si="148"/>
        <v>0</v>
      </c>
      <c r="BR292" s="3123">
        <f t="shared" si="149"/>
        <v>0</v>
      </c>
      <c r="BS292" s="3123">
        <f t="shared" si="150"/>
        <v>0</v>
      </c>
      <c r="BT292" s="3175">
        <f t="shared" si="151"/>
        <v>0</v>
      </c>
    </row>
    <row r="293" spans="1:72">
      <c r="A293" s="3120"/>
      <c r="B293" s="3121"/>
      <c r="C293" s="3121"/>
      <c r="D293" s="3122"/>
      <c r="E293" s="3123">
        <f t="shared" si="123"/>
        <v>0</v>
      </c>
      <c r="F293" s="3124"/>
      <c r="G293" s="3125">
        <f t="shared" si="124"/>
        <v>0</v>
      </c>
      <c r="H293" s="3126">
        <f t="shared" si="125"/>
        <v>0</v>
      </c>
      <c r="I293" s="3133"/>
      <c r="J293" s="3133"/>
      <c r="K293" s="3133"/>
      <c r="L293" s="3133"/>
      <c r="M293" s="3133"/>
      <c r="N293" s="3133"/>
      <c r="O293" s="3133"/>
      <c r="P293" s="3133"/>
      <c r="Q293" s="3133"/>
      <c r="R293" s="3133"/>
      <c r="S293" s="3133"/>
      <c r="T293" s="3133"/>
      <c r="U293" s="3133"/>
      <c r="V293" s="3133"/>
      <c r="W293" s="3133"/>
      <c r="X293" s="3133"/>
      <c r="Y293" s="3133"/>
      <c r="Z293" s="3133"/>
      <c r="AA293" s="3133"/>
      <c r="AB293" s="3133"/>
      <c r="AC293" s="3123">
        <f t="shared" si="126"/>
        <v>0</v>
      </c>
      <c r="AD293" s="3143"/>
      <c r="AE293" s="3143"/>
      <c r="AF293" s="3143"/>
      <c r="AG293" s="3143"/>
      <c r="AH293" s="3143"/>
      <c r="AI293" s="3143"/>
      <c r="AJ293" s="3143"/>
      <c r="AK293" s="3143"/>
      <c r="AL293" s="3143"/>
      <c r="AM293" s="3143"/>
      <c r="AN293" s="3143"/>
      <c r="AO293" s="3143"/>
      <c r="AP293" s="3143"/>
      <c r="AQ293" s="3143"/>
      <c r="AR293" s="3143"/>
      <c r="AS293" s="3143"/>
      <c r="AT293" s="3153"/>
      <c r="AU293" s="3154"/>
      <c r="AV293" s="270">
        <f t="shared" si="127"/>
        <v>0</v>
      </c>
      <c r="AW293" s="270">
        <f t="shared" si="128"/>
        <v>0</v>
      </c>
      <c r="AX293" s="270">
        <f t="shared" si="129"/>
        <v>0</v>
      </c>
      <c r="AY293" s="3168">
        <f t="shared" si="130"/>
        <v>0</v>
      </c>
      <c r="AZ293" s="3123">
        <f t="shared" si="131"/>
        <v>0</v>
      </c>
      <c r="BA293" s="3123">
        <f t="shared" si="132"/>
        <v>0</v>
      </c>
      <c r="BB293" s="3123">
        <f t="shared" si="133"/>
        <v>0</v>
      </c>
      <c r="BC293" s="3123">
        <f t="shared" si="134"/>
        <v>0</v>
      </c>
      <c r="BD293" s="3123">
        <f t="shared" si="135"/>
        <v>0</v>
      </c>
      <c r="BE293" s="3123">
        <f t="shared" si="136"/>
        <v>0</v>
      </c>
      <c r="BF293" s="3123">
        <f t="shared" si="137"/>
        <v>0</v>
      </c>
      <c r="BG293" s="3123">
        <f t="shared" si="138"/>
        <v>0</v>
      </c>
      <c r="BH293" s="3123">
        <f t="shared" si="139"/>
        <v>0</v>
      </c>
      <c r="BI293" s="3123">
        <f t="shared" si="140"/>
        <v>0</v>
      </c>
      <c r="BJ293" s="3123">
        <f t="shared" si="141"/>
        <v>0</v>
      </c>
      <c r="BK293" s="3123">
        <f t="shared" si="142"/>
        <v>0</v>
      </c>
      <c r="BL293" s="3123">
        <f t="shared" si="143"/>
        <v>0</v>
      </c>
      <c r="BM293" s="3123">
        <f t="shared" si="144"/>
        <v>0</v>
      </c>
      <c r="BN293" s="3123">
        <f t="shared" si="145"/>
        <v>0</v>
      </c>
      <c r="BO293" s="3123">
        <f t="shared" si="146"/>
        <v>0</v>
      </c>
      <c r="BP293" s="3123">
        <f t="shared" si="147"/>
        <v>0</v>
      </c>
      <c r="BQ293" s="3123">
        <f t="shared" si="148"/>
        <v>0</v>
      </c>
      <c r="BR293" s="3123">
        <f t="shared" si="149"/>
        <v>0</v>
      </c>
      <c r="BS293" s="3123">
        <f t="shared" si="150"/>
        <v>0</v>
      </c>
      <c r="BT293" s="3175">
        <f t="shared" si="151"/>
        <v>0</v>
      </c>
    </row>
    <row r="294" spans="1:72">
      <c r="A294" s="3120"/>
      <c r="B294" s="3121"/>
      <c r="C294" s="3121"/>
      <c r="D294" s="3122"/>
      <c r="E294" s="3123">
        <f t="shared" si="123"/>
        <v>0</v>
      </c>
      <c r="F294" s="3124"/>
      <c r="G294" s="3125">
        <f t="shared" si="124"/>
        <v>0</v>
      </c>
      <c r="H294" s="3126">
        <f t="shared" si="125"/>
        <v>0</v>
      </c>
      <c r="I294" s="3133"/>
      <c r="J294" s="3133"/>
      <c r="K294" s="3133"/>
      <c r="L294" s="3133"/>
      <c r="M294" s="3133"/>
      <c r="N294" s="3133"/>
      <c r="O294" s="3133"/>
      <c r="P294" s="3133"/>
      <c r="Q294" s="3133"/>
      <c r="R294" s="3133"/>
      <c r="S294" s="3133"/>
      <c r="T294" s="3133"/>
      <c r="U294" s="3133"/>
      <c r="V294" s="3133"/>
      <c r="W294" s="3133"/>
      <c r="X294" s="3133"/>
      <c r="Y294" s="3133"/>
      <c r="Z294" s="3133"/>
      <c r="AA294" s="3133"/>
      <c r="AB294" s="3133"/>
      <c r="AC294" s="3123">
        <f t="shared" si="126"/>
        <v>0</v>
      </c>
      <c r="AD294" s="3143"/>
      <c r="AE294" s="3143"/>
      <c r="AF294" s="3143"/>
      <c r="AG294" s="3143"/>
      <c r="AH294" s="3143"/>
      <c r="AI294" s="3143"/>
      <c r="AJ294" s="3143"/>
      <c r="AK294" s="3143"/>
      <c r="AL294" s="3143"/>
      <c r="AM294" s="3143"/>
      <c r="AN294" s="3143"/>
      <c r="AO294" s="3143"/>
      <c r="AP294" s="3143"/>
      <c r="AQ294" s="3143"/>
      <c r="AR294" s="3143"/>
      <c r="AS294" s="3143"/>
      <c r="AT294" s="3153"/>
      <c r="AU294" s="3154"/>
      <c r="AV294" s="270">
        <f t="shared" si="127"/>
        <v>0</v>
      </c>
      <c r="AW294" s="270">
        <f t="shared" si="128"/>
        <v>0</v>
      </c>
      <c r="AX294" s="270">
        <f t="shared" si="129"/>
        <v>0</v>
      </c>
      <c r="AY294" s="3168">
        <f t="shared" si="130"/>
        <v>0</v>
      </c>
      <c r="AZ294" s="3123">
        <f t="shared" si="131"/>
        <v>0</v>
      </c>
      <c r="BA294" s="3123">
        <f t="shared" si="132"/>
        <v>0</v>
      </c>
      <c r="BB294" s="3123">
        <f t="shared" si="133"/>
        <v>0</v>
      </c>
      <c r="BC294" s="3123">
        <f t="shared" si="134"/>
        <v>0</v>
      </c>
      <c r="BD294" s="3123">
        <f t="shared" si="135"/>
        <v>0</v>
      </c>
      <c r="BE294" s="3123">
        <f t="shared" si="136"/>
        <v>0</v>
      </c>
      <c r="BF294" s="3123">
        <f t="shared" si="137"/>
        <v>0</v>
      </c>
      <c r="BG294" s="3123">
        <f t="shared" si="138"/>
        <v>0</v>
      </c>
      <c r="BH294" s="3123">
        <f t="shared" si="139"/>
        <v>0</v>
      </c>
      <c r="BI294" s="3123">
        <f t="shared" si="140"/>
        <v>0</v>
      </c>
      <c r="BJ294" s="3123">
        <f t="shared" si="141"/>
        <v>0</v>
      </c>
      <c r="BK294" s="3123">
        <f t="shared" si="142"/>
        <v>0</v>
      </c>
      <c r="BL294" s="3123">
        <f t="shared" si="143"/>
        <v>0</v>
      </c>
      <c r="BM294" s="3123">
        <f t="shared" si="144"/>
        <v>0</v>
      </c>
      <c r="BN294" s="3123">
        <f t="shared" si="145"/>
        <v>0</v>
      </c>
      <c r="BO294" s="3123">
        <f t="shared" si="146"/>
        <v>0</v>
      </c>
      <c r="BP294" s="3123">
        <f t="shared" si="147"/>
        <v>0</v>
      </c>
      <c r="BQ294" s="3123">
        <f t="shared" si="148"/>
        <v>0</v>
      </c>
      <c r="BR294" s="3123">
        <f t="shared" si="149"/>
        <v>0</v>
      </c>
      <c r="BS294" s="3123">
        <f t="shared" si="150"/>
        <v>0</v>
      </c>
      <c r="BT294" s="3175">
        <f t="shared" si="151"/>
        <v>0</v>
      </c>
    </row>
    <row r="295" spans="1:72">
      <c r="A295" s="3120"/>
      <c r="B295" s="3121"/>
      <c r="C295" s="3121"/>
      <c r="D295" s="3122"/>
      <c r="E295" s="3123">
        <f t="shared" si="123"/>
        <v>0</v>
      </c>
      <c r="F295" s="3124"/>
      <c r="G295" s="3125">
        <f t="shared" si="124"/>
        <v>0</v>
      </c>
      <c r="H295" s="3126">
        <f t="shared" si="125"/>
        <v>0</v>
      </c>
      <c r="I295" s="3133"/>
      <c r="J295" s="3133"/>
      <c r="K295" s="3133"/>
      <c r="L295" s="3133"/>
      <c r="M295" s="3133"/>
      <c r="N295" s="3133"/>
      <c r="O295" s="3133"/>
      <c r="P295" s="3133"/>
      <c r="Q295" s="3133"/>
      <c r="R295" s="3133"/>
      <c r="S295" s="3133"/>
      <c r="T295" s="3133"/>
      <c r="U295" s="3133"/>
      <c r="V295" s="3133"/>
      <c r="W295" s="3133"/>
      <c r="X295" s="3133"/>
      <c r="Y295" s="3133"/>
      <c r="Z295" s="3133"/>
      <c r="AA295" s="3133"/>
      <c r="AB295" s="3133"/>
      <c r="AC295" s="3123">
        <f t="shared" si="126"/>
        <v>0</v>
      </c>
      <c r="AD295" s="3143"/>
      <c r="AE295" s="3143"/>
      <c r="AF295" s="3143"/>
      <c r="AG295" s="3143"/>
      <c r="AH295" s="3143"/>
      <c r="AI295" s="3143"/>
      <c r="AJ295" s="3143"/>
      <c r="AK295" s="3143"/>
      <c r="AL295" s="3143"/>
      <c r="AM295" s="3143"/>
      <c r="AN295" s="3143"/>
      <c r="AO295" s="3143"/>
      <c r="AP295" s="3143"/>
      <c r="AQ295" s="3143"/>
      <c r="AR295" s="3143"/>
      <c r="AS295" s="3143"/>
      <c r="AT295" s="3153"/>
      <c r="AU295" s="3154"/>
      <c r="AV295" s="270">
        <f t="shared" si="127"/>
        <v>0</v>
      </c>
      <c r="AW295" s="270">
        <f t="shared" si="128"/>
        <v>0</v>
      </c>
      <c r="AX295" s="270">
        <f t="shared" si="129"/>
        <v>0</v>
      </c>
      <c r="AY295" s="3168">
        <f t="shared" si="130"/>
        <v>0</v>
      </c>
      <c r="AZ295" s="3123">
        <f t="shared" si="131"/>
        <v>0</v>
      </c>
      <c r="BA295" s="3123">
        <f t="shared" si="132"/>
        <v>0</v>
      </c>
      <c r="BB295" s="3123">
        <f t="shared" si="133"/>
        <v>0</v>
      </c>
      <c r="BC295" s="3123">
        <f t="shared" si="134"/>
        <v>0</v>
      </c>
      <c r="BD295" s="3123">
        <f t="shared" si="135"/>
        <v>0</v>
      </c>
      <c r="BE295" s="3123">
        <f t="shared" si="136"/>
        <v>0</v>
      </c>
      <c r="BF295" s="3123">
        <f t="shared" si="137"/>
        <v>0</v>
      </c>
      <c r="BG295" s="3123">
        <f t="shared" si="138"/>
        <v>0</v>
      </c>
      <c r="BH295" s="3123">
        <f t="shared" si="139"/>
        <v>0</v>
      </c>
      <c r="BI295" s="3123">
        <f t="shared" si="140"/>
        <v>0</v>
      </c>
      <c r="BJ295" s="3123">
        <f t="shared" si="141"/>
        <v>0</v>
      </c>
      <c r="BK295" s="3123">
        <f t="shared" si="142"/>
        <v>0</v>
      </c>
      <c r="BL295" s="3123">
        <f t="shared" si="143"/>
        <v>0</v>
      </c>
      <c r="BM295" s="3123">
        <f t="shared" si="144"/>
        <v>0</v>
      </c>
      <c r="BN295" s="3123">
        <f t="shared" si="145"/>
        <v>0</v>
      </c>
      <c r="BO295" s="3123">
        <f t="shared" si="146"/>
        <v>0</v>
      </c>
      <c r="BP295" s="3123">
        <f t="shared" si="147"/>
        <v>0</v>
      </c>
      <c r="BQ295" s="3123">
        <f t="shared" si="148"/>
        <v>0</v>
      </c>
      <c r="BR295" s="3123">
        <f t="shared" si="149"/>
        <v>0</v>
      </c>
      <c r="BS295" s="3123">
        <f t="shared" si="150"/>
        <v>0</v>
      </c>
      <c r="BT295" s="3175">
        <f t="shared" si="151"/>
        <v>0</v>
      </c>
    </row>
    <row r="296" spans="1:72">
      <c r="A296" s="3120"/>
      <c r="B296" s="3121"/>
      <c r="C296" s="3121"/>
      <c r="D296" s="3122"/>
      <c r="E296" s="3123">
        <f t="shared" si="123"/>
        <v>0</v>
      </c>
      <c r="F296" s="3124"/>
      <c r="G296" s="3125">
        <f t="shared" si="124"/>
        <v>0</v>
      </c>
      <c r="H296" s="3126">
        <f t="shared" si="125"/>
        <v>0</v>
      </c>
      <c r="I296" s="3133"/>
      <c r="J296" s="3133"/>
      <c r="K296" s="3133"/>
      <c r="L296" s="3133"/>
      <c r="M296" s="3133"/>
      <c r="N296" s="3133"/>
      <c r="O296" s="3133"/>
      <c r="P296" s="3133"/>
      <c r="Q296" s="3133"/>
      <c r="R296" s="3133"/>
      <c r="S296" s="3133"/>
      <c r="T296" s="3133"/>
      <c r="U296" s="3133"/>
      <c r="V296" s="3133"/>
      <c r="W296" s="3133"/>
      <c r="X296" s="3133"/>
      <c r="Y296" s="3133"/>
      <c r="Z296" s="3133"/>
      <c r="AA296" s="3133"/>
      <c r="AB296" s="3133"/>
      <c r="AC296" s="3123">
        <f t="shared" si="126"/>
        <v>0</v>
      </c>
      <c r="AD296" s="3143"/>
      <c r="AE296" s="3143"/>
      <c r="AF296" s="3143"/>
      <c r="AG296" s="3143"/>
      <c r="AH296" s="3143"/>
      <c r="AI296" s="3143"/>
      <c r="AJ296" s="3143"/>
      <c r="AK296" s="3143"/>
      <c r="AL296" s="3143"/>
      <c r="AM296" s="3143"/>
      <c r="AN296" s="3143"/>
      <c r="AO296" s="3143"/>
      <c r="AP296" s="3143"/>
      <c r="AQ296" s="3143"/>
      <c r="AR296" s="3143"/>
      <c r="AS296" s="3143"/>
      <c r="AT296" s="3153"/>
      <c r="AU296" s="3154"/>
      <c r="AV296" s="270">
        <f t="shared" si="127"/>
        <v>0</v>
      </c>
      <c r="AW296" s="270">
        <f t="shared" si="128"/>
        <v>0</v>
      </c>
      <c r="AX296" s="270">
        <f t="shared" si="129"/>
        <v>0</v>
      </c>
      <c r="AY296" s="3168">
        <f t="shared" si="130"/>
        <v>0</v>
      </c>
      <c r="AZ296" s="3123">
        <f t="shared" si="131"/>
        <v>0</v>
      </c>
      <c r="BA296" s="3123">
        <f t="shared" si="132"/>
        <v>0</v>
      </c>
      <c r="BB296" s="3123">
        <f t="shared" si="133"/>
        <v>0</v>
      </c>
      <c r="BC296" s="3123">
        <f t="shared" si="134"/>
        <v>0</v>
      </c>
      <c r="BD296" s="3123">
        <f t="shared" si="135"/>
        <v>0</v>
      </c>
      <c r="BE296" s="3123">
        <f t="shared" si="136"/>
        <v>0</v>
      </c>
      <c r="BF296" s="3123">
        <f t="shared" si="137"/>
        <v>0</v>
      </c>
      <c r="BG296" s="3123">
        <f t="shared" si="138"/>
        <v>0</v>
      </c>
      <c r="BH296" s="3123">
        <f t="shared" si="139"/>
        <v>0</v>
      </c>
      <c r="BI296" s="3123">
        <f t="shared" si="140"/>
        <v>0</v>
      </c>
      <c r="BJ296" s="3123">
        <f t="shared" si="141"/>
        <v>0</v>
      </c>
      <c r="BK296" s="3123">
        <f t="shared" si="142"/>
        <v>0</v>
      </c>
      <c r="BL296" s="3123">
        <f t="shared" si="143"/>
        <v>0</v>
      </c>
      <c r="BM296" s="3123">
        <f t="shared" si="144"/>
        <v>0</v>
      </c>
      <c r="BN296" s="3123">
        <f t="shared" si="145"/>
        <v>0</v>
      </c>
      <c r="BO296" s="3123">
        <f t="shared" si="146"/>
        <v>0</v>
      </c>
      <c r="BP296" s="3123">
        <f t="shared" si="147"/>
        <v>0</v>
      </c>
      <c r="BQ296" s="3123">
        <f t="shared" si="148"/>
        <v>0</v>
      </c>
      <c r="BR296" s="3123">
        <f t="shared" si="149"/>
        <v>0</v>
      </c>
      <c r="BS296" s="3123">
        <f t="shared" si="150"/>
        <v>0</v>
      </c>
      <c r="BT296" s="3175">
        <f t="shared" si="151"/>
        <v>0</v>
      </c>
    </row>
    <row r="297" spans="1:72">
      <c r="A297" s="3120"/>
      <c r="B297" s="3121"/>
      <c r="C297" s="3121"/>
      <c r="D297" s="3122"/>
      <c r="E297" s="3123">
        <f t="shared" si="123"/>
        <v>0</v>
      </c>
      <c r="F297" s="3124"/>
      <c r="G297" s="3125">
        <f t="shared" si="124"/>
        <v>0</v>
      </c>
      <c r="H297" s="3126">
        <f t="shared" si="125"/>
        <v>0</v>
      </c>
      <c r="I297" s="3133"/>
      <c r="J297" s="3133"/>
      <c r="K297" s="3133"/>
      <c r="L297" s="3133"/>
      <c r="M297" s="3133"/>
      <c r="N297" s="3133"/>
      <c r="O297" s="3133"/>
      <c r="P297" s="3133"/>
      <c r="Q297" s="3133"/>
      <c r="R297" s="3133"/>
      <c r="S297" s="3133"/>
      <c r="T297" s="3133"/>
      <c r="U297" s="3133"/>
      <c r="V297" s="3133"/>
      <c r="W297" s="3133"/>
      <c r="X297" s="3133"/>
      <c r="Y297" s="3133"/>
      <c r="Z297" s="3133"/>
      <c r="AA297" s="3133"/>
      <c r="AB297" s="3133"/>
      <c r="AC297" s="3123">
        <f t="shared" si="126"/>
        <v>0</v>
      </c>
      <c r="AD297" s="3143"/>
      <c r="AE297" s="3143"/>
      <c r="AF297" s="3143"/>
      <c r="AG297" s="3143"/>
      <c r="AH297" s="3143"/>
      <c r="AI297" s="3143"/>
      <c r="AJ297" s="3143"/>
      <c r="AK297" s="3143"/>
      <c r="AL297" s="3143"/>
      <c r="AM297" s="3143"/>
      <c r="AN297" s="3143"/>
      <c r="AO297" s="3143"/>
      <c r="AP297" s="3143"/>
      <c r="AQ297" s="3143"/>
      <c r="AR297" s="3143"/>
      <c r="AS297" s="3143"/>
      <c r="AT297" s="3153"/>
      <c r="AU297" s="3154"/>
      <c r="AV297" s="270">
        <f t="shared" si="127"/>
        <v>0</v>
      </c>
      <c r="AW297" s="270">
        <f t="shared" si="128"/>
        <v>0</v>
      </c>
      <c r="AX297" s="270">
        <f t="shared" si="129"/>
        <v>0</v>
      </c>
      <c r="AY297" s="3168">
        <f t="shared" si="130"/>
        <v>0</v>
      </c>
      <c r="AZ297" s="3123">
        <f t="shared" si="131"/>
        <v>0</v>
      </c>
      <c r="BA297" s="3123">
        <f t="shared" si="132"/>
        <v>0</v>
      </c>
      <c r="BB297" s="3123">
        <f t="shared" si="133"/>
        <v>0</v>
      </c>
      <c r="BC297" s="3123">
        <f t="shared" si="134"/>
        <v>0</v>
      </c>
      <c r="BD297" s="3123">
        <f t="shared" si="135"/>
        <v>0</v>
      </c>
      <c r="BE297" s="3123">
        <f t="shared" si="136"/>
        <v>0</v>
      </c>
      <c r="BF297" s="3123">
        <f t="shared" si="137"/>
        <v>0</v>
      </c>
      <c r="BG297" s="3123">
        <f t="shared" si="138"/>
        <v>0</v>
      </c>
      <c r="BH297" s="3123">
        <f t="shared" si="139"/>
        <v>0</v>
      </c>
      <c r="BI297" s="3123">
        <f t="shared" si="140"/>
        <v>0</v>
      </c>
      <c r="BJ297" s="3123">
        <f t="shared" si="141"/>
        <v>0</v>
      </c>
      <c r="BK297" s="3123">
        <f t="shared" si="142"/>
        <v>0</v>
      </c>
      <c r="BL297" s="3123">
        <f t="shared" si="143"/>
        <v>0</v>
      </c>
      <c r="BM297" s="3123">
        <f t="shared" si="144"/>
        <v>0</v>
      </c>
      <c r="BN297" s="3123">
        <f t="shared" si="145"/>
        <v>0</v>
      </c>
      <c r="BO297" s="3123">
        <f t="shared" si="146"/>
        <v>0</v>
      </c>
      <c r="BP297" s="3123">
        <f t="shared" si="147"/>
        <v>0</v>
      </c>
      <c r="BQ297" s="3123">
        <f t="shared" si="148"/>
        <v>0</v>
      </c>
      <c r="BR297" s="3123">
        <f t="shared" si="149"/>
        <v>0</v>
      </c>
      <c r="BS297" s="3123">
        <f t="shared" si="150"/>
        <v>0</v>
      </c>
      <c r="BT297" s="3175">
        <f t="shared" si="151"/>
        <v>0</v>
      </c>
    </row>
    <row r="298" spans="1:72">
      <c r="A298" s="3120"/>
      <c r="B298" s="3121"/>
      <c r="C298" s="3121"/>
      <c r="D298" s="3122"/>
      <c r="E298" s="3123">
        <f t="shared" si="123"/>
        <v>0</v>
      </c>
      <c r="F298" s="3124"/>
      <c r="G298" s="3125">
        <f t="shared" si="124"/>
        <v>0</v>
      </c>
      <c r="H298" s="3126">
        <f t="shared" si="125"/>
        <v>0</v>
      </c>
      <c r="I298" s="3133"/>
      <c r="J298" s="3133"/>
      <c r="K298" s="3133"/>
      <c r="L298" s="3133"/>
      <c r="M298" s="3133"/>
      <c r="N298" s="3133"/>
      <c r="O298" s="3133"/>
      <c r="P298" s="3133"/>
      <c r="Q298" s="3133"/>
      <c r="R298" s="3133"/>
      <c r="S298" s="3133"/>
      <c r="T298" s="3133"/>
      <c r="U298" s="3133"/>
      <c r="V298" s="3133"/>
      <c r="W298" s="3133"/>
      <c r="X298" s="3133"/>
      <c r="Y298" s="3133"/>
      <c r="Z298" s="3133"/>
      <c r="AA298" s="3133"/>
      <c r="AB298" s="3133"/>
      <c r="AC298" s="3123">
        <f t="shared" si="126"/>
        <v>0</v>
      </c>
      <c r="AD298" s="3143"/>
      <c r="AE298" s="3143"/>
      <c r="AF298" s="3143"/>
      <c r="AG298" s="3143"/>
      <c r="AH298" s="3143"/>
      <c r="AI298" s="3143"/>
      <c r="AJ298" s="3143"/>
      <c r="AK298" s="3143"/>
      <c r="AL298" s="3143"/>
      <c r="AM298" s="3143"/>
      <c r="AN298" s="3143"/>
      <c r="AO298" s="3143"/>
      <c r="AP298" s="3143"/>
      <c r="AQ298" s="3143"/>
      <c r="AR298" s="3143"/>
      <c r="AS298" s="3143"/>
      <c r="AT298" s="3153"/>
      <c r="AU298" s="3154"/>
      <c r="AV298" s="270">
        <f t="shared" si="127"/>
        <v>0</v>
      </c>
      <c r="AW298" s="270">
        <f t="shared" si="128"/>
        <v>0</v>
      </c>
      <c r="AX298" s="270">
        <f t="shared" si="129"/>
        <v>0</v>
      </c>
      <c r="AY298" s="3168">
        <f t="shared" si="130"/>
        <v>0</v>
      </c>
      <c r="AZ298" s="3123">
        <f t="shared" si="131"/>
        <v>0</v>
      </c>
      <c r="BA298" s="3123">
        <f t="shared" si="132"/>
        <v>0</v>
      </c>
      <c r="BB298" s="3123">
        <f t="shared" si="133"/>
        <v>0</v>
      </c>
      <c r="BC298" s="3123">
        <f t="shared" si="134"/>
        <v>0</v>
      </c>
      <c r="BD298" s="3123">
        <f t="shared" si="135"/>
        <v>0</v>
      </c>
      <c r="BE298" s="3123">
        <f t="shared" si="136"/>
        <v>0</v>
      </c>
      <c r="BF298" s="3123">
        <f t="shared" si="137"/>
        <v>0</v>
      </c>
      <c r="BG298" s="3123">
        <f t="shared" si="138"/>
        <v>0</v>
      </c>
      <c r="BH298" s="3123">
        <f t="shared" si="139"/>
        <v>0</v>
      </c>
      <c r="BI298" s="3123">
        <f t="shared" si="140"/>
        <v>0</v>
      </c>
      <c r="BJ298" s="3123">
        <f t="shared" si="141"/>
        <v>0</v>
      </c>
      <c r="BK298" s="3123">
        <f t="shared" si="142"/>
        <v>0</v>
      </c>
      <c r="BL298" s="3123">
        <f t="shared" si="143"/>
        <v>0</v>
      </c>
      <c r="BM298" s="3123">
        <f t="shared" si="144"/>
        <v>0</v>
      </c>
      <c r="BN298" s="3123">
        <f t="shared" si="145"/>
        <v>0</v>
      </c>
      <c r="BO298" s="3123">
        <f t="shared" si="146"/>
        <v>0</v>
      </c>
      <c r="BP298" s="3123">
        <f t="shared" si="147"/>
        <v>0</v>
      </c>
      <c r="BQ298" s="3123">
        <f t="shared" si="148"/>
        <v>0</v>
      </c>
      <c r="BR298" s="3123">
        <f t="shared" si="149"/>
        <v>0</v>
      </c>
      <c r="BS298" s="3123">
        <f t="shared" si="150"/>
        <v>0</v>
      </c>
      <c r="BT298" s="3175">
        <f t="shared" si="151"/>
        <v>0</v>
      </c>
    </row>
    <row r="299" spans="1:72">
      <c r="A299" s="3120"/>
      <c r="B299" s="3121"/>
      <c r="C299" s="3121"/>
      <c r="D299" s="3122"/>
      <c r="E299" s="3123">
        <f t="shared" si="123"/>
        <v>0</v>
      </c>
      <c r="F299" s="3124"/>
      <c r="G299" s="3125">
        <f t="shared" si="124"/>
        <v>0</v>
      </c>
      <c r="H299" s="3126">
        <f t="shared" si="125"/>
        <v>0</v>
      </c>
      <c r="I299" s="3133"/>
      <c r="J299" s="3133"/>
      <c r="K299" s="3133"/>
      <c r="L299" s="3133"/>
      <c r="M299" s="3133"/>
      <c r="N299" s="3133"/>
      <c r="O299" s="3133"/>
      <c r="P299" s="3133"/>
      <c r="Q299" s="3133"/>
      <c r="R299" s="3133"/>
      <c r="S299" s="3133"/>
      <c r="T299" s="3133"/>
      <c r="U299" s="3133"/>
      <c r="V299" s="3133"/>
      <c r="W299" s="3133"/>
      <c r="X299" s="3133"/>
      <c r="Y299" s="3133"/>
      <c r="Z299" s="3133"/>
      <c r="AA299" s="3133"/>
      <c r="AB299" s="3133"/>
      <c r="AC299" s="3123">
        <f t="shared" si="126"/>
        <v>0</v>
      </c>
      <c r="AD299" s="3143"/>
      <c r="AE299" s="3143"/>
      <c r="AF299" s="3143"/>
      <c r="AG299" s="3143"/>
      <c r="AH299" s="3143"/>
      <c r="AI299" s="3143"/>
      <c r="AJ299" s="3143"/>
      <c r="AK299" s="3143"/>
      <c r="AL299" s="3143"/>
      <c r="AM299" s="3143"/>
      <c r="AN299" s="3143"/>
      <c r="AO299" s="3143"/>
      <c r="AP299" s="3143"/>
      <c r="AQ299" s="3143"/>
      <c r="AR299" s="3143"/>
      <c r="AS299" s="3143"/>
      <c r="AT299" s="3153"/>
      <c r="AU299" s="3154"/>
      <c r="AV299" s="270">
        <f t="shared" si="127"/>
        <v>0</v>
      </c>
      <c r="AW299" s="270">
        <f t="shared" si="128"/>
        <v>0</v>
      </c>
      <c r="AX299" s="270">
        <f t="shared" si="129"/>
        <v>0</v>
      </c>
      <c r="AY299" s="3168">
        <f t="shared" si="130"/>
        <v>0</v>
      </c>
      <c r="AZ299" s="3123">
        <f t="shared" si="131"/>
        <v>0</v>
      </c>
      <c r="BA299" s="3123">
        <f t="shared" si="132"/>
        <v>0</v>
      </c>
      <c r="BB299" s="3123">
        <f t="shared" si="133"/>
        <v>0</v>
      </c>
      <c r="BC299" s="3123">
        <f t="shared" si="134"/>
        <v>0</v>
      </c>
      <c r="BD299" s="3123">
        <f t="shared" si="135"/>
        <v>0</v>
      </c>
      <c r="BE299" s="3123">
        <f t="shared" si="136"/>
        <v>0</v>
      </c>
      <c r="BF299" s="3123">
        <f t="shared" si="137"/>
        <v>0</v>
      </c>
      <c r="BG299" s="3123">
        <f t="shared" si="138"/>
        <v>0</v>
      </c>
      <c r="BH299" s="3123">
        <f t="shared" si="139"/>
        <v>0</v>
      </c>
      <c r="BI299" s="3123">
        <f t="shared" si="140"/>
        <v>0</v>
      </c>
      <c r="BJ299" s="3123">
        <f t="shared" si="141"/>
        <v>0</v>
      </c>
      <c r="BK299" s="3123">
        <f t="shared" si="142"/>
        <v>0</v>
      </c>
      <c r="BL299" s="3123">
        <f t="shared" si="143"/>
        <v>0</v>
      </c>
      <c r="BM299" s="3123">
        <f t="shared" si="144"/>
        <v>0</v>
      </c>
      <c r="BN299" s="3123">
        <f t="shared" si="145"/>
        <v>0</v>
      </c>
      <c r="BO299" s="3123">
        <f t="shared" si="146"/>
        <v>0</v>
      </c>
      <c r="BP299" s="3123">
        <f t="shared" si="147"/>
        <v>0</v>
      </c>
      <c r="BQ299" s="3123">
        <f t="shared" si="148"/>
        <v>0</v>
      </c>
      <c r="BR299" s="3123">
        <f t="shared" si="149"/>
        <v>0</v>
      </c>
      <c r="BS299" s="3123">
        <f t="shared" si="150"/>
        <v>0</v>
      </c>
      <c r="BT299" s="3175">
        <f t="shared" si="151"/>
        <v>0</v>
      </c>
    </row>
    <row r="300" spans="1:72">
      <c r="A300" s="3120"/>
      <c r="B300" s="3120"/>
      <c r="C300" s="3120"/>
      <c r="D300" s="3122"/>
      <c r="E300" s="3123">
        <f t="shared" si="123"/>
        <v>0</v>
      </c>
      <c r="F300" s="3176"/>
      <c r="G300" s="3125">
        <f t="shared" ref="G300:G331" si="152">H300+AC300+AT300</f>
        <v>0</v>
      </c>
      <c r="H300" s="3126">
        <f t="shared" ref="H300:H331" si="153">SUMIF(I$12:AB$12,"总值",I300:AB300)</f>
        <v>0</v>
      </c>
      <c r="I300" s="3177"/>
      <c r="J300" s="3177"/>
      <c r="K300" s="3133"/>
      <c r="L300" s="3133"/>
      <c r="M300" s="3133"/>
      <c r="N300" s="3133"/>
      <c r="O300" s="3133"/>
      <c r="P300" s="3133"/>
      <c r="Q300" s="3133"/>
      <c r="R300" s="3133"/>
      <c r="S300" s="3133"/>
      <c r="T300" s="3133"/>
      <c r="U300" s="3133"/>
      <c r="V300" s="3133"/>
      <c r="W300" s="3133"/>
      <c r="X300" s="3133"/>
      <c r="Y300" s="3133"/>
      <c r="Z300" s="3133"/>
      <c r="AA300" s="3133"/>
      <c r="AB300" s="3133"/>
      <c r="AC300" s="3123">
        <f t="shared" ref="AC300:AC331" si="154">SUMIF(AD$12:AS$12,"总值",AD300:AS300)</f>
        <v>0</v>
      </c>
      <c r="AD300" s="3143"/>
      <c r="AE300" s="3143"/>
      <c r="AF300" s="3143"/>
      <c r="AG300" s="3143"/>
      <c r="AH300" s="3143"/>
      <c r="AI300" s="3143"/>
      <c r="AJ300" s="3143"/>
      <c r="AK300" s="3143"/>
      <c r="AL300" s="3143"/>
      <c r="AM300" s="3143"/>
      <c r="AN300" s="3143"/>
      <c r="AO300" s="3143"/>
      <c r="AP300" s="3143"/>
      <c r="AQ300" s="3143"/>
      <c r="AR300" s="3143"/>
      <c r="AS300" s="3143"/>
      <c r="AT300" s="3143"/>
      <c r="AU300" s="3178"/>
      <c r="AV300" s="270">
        <f t="shared" si="127"/>
        <v>0</v>
      </c>
      <c r="AW300" s="270">
        <f t="shared" si="128"/>
        <v>0</v>
      </c>
      <c r="AX300" s="270">
        <f t="shared" si="129"/>
        <v>0</v>
      </c>
      <c r="AY300" s="3168">
        <f t="shared" ref="AY300:AY331" si="155">ROUND($AY$6*AZ300/$AZ$5,2)</f>
        <v>0</v>
      </c>
      <c r="AZ300" s="3123">
        <f t="shared" ref="AZ300:AZ331" si="156">BA300+BL300</f>
        <v>0</v>
      </c>
      <c r="BA300" s="3123">
        <f t="shared" ref="BA300:BA331" si="157">SUM(BB300:BK300)</f>
        <v>0</v>
      </c>
      <c r="BB300" s="3123">
        <f t="shared" ref="BB300:BB331" si="158">IF($D300="是",I300-J300,0)</f>
        <v>0</v>
      </c>
      <c r="BC300" s="3123">
        <f t="shared" ref="BC300:BC331" si="159">IF($D300="是",K300-L300,0)</f>
        <v>0</v>
      </c>
      <c r="BD300" s="3123">
        <f t="shared" ref="BD300:BD331" si="160">IF($D300="是",M300-N300,0)</f>
        <v>0</v>
      </c>
      <c r="BE300" s="3123">
        <f t="shared" ref="BE300:BE331" si="161">IF($D300="是",O300-P300,0)</f>
        <v>0</v>
      </c>
      <c r="BF300" s="3123">
        <f t="shared" ref="BF300:BF331" si="162">IF($D300="是",Q300-R300,0)</f>
        <v>0</v>
      </c>
      <c r="BG300" s="3123">
        <f t="shared" ref="BG300:BG331" si="163">IF($D300="是",S300-T300,0)</f>
        <v>0</v>
      </c>
      <c r="BH300" s="3123">
        <f t="shared" ref="BH300:BH331" si="164">IF($D300="是",U300-V300,0)</f>
        <v>0</v>
      </c>
      <c r="BI300" s="3123">
        <f t="shared" ref="BI300:BI331" si="165">IF($D300="是",W300-X300,0)</f>
        <v>0</v>
      </c>
      <c r="BJ300" s="3123">
        <f t="shared" ref="BJ300:BJ331" si="166">IF($D300="是",Y300-Z300,0)</f>
        <v>0</v>
      </c>
      <c r="BK300" s="3123">
        <f t="shared" ref="BK300:BK331" si="167">IF($D300="是",AA300-AB300,0)</f>
        <v>0</v>
      </c>
      <c r="BL300" s="3123">
        <f t="shared" ref="BL300:BL331" si="168">SUM(BM300:BT300)</f>
        <v>0</v>
      </c>
      <c r="BM300" s="3123">
        <f t="shared" ref="BM300:BM331" si="169">IF($D300="是",AD300-AE300,0)</f>
        <v>0</v>
      </c>
      <c r="BN300" s="3123">
        <f t="shared" ref="BN300:BN331" si="170">IF($D300="是",AF300-AG300,0)</f>
        <v>0</v>
      </c>
      <c r="BO300" s="3123">
        <f t="shared" ref="BO300:BO331" si="171">IF($D300="是",AH300-AI300,0)</f>
        <v>0</v>
      </c>
      <c r="BP300" s="3123">
        <f t="shared" ref="BP300:BP331" si="172">IF($D300="是",AJ300-AK300,0)</f>
        <v>0</v>
      </c>
      <c r="BQ300" s="3123">
        <f t="shared" ref="BQ300:BQ331" si="173">IF($D300="是",AL300-AM300,0)</f>
        <v>0</v>
      </c>
      <c r="BR300" s="3123">
        <f t="shared" ref="BR300:BR331" si="174">IF($D300="是",AN300-AO300,0)</f>
        <v>0</v>
      </c>
      <c r="BS300" s="3123">
        <f t="shared" ref="BS300:BS331" si="175">IF($D300="是",AP300-AQ300,0)</f>
        <v>0</v>
      </c>
      <c r="BT300" s="3175">
        <f t="shared" ref="BT300:BT331" si="176">IF($D300="是",AR300-AS300,0)</f>
        <v>0</v>
      </c>
    </row>
    <row r="301" spans="1:72">
      <c r="A301" s="3120"/>
      <c r="B301" s="3120"/>
      <c r="C301" s="3120"/>
      <c r="D301" s="3122"/>
      <c r="E301" s="3123">
        <f t="shared" si="123"/>
        <v>0</v>
      </c>
      <c r="F301" s="3176"/>
      <c r="G301" s="3125">
        <f t="shared" si="152"/>
        <v>0</v>
      </c>
      <c r="H301" s="3126">
        <f t="shared" si="153"/>
        <v>0</v>
      </c>
      <c r="I301" s="3133"/>
      <c r="J301" s="3133"/>
      <c r="K301" s="3133"/>
      <c r="L301" s="3133"/>
      <c r="M301" s="3133"/>
      <c r="N301" s="3133"/>
      <c r="O301" s="3133"/>
      <c r="P301" s="3133"/>
      <c r="Q301" s="3133"/>
      <c r="R301" s="3133"/>
      <c r="S301" s="3133"/>
      <c r="T301" s="3133"/>
      <c r="U301" s="3133"/>
      <c r="V301" s="3133"/>
      <c r="W301" s="3133"/>
      <c r="X301" s="3133"/>
      <c r="Y301" s="3133"/>
      <c r="Z301" s="3133"/>
      <c r="AA301" s="3133"/>
      <c r="AB301" s="3133"/>
      <c r="AC301" s="3123">
        <f t="shared" si="154"/>
        <v>0</v>
      </c>
      <c r="AD301" s="3143"/>
      <c r="AE301" s="3143"/>
      <c r="AF301" s="3143"/>
      <c r="AG301" s="3143"/>
      <c r="AH301" s="3143"/>
      <c r="AI301" s="3143"/>
      <c r="AJ301" s="3143"/>
      <c r="AK301" s="3143"/>
      <c r="AL301" s="3143"/>
      <c r="AM301" s="3143"/>
      <c r="AN301" s="3143"/>
      <c r="AO301" s="3143"/>
      <c r="AP301" s="3143"/>
      <c r="AQ301" s="3143"/>
      <c r="AR301" s="3143"/>
      <c r="AS301" s="3143"/>
      <c r="AT301" s="3143"/>
      <c r="AU301" s="3178"/>
      <c r="AV301" s="270">
        <f t="shared" si="127"/>
        <v>0</v>
      </c>
      <c r="AW301" s="270">
        <f t="shared" si="128"/>
        <v>0</v>
      </c>
      <c r="AX301" s="270">
        <f t="shared" si="129"/>
        <v>0</v>
      </c>
      <c r="AY301" s="3168">
        <f t="shared" si="155"/>
        <v>0</v>
      </c>
      <c r="AZ301" s="3123">
        <f t="shared" si="156"/>
        <v>0</v>
      </c>
      <c r="BA301" s="3123">
        <f t="shared" si="157"/>
        <v>0</v>
      </c>
      <c r="BB301" s="3123">
        <f t="shared" si="158"/>
        <v>0</v>
      </c>
      <c r="BC301" s="3123">
        <f t="shared" si="159"/>
        <v>0</v>
      </c>
      <c r="BD301" s="3123">
        <f t="shared" si="160"/>
        <v>0</v>
      </c>
      <c r="BE301" s="3123">
        <f t="shared" si="161"/>
        <v>0</v>
      </c>
      <c r="BF301" s="3123">
        <f t="shared" si="162"/>
        <v>0</v>
      </c>
      <c r="BG301" s="3123">
        <f t="shared" si="163"/>
        <v>0</v>
      </c>
      <c r="BH301" s="3123">
        <f t="shared" si="164"/>
        <v>0</v>
      </c>
      <c r="BI301" s="3123">
        <f t="shared" si="165"/>
        <v>0</v>
      </c>
      <c r="BJ301" s="3123">
        <f t="shared" si="166"/>
        <v>0</v>
      </c>
      <c r="BK301" s="3123">
        <f t="shared" si="167"/>
        <v>0</v>
      </c>
      <c r="BL301" s="3123">
        <f t="shared" si="168"/>
        <v>0</v>
      </c>
      <c r="BM301" s="3123">
        <f t="shared" si="169"/>
        <v>0</v>
      </c>
      <c r="BN301" s="3123">
        <f t="shared" si="170"/>
        <v>0</v>
      </c>
      <c r="BO301" s="3123">
        <f t="shared" si="171"/>
        <v>0</v>
      </c>
      <c r="BP301" s="3123">
        <f t="shared" si="172"/>
        <v>0</v>
      </c>
      <c r="BQ301" s="3123">
        <f t="shared" si="173"/>
        <v>0</v>
      </c>
      <c r="BR301" s="3123">
        <f t="shared" si="174"/>
        <v>0</v>
      </c>
      <c r="BS301" s="3123">
        <f t="shared" si="175"/>
        <v>0</v>
      </c>
      <c r="BT301" s="3175">
        <f t="shared" si="176"/>
        <v>0</v>
      </c>
    </row>
    <row r="302" spans="1:72">
      <c r="A302" s="3120"/>
      <c r="B302" s="3120"/>
      <c r="C302" s="3120"/>
      <c r="D302" s="3122"/>
      <c r="E302" s="3123">
        <f t="shared" si="123"/>
        <v>0</v>
      </c>
      <c r="F302" s="3176"/>
      <c r="G302" s="3125">
        <f t="shared" si="152"/>
        <v>0</v>
      </c>
      <c r="H302" s="3126">
        <f t="shared" si="153"/>
        <v>0</v>
      </c>
      <c r="I302" s="3133"/>
      <c r="J302" s="3133"/>
      <c r="K302" s="3133"/>
      <c r="L302" s="3133"/>
      <c r="M302" s="3133"/>
      <c r="N302" s="3133"/>
      <c r="O302" s="3133"/>
      <c r="P302" s="3133"/>
      <c r="Q302" s="3133"/>
      <c r="R302" s="3133"/>
      <c r="S302" s="3133"/>
      <c r="T302" s="3133"/>
      <c r="U302" s="3133"/>
      <c r="V302" s="3133"/>
      <c r="W302" s="3133"/>
      <c r="X302" s="3133"/>
      <c r="Y302" s="3133"/>
      <c r="Z302" s="3133"/>
      <c r="AA302" s="3133"/>
      <c r="AB302" s="3133"/>
      <c r="AC302" s="3123">
        <f t="shared" si="154"/>
        <v>0</v>
      </c>
      <c r="AD302" s="3143"/>
      <c r="AE302" s="3143"/>
      <c r="AF302" s="3143"/>
      <c r="AG302" s="3143"/>
      <c r="AH302" s="3143"/>
      <c r="AI302" s="3143"/>
      <c r="AJ302" s="3143"/>
      <c r="AK302" s="3143"/>
      <c r="AL302" s="3143"/>
      <c r="AM302" s="3143"/>
      <c r="AN302" s="3143"/>
      <c r="AO302" s="3143"/>
      <c r="AP302" s="3143"/>
      <c r="AQ302" s="3143"/>
      <c r="AR302" s="3143"/>
      <c r="AS302" s="3143"/>
      <c r="AT302" s="3143"/>
      <c r="AU302" s="3178"/>
      <c r="AV302" s="270">
        <f t="shared" si="127"/>
        <v>0</v>
      </c>
      <c r="AW302" s="270">
        <f t="shared" si="128"/>
        <v>0</v>
      </c>
      <c r="AX302" s="270">
        <f t="shared" si="129"/>
        <v>0</v>
      </c>
      <c r="AY302" s="3168">
        <f t="shared" si="155"/>
        <v>0</v>
      </c>
      <c r="AZ302" s="3123">
        <f t="shared" si="156"/>
        <v>0</v>
      </c>
      <c r="BA302" s="3123">
        <f t="shared" si="157"/>
        <v>0</v>
      </c>
      <c r="BB302" s="3123">
        <f t="shared" si="158"/>
        <v>0</v>
      </c>
      <c r="BC302" s="3123">
        <f t="shared" si="159"/>
        <v>0</v>
      </c>
      <c r="BD302" s="3123">
        <f t="shared" si="160"/>
        <v>0</v>
      </c>
      <c r="BE302" s="3123">
        <f t="shared" si="161"/>
        <v>0</v>
      </c>
      <c r="BF302" s="3123">
        <f t="shared" si="162"/>
        <v>0</v>
      </c>
      <c r="BG302" s="3123">
        <f t="shared" si="163"/>
        <v>0</v>
      </c>
      <c r="BH302" s="3123">
        <f t="shared" si="164"/>
        <v>0</v>
      </c>
      <c r="BI302" s="3123">
        <f t="shared" si="165"/>
        <v>0</v>
      </c>
      <c r="BJ302" s="3123">
        <f t="shared" si="166"/>
        <v>0</v>
      </c>
      <c r="BK302" s="3123">
        <f t="shared" si="167"/>
        <v>0</v>
      </c>
      <c r="BL302" s="3123">
        <f t="shared" si="168"/>
        <v>0</v>
      </c>
      <c r="BM302" s="3123">
        <f t="shared" si="169"/>
        <v>0</v>
      </c>
      <c r="BN302" s="3123">
        <f t="shared" si="170"/>
        <v>0</v>
      </c>
      <c r="BO302" s="3123">
        <f t="shared" si="171"/>
        <v>0</v>
      </c>
      <c r="BP302" s="3123">
        <f t="shared" si="172"/>
        <v>0</v>
      </c>
      <c r="BQ302" s="3123">
        <f t="shared" si="173"/>
        <v>0</v>
      </c>
      <c r="BR302" s="3123">
        <f t="shared" si="174"/>
        <v>0</v>
      </c>
      <c r="BS302" s="3123">
        <f t="shared" si="175"/>
        <v>0</v>
      </c>
      <c r="BT302" s="3175">
        <f t="shared" si="176"/>
        <v>0</v>
      </c>
    </row>
    <row r="303" spans="1:72">
      <c r="A303" s="3120"/>
      <c r="B303" s="3121"/>
      <c r="C303" s="3121"/>
      <c r="D303" s="3122"/>
      <c r="E303" s="3123">
        <f t="shared" ref="E303:E334" si="177">IF($C$3="是",ROUND($A$3*G303/$B$3,2),ROUND($A$3*(G303-AT303)/$B$3,2))</f>
        <v>0</v>
      </c>
      <c r="F303" s="3124"/>
      <c r="G303" s="3125">
        <f t="shared" si="152"/>
        <v>0</v>
      </c>
      <c r="H303" s="3126">
        <f t="shared" si="153"/>
        <v>0</v>
      </c>
      <c r="I303" s="3133"/>
      <c r="J303" s="3133"/>
      <c r="K303" s="3133"/>
      <c r="L303" s="3133"/>
      <c r="M303" s="3133"/>
      <c r="N303" s="3133"/>
      <c r="O303" s="3133"/>
      <c r="P303" s="3133"/>
      <c r="Q303" s="3133"/>
      <c r="R303" s="3133"/>
      <c r="S303" s="3133"/>
      <c r="T303" s="3133"/>
      <c r="U303" s="3133"/>
      <c r="V303" s="3133"/>
      <c r="W303" s="3133"/>
      <c r="X303" s="3133"/>
      <c r="Y303" s="3133"/>
      <c r="Z303" s="3133"/>
      <c r="AA303" s="3133"/>
      <c r="AB303" s="3133"/>
      <c r="AC303" s="3123">
        <f t="shared" si="154"/>
        <v>0</v>
      </c>
      <c r="AD303" s="3143"/>
      <c r="AE303" s="3143"/>
      <c r="AF303" s="3143"/>
      <c r="AG303" s="3143"/>
      <c r="AH303" s="3143"/>
      <c r="AI303" s="3143"/>
      <c r="AJ303" s="3143"/>
      <c r="AK303" s="3143"/>
      <c r="AL303" s="3143"/>
      <c r="AM303" s="3143"/>
      <c r="AN303" s="3143"/>
      <c r="AO303" s="3143"/>
      <c r="AP303" s="3143"/>
      <c r="AQ303" s="3143"/>
      <c r="AR303" s="3143"/>
      <c r="AS303" s="3143"/>
      <c r="AT303" s="3153"/>
      <c r="AU303" s="3154"/>
      <c r="AV303" s="270">
        <f t="shared" ref="AV303:AV334" si="178">A303</f>
        <v>0</v>
      </c>
      <c r="AW303" s="270">
        <f t="shared" ref="AW303:AW334" si="179">B303</f>
        <v>0</v>
      </c>
      <c r="AX303" s="270">
        <f t="shared" ref="AX303:AX334" si="180">C303</f>
        <v>0</v>
      </c>
      <c r="AY303" s="3168">
        <f t="shared" si="155"/>
        <v>0</v>
      </c>
      <c r="AZ303" s="3123">
        <f t="shared" si="156"/>
        <v>0</v>
      </c>
      <c r="BA303" s="3123">
        <f t="shared" si="157"/>
        <v>0</v>
      </c>
      <c r="BB303" s="3123">
        <f t="shared" si="158"/>
        <v>0</v>
      </c>
      <c r="BC303" s="3123">
        <f t="shared" si="159"/>
        <v>0</v>
      </c>
      <c r="BD303" s="3123">
        <f t="shared" si="160"/>
        <v>0</v>
      </c>
      <c r="BE303" s="3123">
        <f t="shared" si="161"/>
        <v>0</v>
      </c>
      <c r="BF303" s="3123">
        <f t="shared" si="162"/>
        <v>0</v>
      </c>
      <c r="BG303" s="3123">
        <f t="shared" si="163"/>
        <v>0</v>
      </c>
      <c r="BH303" s="3123">
        <f t="shared" si="164"/>
        <v>0</v>
      </c>
      <c r="BI303" s="3123">
        <f t="shared" si="165"/>
        <v>0</v>
      </c>
      <c r="BJ303" s="3123">
        <f t="shared" si="166"/>
        <v>0</v>
      </c>
      <c r="BK303" s="3123">
        <f t="shared" si="167"/>
        <v>0</v>
      </c>
      <c r="BL303" s="3123">
        <f t="shared" si="168"/>
        <v>0</v>
      </c>
      <c r="BM303" s="3123">
        <f t="shared" si="169"/>
        <v>0</v>
      </c>
      <c r="BN303" s="3123">
        <f t="shared" si="170"/>
        <v>0</v>
      </c>
      <c r="BO303" s="3123">
        <f t="shared" si="171"/>
        <v>0</v>
      </c>
      <c r="BP303" s="3123">
        <f t="shared" si="172"/>
        <v>0</v>
      </c>
      <c r="BQ303" s="3123">
        <f t="shared" si="173"/>
        <v>0</v>
      </c>
      <c r="BR303" s="3123">
        <f t="shared" si="174"/>
        <v>0</v>
      </c>
      <c r="BS303" s="3123">
        <f t="shared" si="175"/>
        <v>0</v>
      </c>
      <c r="BT303" s="3175">
        <f t="shared" si="176"/>
        <v>0</v>
      </c>
    </row>
    <row r="304" spans="1:72">
      <c r="A304" s="3120"/>
      <c r="B304" s="3121"/>
      <c r="C304" s="3121"/>
      <c r="D304" s="3122"/>
      <c r="E304" s="3123">
        <f t="shared" si="177"/>
        <v>0</v>
      </c>
      <c r="F304" s="3124"/>
      <c r="G304" s="3125">
        <f t="shared" si="152"/>
        <v>0</v>
      </c>
      <c r="H304" s="3126">
        <f t="shared" si="153"/>
        <v>0</v>
      </c>
      <c r="I304" s="3133"/>
      <c r="J304" s="3133"/>
      <c r="K304" s="3133"/>
      <c r="L304" s="3133"/>
      <c r="M304" s="3133"/>
      <c r="N304" s="3133"/>
      <c r="O304" s="3133"/>
      <c r="P304" s="3133"/>
      <c r="Q304" s="3133"/>
      <c r="R304" s="3133"/>
      <c r="S304" s="3133"/>
      <c r="T304" s="3133"/>
      <c r="U304" s="3133"/>
      <c r="V304" s="3133"/>
      <c r="W304" s="3133"/>
      <c r="X304" s="3133"/>
      <c r="Y304" s="3133"/>
      <c r="Z304" s="3133"/>
      <c r="AA304" s="3133"/>
      <c r="AB304" s="3133"/>
      <c r="AC304" s="3123">
        <f t="shared" si="154"/>
        <v>0</v>
      </c>
      <c r="AD304" s="3143"/>
      <c r="AE304" s="3143"/>
      <c r="AF304" s="3143"/>
      <c r="AG304" s="3143"/>
      <c r="AH304" s="3143"/>
      <c r="AI304" s="3143"/>
      <c r="AJ304" s="3143"/>
      <c r="AK304" s="3143"/>
      <c r="AL304" s="3143"/>
      <c r="AM304" s="3143"/>
      <c r="AN304" s="3143"/>
      <c r="AO304" s="3143"/>
      <c r="AP304" s="3143"/>
      <c r="AQ304" s="3143"/>
      <c r="AR304" s="3143"/>
      <c r="AS304" s="3143"/>
      <c r="AT304" s="3153"/>
      <c r="AU304" s="3154"/>
      <c r="AV304" s="270">
        <f t="shared" si="178"/>
        <v>0</v>
      </c>
      <c r="AW304" s="270">
        <f t="shared" si="179"/>
        <v>0</v>
      </c>
      <c r="AX304" s="270">
        <f t="shared" si="180"/>
        <v>0</v>
      </c>
      <c r="AY304" s="3168">
        <f t="shared" si="155"/>
        <v>0</v>
      </c>
      <c r="AZ304" s="3123">
        <f t="shared" si="156"/>
        <v>0</v>
      </c>
      <c r="BA304" s="3123">
        <f t="shared" si="157"/>
        <v>0</v>
      </c>
      <c r="BB304" s="3123">
        <f t="shared" si="158"/>
        <v>0</v>
      </c>
      <c r="BC304" s="3123">
        <f t="shared" si="159"/>
        <v>0</v>
      </c>
      <c r="BD304" s="3123">
        <f t="shared" si="160"/>
        <v>0</v>
      </c>
      <c r="BE304" s="3123">
        <f t="shared" si="161"/>
        <v>0</v>
      </c>
      <c r="BF304" s="3123">
        <f t="shared" si="162"/>
        <v>0</v>
      </c>
      <c r="BG304" s="3123">
        <f t="shared" si="163"/>
        <v>0</v>
      </c>
      <c r="BH304" s="3123">
        <f t="shared" si="164"/>
        <v>0</v>
      </c>
      <c r="BI304" s="3123">
        <f t="shared" si="165"/>
        <v>0</v>
      </c>
      <c r="BJ304" s="3123">
        <f t="shared" si="166"/>
        <v>0</v>
      </c>
      <c r="BK304" s="3123">
        <f t="shared" si="167"/>
        <v>0</v>
      </c>
      <c r="BL304" s="3123">
        <f t="shared" si="168"/>
        <v>0</v>
      </c>
      <c r="BM304" s="3123">
        <f t="shared" si="169"/>
        <v>0</v>
      </c>
      <c r="BN304" s="3123">
        <f t="shared" si="170"/>
        <v>0</v>
      </c>
      <c r="BO304" s="3123">
        <f t="shared" si="171"/>
        <v>0</v>
      </c>
      <c r="BP304" s="3123">
        <f t="shared" si="172"/>
        <v>0</v>
      </c>
      <c r="BQ304" s="3123">
        <f t="shared" si="173"/>
        <v>0</v>
      </c>
      <c r="BR304" s="3123">
        <f t="shared" si="174"/>
        <v>0</v>
      </c>
      <c r="BS304" s="3123">
        <f t="shared" si="175"/>
        <v>0</v>
      </c>
      <c r="BT304" s="3175">
        <f t="shared" si="176"/>
        <v>0</v>
      </c>
    </row>
    <row r="305" spans="1:72">
      <c r="A305" s="3120"/>
      <c r="B305" s="3121"/>
      <c r="C305" s="3121"/>
      <c r="D305" s="3122"/>
      <c r="E305" s="3123">
        <f t="shared" si="177"/>
        <v>0</v>
      </c>
      <c r="F305" s="3124"/>
      <c r="G305" s="3125">
        <f t="shared" si="152"/>
        <v>0</v>
      </c>
      <c r="H305" s="3126">
        <f t="shared" si="153"/>
        <v>0</v>
      </c>
      <c r="I305" s="3133"/>
      <c r="J305" s="3133"/>
      <c r="K305" s="3133"/>
      <c r="L305" s="3133"/>
      <c r="M305" s="3133"/>
      <c r="N305" s="3133"/>
      <c r="O305" s="3133"/>
      <c r="P305" s="3133"/>
      <c r="Q305" s="3133"/>
      <c r="R305" s="3133"/>
      <c r="S305" s="3133"/>
      <c r="T305" s="3133"/>
      <c r="U305" s="3133"/>
      <c r="V305" s="3133"/>
      <c r="W305" s="3133"/>
      <c r="X305" s="3133"/>
      <c r="Y305" s="3133"/>
      <c r="Z305" s="3133"/>
      <c r="AA305" s="3133"/>
      <c r="AB305" s="3133"/>
      <c r="AC305" s="3123">
        <f t="shared" si="154"/>
        <v>0</v>
      </c>
      <c r="AD305" s="3143"/>
      <c r="AE305" s="3143"/>
      <c r="AF305" s="3143"/>
      <c r="AG305" s="3143"/>
      <c r="AH305" s="3143"/>
      <c r="AI305" s="3143"/>
      <c r="AJ305" s="3143"/>
      <c r="AK305" s="3143"/>
      <c r="AL305" s="3143"/>
      <c r="AM305" s="3143"/>
      <c r="AN305" s="3143"/>
      <c r="AO305" s="3143"/>
      <c r="AP305" s="3143"/>
      <c r="AQ305" s="3143"/>
      <c r="AR305" s="3143"/>
      <c r="AS305" s="3143"/>
      <c r="AT305" s="3153"/>
      <c r="AU305" s="3154"/>
      <c r="AV305" s="270">
        <f t="shared" si="178"/>
        <v>0</v>
      </c>
      <c r="AW305" s="270">
        <f t="shared" si="179"/>
        <v>0</v>
      </c>
      <c r="AX305" s="270">
        <f t="shared" si="180"/>
        <v>0</v>
      </c>
      <c r="AY305" s="3168">
        <f t="shared" si="155"/>
        <v>0</v>
      </c>
      <c r="AZ305" s="3123">
        <f t="shared" si="156"/>
        <v>0</v>
      </c>
      <c r="BA305" s="3123">
        <f t="shared" si="157"/>
        <v>0</v>
      </c>
      <c r="BB305" s="3123">
        <f t="shared" si="158"/>
        <v>0</v>
      </c>
      <c r="BC305" s="3123">
        <f t="shared" si="159"/>
        <v>0</v>
      </c>
      <c r="BD305" s="3123">
        <f t="shared" si="160"/>
        <v>0</v>
      </c>
      <c r="BE305" s="3123">
        <f t="shared" si="161"/>
        <v>0</v>
      </c>
      <c r="BF305" s="3123">
        <f t="shared" si="162"/>
        <v>0</v>
      </c>
      <c r="BG305" s="3123">
        <f t="shared" si="163"/>
        <v>0</v>
      </c>
      <c r="BH305" s="3123">
        <f t="shared" si="164"/>
        <v>0</v>
      </c>
      <c r="BI305" s="3123">
        <f t="shared" si="165"/>
        <v>0</v>
      </c>
      <c r="BJ305" s="3123">
        <f t="shared" si="166"/>
        <v>0</v>
      </c>
      <c r="BK305" s="3123">
        <f t="shared" si="167"/>
        <v>0</v>
      </c>
      <c r="BL305" s="3123">
        <f t="shared" si="168"/>
        <v>0</v>
      </c>
      <c r="BM305" s="3123">
        <f t="shared" si="169"/>
        <v>0</v>
      </c>
      <c r="BN305" s="3123">
        <f t="shared" si="170"/>
        <v>0</v>
      </c>
      <c r="BO305" s="3123">
        <f t="shared" si="171"/>
        <v>0</v>
      </c>
      <c r="BP305" s="3123">
        <f t="shared" si="172"/>
        <v>0</v>
      </c>
      <c r="BQ305" s="3123">
        <f t="shared" si="173"/>
        <v>0</v>
      </c>
      <c r="BR305" s="3123">
        <f t="shared" si="174"/>
        <v>0</v>
      </c>
      <c r="BS305" s="3123">
        <f t="shared" si="175"/>
        <v>0</v>
      </c>
      <c r="BT305" s="3175">
        <f t="shared" si="176"/>
        <v>0</v>
      </c>
    </row>
    <row r="306" spans="1:72">
      <c r="A306" s="3120"/>
      <c r="B306" s="3121"/>
      <c r="C306" s="3121"/>
      <c r="D306" s="3122"/>
      <c r="E306" s="3123">
        <f t="shared" si="177"/>
        <v>0</v>
      </c>
      <c r="F306" s="3124"/>
      <c r="G306" s="3125">
        <f t="shared" si="152"/>
        <v>0</v>
      </c>
      <c r="H306" s="3126">
        <f t="shared" si="153"/>
        <v>0</v>
      </c>
      <c r="I306" s="3133"/>
      <c r="J306" s="3133"/>
      <c r="K306" s="3133"/>
      <c r="L306" s="3133"/>
      <c r="M306" s="3133"/>
      <c r="N306" s="3133"/>
      <c r="O306" s="3133"/>
      <c r="P306" s="3133"/>
      <c r="Q306" s="3133"/>
      <c r="R306" s="3133"/>
      <c r="S306" s="3133"/>
      <c r="T306" s="3133"/>
      <c r="U306" s="3133"/>
      <c r="V306" s="3133"/>
      <c r="W306" s="3133"/>
      <c r="X306" s="3133"/>
      <c r="Y306" s="3133"/>
      <c r="Z306" s="3133"/>
      <c r="AA306" s="3133"/>
      <c r="AB306" s="3133"/>
      <c r="AC306" s="3123">
        <f t="shared" si="154"/>
        <v>0</v>
      </c>
      <c r="AD306" s="3143"/>
      <c r="AE306" s="3143"/>
      <c r="AF306" s="3143"/>
      <c r="AG306" s="3143"/>
      <c r="AH306" s="3143"/>
      <c r="AI306" s="3143"/>
      <c r="AJ306" s="3143"/>
      <c r="AK306" s="3143"/>
      <c r="AL306" s="3143"/>
      <c r="AM306" s="3143"/>
      <c r="AN306" s="3143"/>
      <c r="AO306" s="3143"/>
      <c r="AP306" s="3143"/>
      <c r="AQ306" s="3143"/>
      <c r="AR306" s="3143"/>
      <c r="AS306" s="3143"/>
      <c r="AT306" s="3153"/>
      <c r="AU306" s="3154"/>
      <c r="AV306" s="270">
        <f t="shared" si="178"/>
        <v>0</v>
      </c>
      <c r="AW306" s="270">
        <f t="shared" si="179"/>
        <v>0</v>
      </c>
      <c r="AX306" s="270">
        <f t="shared" si="180"/>
        <v>0</v>
      </c>
      <c r="AY306" s="3168">
        <f t="shared" si="155"/>
        <v>0</v>
      </c>
      <c r="AZ306" s="3123">
        <f t="shared" si="156"/>
        <v>0</v>
      </c>
      <c r="BA306" s="3123">
        <f t="shared" si="157"/>
        <v>0</v>
      </c>
      <c r="BB306" s="3123">
        <f t="shared" si="158"/>
        <v>0</v>
      </c>
      <c r="BC306" s="3123">
        <f t="shared" si="159"/>
        <v>0</v>
      </c>
      <c r="BD306" s="3123">
        <f t="shared" si="160"/>
        <v>0</v>
      </c>
      <c r="BE306" s="3123">
        <f t="shared" si="161"/>
        <v>0</v>
      </c>
      <c r="BF306" s="3123">
        <f t="shared" si="162"/>
        <v>0</v>
      </c>
      <c r="BG306" s="3123">
        <f t="shared" si="163"/>
        <v>0</v>
      </c>
      <c r="BH306" s="3123">
        <f t="shared" si="164"/>
        <v>0</v>
      </c>
      <c r="BI306" s="3123">
        <f t="shared" si="165"/>
        <v>0</v>
      </c>
      <c r="BJ306" s="3123">
        <f t="shared" si="166"/>
        <v>0</v>
      </c>
      <c r="BK306" s="3123">
        <f t="shared" si="167"/>
        <v>0</v>
      </c>
      <c r="BL306" s="3123">
        <f t="shared" si="168"/>
        <v>0</v>
      </c>
      <c r="BM306" s="3123">
        <f t="shared" si="169"/>
        <v>0</v>
      </c>
      <c r="BN306" s="3123">
        <f t="shared" si="170"/>
        <v>0</v>
      </c>
      <c r="BO306" s="3123">
        <f t="shared" si="171"/>
        <v>0</v>
      </c>
      <c r="BP306" s="3123">
        <f t="shared" si="172"/>
        <v>0</v>
      </c>
      <c r="BQ306" s="3123">
        <f t="shared" si="173"/>
        <v>0</v>
      </c>
      <c r="BR306" s="3123">
        <f t="shared" si="174"/>
        <v>0</v>
      </c>
      <c r="BS306" s="3123">
        <f t="shared" si="175"/>
        <v>0</v>
      </c>
      <c r="BT306" s="3175">
        <f t="shared" si="176"/>
        <v>0</v>
      </c>
    </row>
    <row r="307" spans="1:72">
      <c r="A307" s="3120"/>
      <c r="B307" s="3121"/>
      <c r="C307" s="3121"/>
      <c r="D307" s="3122"/>
      <c r="E307" s="3123">
        <f t="shared" si="177"/>
        <v>0</v>
      </c>
      <c r="F307" s="3124"/>
      <c r="G307" s="3125">
        <f t="shared" si="152"/>
        <v>0</v>
      </c>
      <c r="H307" s="3126">
        <f t="shared" si="153"/>
        <v>0</v>
      </c>
      <c r="I307" s="3133"/>
      <c r="J307" s="3133"/>
      <c r="K307" s="3133"/>
      <c r="L307" s="3133"/>
      <c r="M307" s="3133"/>
      <c r="N307" s="3133"/>
      <c r="O307" s="3133"/>
      <c r="P307" s="3133"/>
      <c r="Q307" s="3133"/>
      <c r="R307" s="3133"/>
      <c r="S307" s="3133"/>
      <c r="T307" s="3133"/>
      <c r="U307" s="3133"/>
      <c r="V307" s="3133"/>
      <c r="W307" s="3133"/>
      <c r="X307" s="3133"/>
      <c r="Y307" s="3133"/>
      <c r="Z307" s="3133"/>
      <c r="AA307" s="3133"/>
      <c r="AB307" s="3133"/>
      <c r="AC307" s="3123">
        <f t="shared" si="154"/>
        <v>0</v>
      </c>
      <c r="AD307" s="3143"/>
      <c r="AE307" s="3143"/>
      <c r="AF307" s="3143"/>
      <c r="AG307" s="3143"/>
      <c r="AH307" s="3143"/>
      <c r="AI307" s="3143"/>
      <c r="AJ307" s="3143"/>
      <c r="AK307" s="3143"/>
      <c r="AL307" s="3143"/>
      <c r="AM307" s="3143"/>
      <c r="AN307" s="3143"/>
      <c r="AO307" s="3143"/>
      <c r="AP307" s="3143"/>
      <c r="AQ307" s="3143"/>
      <c r="AR307" s="3143"/>
      <c r="AS307" s="3143"/>
      <c r="AT307" s="3153"/>
      <c r="AU307" s="3154"/>
      <c r="AV307" s="270">
        <f t="shared" si="178"/>
        <v>0</v>
      </c>
      <c r="AW307" s="270">
        <f t="shared" si="179"/>
        <v>0</v>
      </c>
      <c r="AX307" s="270">
        <f t="shared" si="180"/>
        <v>0</v>
      </c>
      <c r="AY307" s="3168">
        <f t="shared" si="155"/>
        <v>0</v>
      </c>
      <c r="AZ307" s="3123">
        <f t="shared" si="156"/>
        <v>0</v>
      </c>
      <c r="BA307" s="3123">
        <f t="shared" si="157"/>
        <v>0</v>
      </c>
      <c r="BB307" s="3123">
        <f t="shared" si="158"/>
        <v>0</v>
      </c>
      <c r="BC307" s="3123">
        <f t="shared" si="159"/>
        <v>0</v>
      </c>
      <c r="BD307" s="3123">
        <f t="shared" si="160"/>
        <v>0</v>
      </c>
      <c r="BE307" s="3123">
        <f t="shared" si="161"/>
        <v>0</v>
      </c>
      <c r="BF307" s="3123">
        <f t="shared" si="162"/>
        <v>0</v>
      </c>
      <c r="BG307" s="3123">
        <f t="shared" si="163"/>
        <v>0</v>
      </c>
      <c r="BH307" s="3123">
        <f t="shared" si="164"/>
        <v>0</v>
      </c>
      <c r="BI307" s="3123">
        <f t="shared" si="165"/>
        <v>0</v>
      </c>
      <c r="BJ307" s="3123">
        <f t="shared" si="166"/>
        <v>0</v>
      </c>
      <c r="BK307" s="3123">
        <f t="shared" si="167"/>
        <v>0</v>
      </c>
      <c r="BL307" s="3123">
        <f t="shared" si="168"/>
        <v>0</v>
      </c>
      <c r="BM307" s="3123">
        <f t="shared" si="169"/>
        <v>0</v>
      </c>
      <c r="BN307" s="3123">
        <f t="shared" si="170"/>
        <v>0</v>
      </c>
      <c r="BO307" s="3123">
        <f t="shared" si="171"/>
        <v>0</v>
      </c>
      <c r="BP307" s="3123">
        <f t="shared" si="172"/>
        <v>0</v>
      </c>
      <c r="BQ307" s="3123">
        <f t="shared" si="173"/>
        <v>0</v>
      </c>
      <c r="BR307" s="3123">
        <f t="shared" si="174"/>
        <v>0</v>
      </c>
      <c r="BS307" s="3123">
        <f t="shared" si="175"/>
        <v>0</v>
      </c>
      <c r="BT307" s="3175">
        <f t="shared" si="176"/>
        <v>0</v>
      </c>
    </row>
    <row r="308" spans="1:72">
      <c r="A308" s="3120"/>
      <c r="B308" s="3121"/>
      <c r="C308" s="3121"/>
      <c r="D308" s="3122"/>
      <c r="E308" s="3123">
        <f t="shared" si="177"/>
        <v>0</v>
      </c>
      <c r="F308" s="3124"/>
      <c r="G308" s="3125">
        <f t="shared" si="152"/>
        <v>0</v>
      </c>
      <c r="H308" s="3126">
        <f t="shared" si="153"/>
        <v>0</v>
      </c>
      <c r="I308" s="3133"/>
      <c r="J308" s="3133"/>
      <c r="K308" s="3133"/>
      <c r="L308" s="3133"/>
      <c r="M308" s="3133"/>
      <c r="N308" s="3133"/>
      <c r="O308" s="3133"/>
      <c r="P308" s="3133"/>
      <c r="Q308" s="3133"/>
      <c r="R308" s="3133"/>
      <c r="S308" s="3133"/>
      <c r="T308" s="3133"/>
      <c r="U308" s="3133"/>
      <c r="V308" s="3133"/>
      <c r="W308" s="3133"/>
      <c r="X308" s="3133"/>
      <c r="Y308" s="3133"/>
      <c r="Z308" s="3133"/>
      <c r="AA308" s="3133"/>
      <c r="AB308" s="3133"/>
      <c r="AC308" s="3123">
        <f t="shared" si="154"/>
        <v>0</v>
      </c>
      <c r="AD308" s="3143"/>
      <c r="AE308" s="3143"/>
      <c r="AF308" s="3143"/>
      <c r="AG308" s="3143"/>
      <c r="AH308" s="3143"/>
      <c r="AI308" s="3143"/>
      <c r="AJ308" s="3143"/>
      <c r="AK308" s="3143"/>
      <c r="AL308" s="3143"/>
      <c r="AM308" s="3143"/>
      <c r="AN308" s="3143"/>
      <c r="AO308" s="3143"/>
      <c r="AP308" s="3143"/>
      <c r="AQ308" s="3143"/>
      <c r="AR308" s="3143"/>
      <c r="AS308" s="3143"/>
      <c r="AT308" s="3153"/>
      <c r="AU308" s="3154"/>
      <c r="AV308" s="270">
        <f t="shared" si="178"/>
        <v>0</v>
      </c>
      <c r="AW308" s="270">
        <f t="shared" si="179"/>
        <v>0</v>
      </c>
      <c r="AX308" s="270">
        <f t="shared" si="180"/>
        <v>0</v>
      </c>
      <c r="AY308" s="3168">
        <f t="shared" si="155"/>
        <v>0</v>
      </c>
      <c r="AZ308" s="3123">
        <f t="shared" si="156"/>
        <v>0</v>
      </c>
      <c r="BA308" s="3123">
        <f t="shared" si="157"/>
        <v>0</v>
      </c>
      <c r="BB308" s="3123">
        <f t="shared" si="158"/>
        <v>0</v>
      </c>
      <c r="BC308" s="3123">
        <f t="shared" si="159"/>
        <v>0</v>
      </c>
      <c r="BD308" s="3123">
        <f t="shared" si="160"/>
        <v>0</v>
      </c>
      <c r="BE308" s="3123">
        <f t="shared" si="161"/>
        <v>0</v>
      </c>
      <c r="BF308" s="3123">
        <f t="shared" si="162"/>
        <v>0</v>
      </c>
      <c r="BG308" s="3123">
        <f t="shared" si="163"/>
        <v>0</v>
      </c>
      <c r="BH308" s="3123">
        <f t="shared" si="164"/>
        <v>0</v>
      </c>
      <c r="BI308" s="3123">
        <f t="shared" si="165"/>
        <v>0</v>
      </c>
      <c r="BJ308" s="3123">
        <f t="shared" si="166"/>
        <v>0</v>
      </c>
      <c r="BK308" s="3123">
        <f t="shared" si="167"/>
        <v>0</v>
      </c>
      <c r="BL308" s="3123">
        <f t="shared" si="168"/>
        <v>0</v>
      </c>
      <c r="BM308" s="3123">
        <f t="shared" si="169"/>
        <v>0</v>
      </c>
      <c r="BN308" s="3123">
        <f t="shared" si="170"/>
        <v>0</v>
      </c>
      <c r="BO308" s="3123">
        <f t="shared" si="171"/>
        <v>0</v>
      </c>
      <c r="BP308" s="3123">
        <f t="shared" si="172"/>
        <v>0</v>
      </c>
      <c r="BQ308" s="3123">
        <f t="shared" si="173"/>
        <v>0</v>
      </c>
      <c r="BR308" s="3123">
        <f t="shared" si="174"/>
        <v>0</v>
      </c>
      <c r="BS308" s="3123">
        <f t="shared" si="175"/>
        <v>0</v>
      </c>
      <c r="BT308" s="3175">
        <f t="shared" si="176"/>
        <v>0</v>
      </c>
    </row>
    <row r="309" spans="1:72">
      <c r="A309" s="3120"/>
      <c r="B309" s="3121"/>
      <c r="C309" s="3121"/>
      <c r="D309" s="3122"/>
      <c r="E309" s="3123">
        <f t="shared" si="177"/>
        <v>0</v>
      </c>
      <c r="F309" s="3124"/>
      <c r="G309" s="3125">
        <f t="shared" si="152"/>
        <v>0</v>
      </c>
      <c r="H309" s="3126">
        <f t="shared" si="153"/>
        <v>0</v>
      </c>
      <c r="I309" s="3133"/>
      <c r="J309" s="3133"/>
      <c r="K309" s="3133"/>
      <c r="L309" s="3133"/>
      <c r="M309" s="3133"/>
      <c r="N309" s="3133"/>
      <c r="O309" s="3133"/>
      <c r="P309" s="3133"/>
      <c r="Q309" s="3133"/>
      <c r="R309" s="3133"/>
      <c r="S309" s="3133"/>
      <c r="T309" s="3133"/>
      <c r="U309" s="3133"/>
      <c r="V309" s="3133"/>
      <c r="W309" s="3133"/>
      <c r="X309" s="3133"/>
      <c r="Y309" s="3133"/>
      <c r="Z309" s="3133"/>
      <c r="AA309" s="3133"/>
      <c r="AB309" s="3133"/>
      <c r="AC309" s="3123">
        <f t="shared" si="154"/>
        <v>0</v>
      </c>
      <c r="AD309" s="3143"/>
      <c r="AE309" s="3143"/>
      <c r="AF309" s="3143"/>
      <c r="AG309" s="3143"/>
      <c r="AH309" s="3143"/>
      <c r="AI309" s="3143"/>
      <c r="AJ309" s="3143"/>
      <c r="AK309" s="3143"/>
      <c r="AL309" s="3143"/>
      <c r="AM309" s="3143"/>
      <c r="AN309" s="3143"/>
      <c r="AO309" s="3143"/>
      <c r="AP309" s="3143"/>
      <c r="AQ309" s="3143"/>
      <c r="AR309" s="3143"/>
      <c r="AS309" s="3143"/>
      <c r="AT309" s="3153"/>
      <c r="AU309" s="3154"/>
      <c r="AV309" s="270">
        <f t="shared" si="178"/>
        <v>0</v>
      </c>
      <c r="AW309" s="270">
        <f t="shared" si="179"/>
        <v>0</v>
      </c>
      <c r="AX309" s="270">
        <f t="shared" si="180"/>
        <v>0</v>
      </c>
      <c r="AY309" s="3168">
        <f t="shared" si="155"/>
        <v>0</v>
      </c>
      <c r="AZ309" s="3123">
        <f t="shared" si="156"/>
        <v>0</v>
      </c>
      <c r="BA309" s="3123">
        <f t="shared" si="157"/>
        <v>0</v>
      </c>
      <c r="BB309" s="3123">
        <f t="shared" si="158"/>
        <v>0</v>
      </c>
      <c r="BC309" s="3123">
        <f t="shared" si="159"/>
        <v>0</v>
      </c>
      <c r="BD309" s="3123">
        <f t="shared" si="160"/>
        <v>0</v>
      </c>
      <c r="BE309" s="3123">
        <f t="shared" si="161"/>
        <v>0</v>
      </c>
      <c r="BF309" s="3123">
        <f t="shared" si="162"/>
        <v>0</v>
      </c>
      <c r="BG309" s="3123">
        <f t="shared" si="163"/>
        <v>0</v>
      </c>
      <c r="BH309" s="3123">
        <f t="shared" si="164"/>
        <v>0</v>
      </c>
      <c r="BI309" s="3123">
        <f t="shared" si="165"/>
        <v>0</v>
      </c>
      <c r="BJ309" s="3123">
        <f t="shared" si="166"/>
        <v>0</v>
      </c>
      <c r="BK309" s="3123">
        <f t="shared" si="167"/>
        <v>0</v>
      </c>
      <c r="BL309" s="3123">
        <f t="shared" si="168"/>
        <v>0</v>
      </c>
      <c r="BM309" s="3123">
        <f t="shared" si="169"/>
        <v>0</v>
      </c>
      <c r="BN309" s="3123">
        <f t="shared" si="170"/>
        <v>0</v>
      </c>
      <c r="BO309" s="3123">
        <f t="shared" si="171"/>
        <v>0</v>
      </c>
      <c r="BP309" s="3123">
        <f t="shared" si="172"/>
        <v>0</v>
      </c>
      <c r="BQ309" s="3123">
        <f t="shared" si="173"/>
        <v>0</v>
      </c>
      <c r="BR309" s="3123">
        <f t="shared" si="174"/>
        <v>0</v>
      </c>
      <c r="BS309" s="3123">
        <f t="shared" si="175"/>
        <v>0</v>
      </c>
      <c r="BT309" s="3175">
        <f t="shared" si="176"/>
        <v>0</v>
      </c>
    </row>
    <row r="310" spans="1:72">
      <c r="A310" s="3120"/>
      <c r="B310" s="3121"/>
      <c r="C310" s="3121"/>
      <c r="D310" s="3122"/>
      <c r="E310" s="3123">
        <f t="shared" si="177"/>
        <v>0</v>
      </c>
      <c r="F310" s="3124"/>
      <c r="G310" s="3125">
        <f t="shared" si="152"/>
        <v>0</v>
      </c>
      <c r="H310" s="3126">
        <f t="shared" si="153"/>
        <v>0</v>
      </c>
      <c r="I310" s="3133"/>
      <c r="J310" s="3133"/>
      <c r="K310" s="3133"/>
      <c r="L310" s="3133"/>
      <c r="M310" s="3133"/>
      <c r="N310" s="3133"/>
      <c r="O310" s="3133"/>
      <c r="P310" s="3133"/>
      <c r="Q310" s="3133"/>
      <c r="R310" s="3133"/>
      <c r="S310" s="3133"/>
      <c r="T310" s="3133"/>
      <c r="U310" s="3133"/>
      <c r="V310" s="3133"/>
      <c r="W310" s="3133"/>
      <c r="X310" s="3133"/>
      <c r="Y310" s="3133"/>
      <c r="Z310" s="3133"/>
      <c r="AA310" s="3133"/>
      <c r="AB310" s="3133"/>
      <c r="AC310" s="3123">
        <f t="shared" si="154"/>
        <v>0</v>
      </c>
      <c r="AD310" s="3143"/>
      <c r="AE310" s="3143"/>
      <c r="AF310" s="3143"/>
      <c r="AG310" s="3143"/>
      <c r="AH310" s="3143"/>
      <c r="AI310" s="3143"/>
      <c r="AJ310" s="3143"/>
      <c r="AK310" s="3143"/>
      <c r="AL310" s="3143"/>
      <c r="AM310" s="3143"/>
      <c r="AN310" s="3143"/>
      <c r="AO310" s="3143"/>
      <c r="AP310" s="3143"/>
      <c r="AQ310" s="3143"/>
      <c r="AR310" s="3143"/>
      <c r="AS310" s="3143"/>
      <c r="AT310" s="3153"/>
      <c r="AU310" s="3154"/>
      <c r="AV310" s="270">
        <f t="shared" si="178"/>
        <v>0</v>
      </c>
      <c r="AW310" s="270">
        <f t="shared" si="179"/>
        <v>0</v>
      </c>
      <c r="AX310" s="270">
        <f t="shared" si="180"/>
        <v>0</v>
      </c>
      <c r="AY310" s="3168">
        <f t="shared" si="155"/>
        <v>0</v>
      </c>
      <c r="AZ310" s="3123">
        <f t="shared" si="156"/>
        <v>0</v>
      </c>
      <c r="BA310" s="3123">
        <f t="shared" si="157"/>
        <v>0</v>
      </c>
      <c r="BB310" s="3123">
        <f t="shared" si="158"/>
        <v>0</v>
      </c>
      <c r="BC310" s="3123">
        <f t="shared" si="159"/>
        <v>0</v>
      </c>
      <c r="BD310" s="3123">
        <f t="shared" si="160"/>
        <v>0</v>
      </c>
      <c r="BE310" s="3123">
        <f t="shared" si="161"/>
        <v>0</v>
      </c>
      <c r="BF310" s="3123">
        <f t="shared" si="162"/>
        <v>0</v>
      </c>
      <c r="BG310" s="3123">
        <f t="shared" si="163"/>
        <v>0</v>
      </c>
      <c r="BH310" s="3123">
        <f t="shared" si="164"/>
        <v>0</v>
      </c>
      <c r="BI310" s="3123">
        <f t="shared" si="165"/>
        <v>0</v>
      </c>
      <c r="BJ310" s="3123">
        <f t="shared" si="166"/>
        <v>0</v>
      </c>
      <c r="BK310" s="3123">
        <f t="shared" si="167"/>
        <v>0</v>
      </c>
      <c r="BL310" s="3123">
        <f t="shared" si="168"/>
        <v>0</v>
      </c>
      <c r="BM310" s="3123">
        <f t="shared" si="169"/>
        <v>0</v>
      </c>
      <c r="BN310" s="3123">
        <f t="shared" si="170"/>
        <v>0</v>
      </c>
      <c r="BO310" s="3123">
        <f t="shared" si="171"/>
        <v>0</v>
      </c>
      <c r="BP310" s="3123">
        <f t="shared" si="172"/>
        <v>0</v>
      </c>
      <c r="BQ310" s="3123">
        <f t="shared" si="173"/>
        <v>0</v>
      </c>
      <c r="BR310" s="3123">
        <f t="shared" si="174"/>
        <v>0</v>
      </c>
      <c r="BS310" s="3123">
        <f t="shared" si="175"/>
        <v>0</v>
      </c>
      <c r="BT310" s="3175">
        <f t="shared" si="176"/>
        <v>0</v>
      </c>
    </row>
    <row r="311" spans="1:72">
      <c r="A311" s="3120"/>
      <c r="B311" s="3121"/>
      <c r="C311" s="3121"/>
      <c r="D311" s="3122"/>
      <c r="E311" s="3123">
        <f t="shared" si="177"/>
        <v>0</v>
      </c>
      <c r="F311" s="3124"/>
      <c r="G311" s="3125">
        <f t="shared" si="152"/>
        <v>0</v>
      </c>
      <c r="H311" s="3126">
        <f t="shared" si="153"/>
        <v>0</v>
      </c>
      <c r="I311" s="3133"/>
      <c r="J311" s="3133"/>
      <c r="K311" s="3133"/>
      <c r="L311" s="3133"/>
      <c r="M311" s="3133"/>
      <c r="N311" s="3133"/>
      <c r="O311" s="3133"/>
      <c r="P311" s="3133"/>
      <c r="Q311" s="3133"/>
      <c r="R311" s="3133"/>
      <c r="S311" s="3133"/>
      <c r="T311" s="3133"/>
      <c r="U311" s="3133"/>
      <c r="V311" s="3133"/>
      <c r="W311" s="3133"/>
      <c r="X311" s="3133"/>
      <c r="Y311" s="3133"/>
      <c r="Z311" s="3133"/>
      <c r="AA311" s="3133"/>
      <c r="AB311" s="3133"/>
      <c r="AC311" s="3123">
        <f t="shared" si="154"/>
        <v>0</v>
      </c>
      <c r="AD311" s="3143"/>
      <c r="AE311" s="3143"/>
      <c r="AF311" s="3143"/>
      <c r="AG311" s="3143"/>
      <c r="AH311" s="3143"/>
      <c r="AI311" s="3143"/>
      <c r="AJ311" s="3143"/>
      <c r="AK311" s="3143"/>
      <c r="AL311" s="3143"/>
      <c r="AM311" s="3143"/>
      <c r="AN311" s="3143"/>
      <c r="AO311" s="3143"/>
      <c r="AP311" s="3143"/>
      <c r="AQ311" s="3143"/>
      <c r="AR311" s="3143"/>
      <c r="AS311" s="3143"/>
      <c r="AT311" s="3153"/>
      <c r="AU311" s="3154"/>
      <c r="AV311" s="270">
        <f t="shared" si="178"/>
        <v>0</v>
      </c>
      <c r="AW311" s="270">
        <f t="shared" si="179"/>
        <v>0</v>
      </c>
      <c r="AX311" s="270">
        <f t="shared" si="180"/>
        <v>0</v>
      </c>
      <c r="AY311" s="3168">
        <f t="shared" si="155"/>
        <v>0</v>
      </c>
      <c r="AZ311" s="3123">
        <f t="shared" si="156"/>
        <v>0</v>
      </c>
      <c r="BA311" s="3123">
        <f t="shared" si="157"/>
        <v>0</v>
      </c>
      <c r="BB311" s="3123">
        <f t="shared" si="158"/>
        <v>0</v>
      </c>
      <c r="BC311" s="3123">
        <f t="shared" si="159"/>
        <v>0</v>
      </c>
      <c r="BD311" s="3123">
        <f t="shared" si="160"/>
        <v>0</v>
      </c>
      <c r="BE311" s="3123">
        <f t="shared" si="161"/>
        <v>0</v>
      </c>
      <c r="BF311" s="3123">
        <f t="shared" si="162"/>
        <v>0</v>
      </c>
      <c r="BG311" s="3123">
        <f t="shared" si="163"/>
        <v>0</v>
      </c>
      <c r="BH311" s="3123">
        <f t="shared" si="164"/>
        <v>0</v>
      </c>
      <c r="BI311" s="3123">
        <f t="shared" si="165"/>
        <v>0</v>
      </c>
      <c r="BJ311" s="3123">
        <f t="shared" si="166"/>
        <v>0</v>
      </c>
      <c r="BK311" s="3123">
        <f t="shared" si="167"/>
        <v>0</v>
      </c>
      <c r="BL311" s="3123">
        <f t="shared" si="168"/>
        <v>0</v>
      </c>
      <c r="BM311" s="3123">
        <f t="shared" si="169"/>
        <v>0</v>
      </c>
      <c r="BN311" s="3123">
        <f t="shared" si="170"/>
        <v>0</v>
      </c>
      <c r="BO311" s="3123">
        <f t="shared" si="171"/>
        <v>0</v>
      </c>
      <c r="BP311" s="3123">
        <f t="shared" si="172"/>
        <v>0</v>
      </c>
      <c r="BQ311" s="3123">
        <f t="shared" si="173"/>
        <v>0</v>
      </c>
      <c r="BR311" s="3123">
        <f t="shared" si="174"/>
        <v>0</v>
      </c>
      <c r="BS311" s="3123">
        <f t="shared" si="175"/>
        <v>0</v>
      </c>
      <c r="BT311" s="3175">
        <f t="shared" si="176"/>
        <v>0</v>
      </c>
    </row>
    <row r="312" spans="1:72">
      <c r="A312" s="3120"/>
      <c r="B312" s="3121"/>
      <c r="C312" s="3121"/>
      <c r="D312" s="3122"/>
      <c r="E312" s="3123">
        <f t="shared" si="177"/>
        <v>0</v>
      </c>
      <c r="F312" s="3124"/>
      <c r="G312" s="3125">
        <f t="shared" si="152"/>
        <v>0</v>
      </c>
      <c r="H312" s="3126">
        <f t="shared" si="153"/>
        <v>0</v>
      </c>
      <c r="I312" s="3133"/>
      <c r="J312" s="3133"/>
      <c r="K312" s="3133"/>
      <c r="L312" s="3133"/>
      <c r="M312" s="3133"/>
      <c r="N312" s="3133"/>
      <c r="O312" s="3133"/>
      <c r="P312" s="3133"/>
      <c r="Q312" s="3133"/>
      <c r="R312" s="3133"/>
      <c r="S312" s="3133"/>
      <c r="T312" s="3133"/>
      <c r="U312" s="3133"/>
      <c r="V312" s="3133"/>
      <c r="W312" s="3133"/>
      <c r="X312" s="3133"/>
      <c r="Y312" s="3133"/>
      <c r="Z312" s="3133"/>
      <c r="AA312" s="3133"/>
      <c r="AB312" s="3133"/>
      <c r="AC312" s="3123">
        <f t="shared" si="154"/>
        <v>0</v>
      </c>
      <c r="AD312" s="3143"/>
      <c r="AE312" s="3143"/>
      <c r="AF312" s="3143"/>
      <c r="AG312" s="3143"/>
      <c r="AH312" s="3143"/>
      <c r="AI312" s="3143"/>
      <c r="AJ312" s="3143"/>
      <c r="AK312" s="3143"/>
      <c r="AL312" s="3143"/>
      <c r="AM312" s="3143"/>
      <c r="AN312" s="3143"/>
      <c r="AO312" s="3143"/>
      <c r="AP312" s="3143"/>
      <c r="AQ312" s="3143"/>
      <c r="AR312" s="3143"/>
      <c r="AS312" s="3143"/>
      <c r="AT312" s="3153"/>
      <c r="AU312" s="3154"/>
      <c r="AV312" s="270">
        <f t="shared" si="178"/>
        <v>0</v>
      </c>
      <c r="AW312" s="270">
        <f t="shared" si="179"/>
        <v>0</v>
      </c>
      <c r="AX312" s="270">
        <f t="shared" si="180"/>
        <v>0</v>
      </c>
      <c r="AY312" s="3168">
        <f t="shared" si="155"/>
        <v>0</v>
      </c>
      <c r="AZ312" s="3123">
        <f t="shared" si="156"/>
        <v>0</v>
      </c>
      <c r="BA312" s="3123">
        <f t="shared" si="157"/>
        <v>0</v>
      </c>
      <c r="BB312" s="3123">
        <f t="shared" si="158"/>
        <v>0</v>
      </c>
      <c r="BC312" s="3123">
        <f t="shared" si="159"/>
        <v>0</v>
      </c>
      <c r="BD312" s="3123">
        <f t="shared" si="160"/>
        <v>0</v>
      </c>
      <c r="BE312" s="3123">
        <f t="shared" si="161"/>
        <v>0</v>
      </c>
      <c r="BF312" s="3123">
        <f t="shared" si="162"/>
        <v>0</v>
      </c>
      <c r="BG312" s="3123">
        <f t="shared" si="163"/>
        <v>0</v>
      </c>
      <c r="BH312" s="3123">
        <f t="shared" si="164"/>
        <v>0</v>
      </c>
      <c r="BI312" s="3123">
        <f t="shared" si="165"/>
        <v>0</v>
      </c>
      <c r="BJ312" s="3123">
        <f t="shared" si="166"/>
        <v>0</v>
      </c>
      <c r="BK312" s="3123">
        <f t="shared" si="167"/>
        <v>0</v>
      </c>
      <c r="BL312" s="3123">
        <f t="shared" si="168"/>
        <v>0</v>
      </c>
      <c r="BM312" s="3123">
        <f t="shared" si="169"/>
        <v>0</v>
      </c>
      <c r="BN312" s="3123">
        <f t="shared" si="170"/>
        <v>0</v>
      </c>
      <c r="BO312" s="3123">
        <f t="shared" si="171"/>
        <v>0</v>
      </c>
      <c r="BP312" s="3123">
        <f t="shared" si="172"/>
        <v>0</v>
      </c>
      <c r="BQ312" s="3123">
        <f t="shared" si="173"/>
        <v>0</v>
      </c>
      <c r="BR312" s="3123">
        <f t="shared" si="174"/>
        <v>0</v>
      </c>
      <c r="BS312" s="3123">
        <f t="shared" si="175"/>
        <v>0</v>
      </c>
      <c r="BT312" s="3175">
        <f t="shared" si="176"/>
        <v>0</v>
      </c>
    </row>
    <row r="313" spans="1:72">
      <c r="A313" s="3120"/>
      <c r="B313" s="3121"/>
      <c r="C313" s="3121"/>
      <c r="D313" s="3122"/>
      <c r="E313" s="3123">
        <f t="shared" si="177"/>
        <v>0</v>
      </c>
      <c r="F313" s="3124"/>
      <c r="G313" s="3125">
        <f t="shared" si="152"/>
        <v>0</v>
      </c>
      <c r="H313" s="3126">
        <f t="shared" si="153"/>
        <v>0</v>
      </c>
      <c r="I313" s="3133"/>
      <c r="J313" s="3133"/>
      <c r="K313" s="3133"/>
      <c r="L313" s="3133"/>
      <c r="M313" s="3133"/>
      <c r="N313" s="3133"/>
      <c r="O313" s="3133"/>
      <c r="P313" s="3133"/>
      <c r="Q313" s="3133"/>
      <c r="R313" s="3133"/>
      <c r="S313" s="3133"/>
      <c r="T313" s="3133"/>
      <c r="U313" s="3133"/>
      <c r="V313" s="3133"/>
      <c r="W313" s="3133"/>
      <c r="X313" s="3133"/>
      <c r="Y313" s="3133"/>
      <c r="Z313" s="3133"/>
      <c r="AA313" s="3133"/>
      <c r="AB313" s="3133"/>
      <c r="AC313" s="3123">
        <f t="shared" si="154"/>
        <v>0</v>
      </c>
      <c r="AD313" s="3143"/>
      <c r="AE313" s="3143"/>
      <c r="AF313" s="3143"/>
      <c r="AG313" s="3143"/>
      <c r="AH313" s="3143"/>
      <c r="AI313" s="3143"/>
      <c r="AJ313" s="3143"/>
      <c r="AK313" s="3143"/>
      <c r="AL313" s="3143"/>
      <c r="AM313" s="3143"/>
      <c r="AN313" s="3143"/>
      <c r="AO313" s="3143"/>
      <c r="AP313" s="3143"/>
      <c r="AQ313" s="3143"/>
      <c r="AR313" s="3143"/>
      <c r="AS313" s="3143"/>
      <c r="AT313" s="3153"/>
      <c r="AU313" s="3154"/>
      <c r="AV313" s="270">
        <f t="shared" si="178"/>
        <v>0</v>
      </c>
      <c r="AW313" s="270">
        <f t="shared" si="179"/>
        <v>0</v>
      </c>
      <c r="AX313" s="270">
        <f t="shared" si="180"/>
        <v>0</v>
      </c>
      <c r="AY313" s="3168">
        <f t="shared" si="155"/>
        <v>0</v>
      </c>
      <c r="AZ313" s="3123">
        <f t="shared" si="156"/>
        <v>0</v>
      </c>
      <c r="BA313" s="3123">
        <f t="shared" si="157"/>
        <v>0</v>
      </c>
      <c r="BB313" s="3123">
        <f t="shared" si="158"/>
        <v>0</v>
      </c>
      <c r="BC313" s="3123">
        <f t="shared" si="159"/>
        <v>0</v>
      </c>
      <c r="BD313" s="3123">
        <f t="shared" si="160"/>
        <v>0</v>
      </c>
      <c r="BE313" s="3123">
        <f t="shared" si="161"/>
        <v>0</v>
      </c>
      <c r="BF313" s="3123">
        <f t="shared" si="162"/>
        <v>0</v>
      </c>
      <c r="BG313" s="3123">
        <f t="shared" si="163"/>
        <v>0</v>
      </c>
      <c r="BH313" s="3123">
        <f t="shared" si="164"/>
        <v>0</v>
      </c>
      <c r="BI313" s="3123">
        <f t="shared" si="165"/>
        <v>0</v>
      </c>
      <c r="BJ313" s="3123">
        <f t="shared" si="166"/>
        <v>0</v>
      </c>
      <c r="BK313" s="3123">
        <f t="shared" si="167"/>
        <v>0</v>
      </c>
      <c r="BL313" s="3123">
        <f t="shared" si="168"/>
        <v>0</v>
      </c>
      <c r="BM313" s="3123">
        <f t="shared" si="169"/>
        <v>0</v>
      </c>
      <c r="BN313" s="3123">
        <f t="shared" si="170"/>
        <v>0</v>
      </c>
      <c r="BO313" s="3123">
        <f t="shared" si="171"/>
        <v>0</v>
      </c>
      <c r="BP313" s="3123">
        <f t="shared" si="172"/>
        <v>0</v>
      </c>
      <c r="BQ313" s="3123">
        <f t="shared" si="173"/>
        <v>0</v>
      </c>
      <c r="BR313" s="3123">
        <f t="shared" si="174"/>
        <v>0</v>
      </c>
      <c r="BS313" s="3123">
        <f t="shared" si="175"/>
        <v>0</v>
      </c>
      <c r="BT313" s="3175">
        <f t="shared" si="176"/>
        <v>0</v>
      </c>
    </row>
    <row r="314" spans="1:72">
      <c r="A314" s="3120"/>
      <c r="B314" s="3121"/>
      <c r="C314" s="3121"/>
      <c r="D314" s="3122"/>
      <c r="E314" s="3123">
        <f t="shared" si="177"/>
        <v>0</v>
      </c>
      <c r="F314" s="3124"/>
      <c r="G314" s="3125">
        <f t="shared" si="152"/>
        <v>0</v>
      </c>
      <c r="H314" s="3126">
        <f t="shared" si="153"/>
        <v>0</v>
      </c>
      <c r="I314" s="3133"/>
      <c r="J314" s="3133"/>
      <c r="K314" s="3133"/>
      <c r="L314" s="3133"/>
      <c r="M314" s="3133"/>
      <c r="N314" s="3133"/>
      <c r="O314" s="3133"/>
      <c r="P314" s="3133"/>
      <c r="Q314" s="3133"/>
      <c r="R314" s="3133"/>
      <c r="S314" s="3133"/>
      <c r="T314" s="3133"/>
      <c r="U314" s="3133"/>
      <c r="V314" s="3133"/>
      <c r="W314" s="3133"/>
      <c r="X314" s="3133"/>
      <c r="Y314" s="3133"/>
      <c r="Z314" s="3133"/>
      <c r="AA314" s="3133"/>
      <c r="AB314" s="3133"/>
      <c r="AC314" s="3123">
        <f t="shared" si="154"/>
        <v>0</v>
      </c>
      <c r="AD314" s="3143"/>
      <c r="AE314" s="3143"/>
      <c r="AF314" s="3143"/>
      <c r="AG314" s="3143"/>
      <c r="AH314" s="3143"/>
      <c r="AI314" s="3143"/>
      <c r="AJ314" s="3143"/>
      <c r="AK314" s="3143"/>
      <c r="AL314" s="3143"/>
      <c r="AM314" s="3143"/>
      <c r="AN314" s="3143"/>
      <c r="AO314" s="3143"/>
      <c r="AP314" s="3143"/>
      <c r="AQ314" s="3143"/>
      <c r="AR314" s="3143"/>
      <c r="AS314" s="3143"/>
      <c r="AT314" s="3153"/>
      <c r="AU314" s="3154"/>
      <c r="AV314" s="270">
        <f t="shared" si="178"/>
        <v>0</v>
      </c>
      <c r="AW314" s="270">
        <f t="shared" si="179"/>
        <v>0</v>
      </c>
      <c r="AX314" s="270">
        <f t="shared" si="180"/>
        <v>0</v>
      </c>
      <c r="AY314" s="3168">
        <f t="shared" si="155"/>
        <v>0</v>
      </c>
      <c r="AZ314" s="3123">
        <f t="shared" si="156"/>
        <v>0</v>
      </c>
      <c r="BA314" s="3123">
        <f t="shared" si="157"/>
        <v>0</v>
      </c>
      <c r="BB314" s="3123">
        <f t="shared" si="158"/>
        <v>0</v>
      </c>
      <c r="BC314" s="3123">
        <f t="shared" si="159"/>
        <v>0</v>
      </c>
      <c r="BD314" s="3123">
        <f t="shared" si="160"/>
        <v>0</v>
      </c>
      <c r="BE314" s="3123">
        <f t="shared" si="161"/>
        <v>0</v>
      </c>
      <c r="BF314" s="3123">
        <f t="shared" si="162"/>
        <v>0</v>
      </c>
      <c r="BG314" s="3123">
        <f t="shared" si="163"/>
        <v>0</v>
      </c>
      <c r="BH314" s="3123">
        <f t="shared" si="164"/>
        <v>0</v>
      </c>
      <c r="BI314" s="3123">
        <f t="shared" si="165"/>
        <v>0</v>
      </c>
      <c r="BJ314" s="3123">
        <f t="shared" si="166"/>
        <v>0</v>
      </c>
      <c r="BK314" s="3123">
        <f t="shared" si="167"/>
        <v>0</v>
      </c>
      <c r="BL314" s="3123">
        <f t="shared" si="168"/>
        <v>0</v>
      </c>
      <c r="BM314" s="3123">
        <f t="shared" si="169"/>
        <v>0</v>
      </c>
      <c r="BN314" s="3123">
        <f t="shared" si="170"/>
        <v>0</v>
      </c>
      <c r="BO314" s="3123">
        <f t="shared" si="171"/>
        <v>0</v>
      </c>
      <c r="BP314" s="3123">
        <f t="shared" si="172"/>
        <v>0</v>
      </c>
      <c r="BQ314" s="3123">
        <f t="shared" si="173"/>
        <v>0</v>
      </c>
      <c r="BR314" s="3123">
        <f t="shared" si="174"/>
        <v>0</v>
      </c>
      <c r="BS314" s="3123">
        <f t="shared" si="175"/>
        <v>0</v>
      </c>
      <c r="BT314" s="3175">
        <f t="shared" si="176"/>
        <v>0</v>
      </c>
    </row>
    <row r="315" spans="1:72">
      <c r="A315" s="3120"/>
      <c r="B315" s="3121"/>
      <c r="C315" s="3121"/>
      <c r="D315" s="3122"/>
      <c r="E315" s="3123">
        <f t="shared" si="177"/>
        <v>0</v>
      </c>
      <c r="F315" s="3124"/>
      <c r="G315" s="3125">
        <f t="shared" si="152"/>
        <v>0</v>
      </c>
      <c r="H315" s="3126">
        <f t="shared" si="153"/>
        <v>0</v>
      </c>
      <c r="I315" s="3133"/>
      <c r="J315" s="3133"/>
      <c r="K315" s="3133"/>
      <c r="L315" s="3133"/>
      <c r="M315" s="3133"/>
      <c r="N315" s="3133"/>
      <c r="O315" s="3133"/>
      <c r="P315" s="3133"/>
      <c r="Q315" s="3133"/>
      <c r="R315" s="3133"/>
      <c r="S315" s="3133"/>
      <c r="T315" s="3133"/>
      <c r="U315" s="3133"/>
      <c r="V315" s="3133"/>
      <c r="W315" s="3133"/>
      <c r="X315" s="3133"/>
      <c r="Y315" s="3133"/>
      <c r="Z315" s="3133"/>
      <c r="AA315" s="3133"/>
      <c r="AB315" s="3133"/>
      <c r="AC315" s="3123">
        <f t="shared" si="154"/>
        <v>0</v>
      </c>
      <c r="AD315" s="3143"/>
      <c r="AE315" s="3143"/>
      <c r="AF315" s="3143"/>
      <c r="AG315" s="3143"/>
      <c r="AH315" s="3143"/>
      <c r="AI315" s="3143"/>
      <c r="AJ315" s="3143"/>
      <c r="AK315" s="3143"/>
      <c r="AL315" s="3143"/>
      <c r="AM315" s="3143"/>
      <c r="AN315" s="3143"/>
      <c r="AO315" s="3143"/>
      <c r="AP315" s="3143"/>
      <c r="AQ315" s="3143"/>
      <c r="AR315" s="3143"/>
      <c r="AS315" s="3143"/>
      <c r="AT315" s="3153"/>
      <c r="AU315" s="3154"/>
      <c r="AV315" s="270">
        <f t="shared" si="178"/>
        <v>0</v>
      </c>
      <c r="AW315" s="270">
        <f t="shared" si="179"/>
        <v>0</v>
      </c>
      <c r="AX315" s="270">
        <f t="shared" si="180"/>
        <v>0</v>
      </c>
      <c r="AY315" s="3168">
        <f t="shared" si="155"/>
        <v>0</v>
      </c>
      <c r="AZ315" s="3123">
        <f t="shared" si="156"/>
        <v>0</v>
      </c>
      <c r="BA315" s="3123">
        <f t="shared" si="157"/>
        <v>0</v>
      </c>
      <c r="BB315" s="3123">
        <f t="shared" si="158"/>
        <v>0</v>
      </c>
      <c r="BC315" s="3123">
        <f t="shared" si="159"/>
        <v>0</v>
      </c>
      <c r="BD315" s="3123">
        <f t="shared" si="160"/>
        <v>0</v>
      </c>
      <c r="BE315" s="3123">
        <f t="shared" si="161"/>
        <v>0</v>
      </c>
      <c r="BF315" s="3123">
        <f t="shared" si="162"/>
        <v>0</v>
      </c>
      <c r="BG315" s="3123">
        <f t="shared" si="163"/>
        <v>0</v>
      </c>
      <c r="BH315" s="3123">
        <f t="shared" si="164"/>
        <v>0</v>
      </c>
      <c r="BI315" s="3123">
        <f t="shared" si="165"/>
        <v>0</v>
      </c>
      <c r="BJ315" s="3123">
        <f t="shared" si="166"/>
        <v>0</v>
      </c>
      <c r="BK315" s="3123">
        <f t="shared" si="167"/>
        <v>0</v>
      </c>
      <c r="BL315" s="3123">
        <f t="shared" si="168"/>
        <v>0</v>
      </c>
      <c r="BM315" s="3123">
        <f t="shared" si="169"/>
        <v>0</v>
      </c>
      <c r="BN315" s="3123">
        <f t="shared" si="170"/>
        <v>0</v>
      </c>
      <c r="BO315" s="3123">
        <f t="shared" si="171"/>
        <v>0</v>
      </c>
      <c r="BP315" s="3123">
        <f t="shared" si="172"/>
        <v>0</v>
      </c>
      <c r="BQ315" s="3123">
        <f t="shared" si="173"/>
        <v>0</v>
      </c>
      <c r="BR315" s="3123">
        <f t="shared" si="174"/>
        <v>0</v>
      </c>
      <c r="BS315" s="3123">
        <f t="shared" si="175"/>
        <v>0</v>
      </c>
      <c r="BT315" s="3175">
        <f t="shared" si="176"/>
        <v>0</v>
      </c>
    </row>
    <row r="316" spans="1:72">
      <c r="A316" s="3120"/>
      <c r="B316" s="3121"/>
      <c r="C316" s="3121"/>
      <c r="D316" s="3122"/>
      <c r="E316" s="3123">
        <f t="shared" si="177"/>
        <v>0</v>
      </c>
      <c r="F316" s="3124"/>
      <c r="G316" s="3125">
        <f t="shared" si="152"/>
        <v>0</v>
      </c>
      <c r="H316" s="3126">
        <f t="shared" si="153"/>
        <v>0</v>
      </c>
      <c r="I316" s="3133"/>
      <c r="J316" s="3133"/>
      <c r="K316" s="3133"/>
      <c r="L316" s="3133"/>
      <c r="M316" s="3133"/>
      <c r="N316" s="3133"/>
      <c r="O316" s="3133"/>
      <c r="P316" s="3133"/>
      <c r="Q316" s="3133"/>
      <c r="R316" s="3133"/>
      <c r="S316" s="3133"/>
      <c r="T316" s="3133"/>
      <c r="U316" s="3133"/>
      <c r="V316" s="3133"/>
      <c r="W316" s="3133"/>
      <c r="X316" s="3133"/>
      <c r="Y316" s="3133"/>
      <c r="Z316" s="3133"/>
      <c r="AA316" s="3133"/>
      <c r="AB316" s="3133"/>
      <c r="AC316" s="3123">
        <f t="shared" si="154"/>
        <v>0</v>
      </c>
      <c r="AD316" s="3143"/>
      <c r="AE316" s="3143"/>
      <c r="AF316" s="3143"/>
      <c r="AG316" s="3143"/>
      <c r="AH316" s="3143"/>
      <c r="AI316" s="3143"/>
      <c r="AJ316" s="3143"/>
      <c r="AK316" s="3143"/>
      <c r="AL316" s="3143"/>
      <c r="AM316" s="3143"/>
      <c r="AN316" s="3143"/>
      <c r="AO316" s="3143"/>
      <c r="AP316" s="3143"/>
      <c r="AQ316" s="3143"/>
      <c r="AR316" s="3143"/>
      <c r="AS316" s="3143"/>
      <c r="AT316" s="3153"/>
      <c r="AU316" s="3154"/>
      <c r="AV316" s="270">
        <f t="shared" si="178"/>
        <v>0</v>
      </c>
      <c r="AW316" s="270">
        <f t="shared" si="179"/>
        <v>0</v>
      </c>
      <c r="AX316" s="270">
        <f t="shared" si="180"/>
        <v>0</v>
      </c>
      <c r="AY316" s="3168">
        <f t="shared" si="155"/>
        <v>0</v>
      </c>
      <c r="AZ316" s="3123">
        <f t="shared" si="156"/>
        <v>0</v>
      </c>
      <c r="BA316" s="3123">
        <f t="shared" si="157"/>
        <v>0</v>
      </c>
      <c r="BB316" s="3123">
        <f t="shared" si="158"/>
        <v>0</v>
      </c>
      <c r="BC316" s="3123">
        <f t="shared" si="159"/>
        <v>0</v>
      </c>
      <c r="BD316" s="3123">
        <f t="shared" si="160"/>
        <v>0</v>
      </c>
      <c r="BE316" s="3123">
        <f t="shared" si="161"/>
        <v>0</v>
      </c>
      <c r="BF316" s="3123">
        <f t="shared" si="162"/>
        <v>0</v>
      </c>
      <c r="BG316" s="3123">
        <f t="shared" si="163"/>
        <v>0</v>
      </c>
      <c r="BH316" s="3123">
        <f t="shared" si="164"/>
        <v>0</v>
      </c>
      <c r="BI316" s="3123">
        <f t="shared" si="165"/>
        <v>0</v>
      </c>
      <c r="BJ316" s="3123">
        <f t="shared" si="166"/>
        <v>0</v>
      </c>
      <c r="BK316" s="3123">
        <f t="shared" si="167"/>
        <v>0</v>
      </c>
      <c r="BL316" s="3123">
        <f t="shared" si="168"/>
        <v>0</v>
      </c>
      <c r="BM316" s="3123">
        <f t="shared" si="169"/>
        <v>0</v>
      </c>
      <c r="BN316" s="3123">
        <f t="shared" si="170"/>
        <v>0</v>
      </c>
      <c r="BO316" s="3123">
        <f t="shared" si="171"/>
        <v>0</v>
      </c>
      <c r="BP316" s="3123">
        <f t="shared" si="172"/>
        <v>0</v>
      </c>
      <c r="BQ316" s="3123">
        <f t="shared" si="173"/>
        <v>0</v>
      </c>
      <c r="BR316" s="3123">
        <f t="shared" si="174"/>
        <v>0</v>
      </c>
      <c r="BS316" s="3123">
        <f t="shared" si="175"/>
        <v>0</v>
      </c>
      <c r="BT316" s="3175">
        <f t="shared" si="176"/>
        <v>0</v>
      </c>
    </row>
    <row r="317" spans="1:72">
      <c r="A317" s="3120"/>
      <c r="B317" s="3121"/>
      <c r="C317" s="3121"/>
      <c r="D317" s="3122"/>
      <c r="E317" s="3123">
        <f t="shared" si="177"/>
        <v>0</v>
      </c>
      <c r="F317" s="3124"/>
      <c r="G317" s="3125">
        <f t="shared" si="152"/>
        <v>0</v>
      </c>
      <c r="H317" s="3126">
        <f t="shared" si="153"/>
        <v>0</v>
      </c>
      <c r="I317" s="3133"/>
      <c r="J317" s="3133"/>
      <c r="K317" s="3133"/>
      <c r="L317" s="3133"/>
      <c r="M317" s="3133"/>
      <c r="N317" s="3133"/>
      <c r="O317" s="3133"/>
      <c r="P317" s="3133"/>
      <c r="Q317" s="3133"/>
      <c r="R317" s="3133"/>
      <c r="S317" s="3133"/>
      <c r="T317" s="3133"/>
      <c r="U317" s="3133"/>
      <c r="V317" s="3133"/>
      <c r="W317" s="3133"/>
      <c r="X317" s="3133"/>
      <c r="Y317" s="3133"/>
      <c r="Z317" s="3133"/>
      <c r="AA317" s="3133"/>
      <c r="AB317" s="3133"/>
      <c r="AC317" s="3123">
        <f t="shared" si="154"/>
        <v>0</v>
      </c>
      <c r="AD317" s="3143"/>
      <c r="AE317" s="3143"/>
      <c r="AF317" s="3143"/>
      <c r="AG317" s="3143"/>
      <c r="AH317" s="3143"/>
      <c r="AI317" s="3143"/>
      <c r="AJ317" s="3143"/>
      <c r="AK317" s="3143"/>
      <c r="AL317" s="3143"/>
      <c r="AM317" s="3143"/>
      <c r="AN317" s="3143"/>
      <c r="AO317" s="3143"/>
      <c r="AP317" s="3143"/>
      <c r="AQ317" s="3143"/>
      <c r="AR317" s="3143"/>
      <c r="AS317" s="3143"/>
      <c r="AT317" s="3153"/>
      <c r="AU317" s="3154"/>
      <c r="AV317" s="270">
        <f t="shared" si="178"/>
        <v>0</v>
      </c>
      <c r="AW317" s="270">
        <f t="shared" si="179"/>
        <v>0</v>
      </c>
      <c r="AX317" s="270">
        <f t="shared" si="180"/>
        <v>0</v>
      </c>
      <c r="AY317" s="3168">
        <f t="shared" si="155"/>
        <v>0</v>
      </c>
      <c r="AZ317" s="3123">
        <f t="shared" si="156"/>
        <v>0</v>
      </c>
      <c r="BA317" s="3123">
        <f t="shared" si="157"/>
        <v>0</v>
      </c>
      <c r="BB317" s="3123">
        <f t="shared" si="158"/>
        <v>0</v>
      </c>
      <c r="BC317" s="3123">
        <f t="shared" si="159"/>
        <v>0</v>
      </c>
      <c r="BD317" s="3123">
        <f t="shared" si="160"/>
        <v>0</v>
      </c>
      <c r="BE317" s="3123">
        <f t="shared" si="161"/>
        <v>0</v>
      </c>
      <c r="BF317" s="3123">
        <f t="shared" si="162"/>
        <v>0</v>
      </c>
      <c r="BG317" s="3123">
        <f t="shared" si="163"/>
        <v>0</v>
      </c>
      <c r="BH317" s="3123">
        <f t="shared" si="164"/>
        <v>0</v>
      </c>
      <c r="BI317" s="3123">
        <f t="shared" si="165"/>
        <v>0</v>
      </c>
      <c r="BJ317" s="3123">
        <f t="shared" si="166"/>
        <v>0</v>
      </c>
      <c r="BK317" s="3123">
        <f t="shared" si="167"/>
        <v>0</v>
      </c>
      <c r="BL317" s="3123">
        <f t="shared" si="168"/>
        <v>0</v>
      </c>
      <c r="BM317" s="3123">
        <f t="shared" si="169"/>
        <v>0</v>
      </c>
      <c r="BN317" s="3123">
        <f t="shared" si="170"/>
        <v>0</v>
      </c>
      <c r="BO317" s="3123">
        <f t="shared" si="171"/>
        <v>0</v>
      </c>
      <c r="BP317" s="3123">
        <f t="shared" si="172"/>
        <v>0</v>
      </c>
      <c r="BQ317" s="3123">
        <f t="shared" si="173"/>
        <v>0</v>
      </c>
      <c r="BR317" s="3123">
        <f t="shared" si="174"/>
        <v>0</v>
      </c>
      <c r="BS317" s="3123">
        <f t="shared" si="175"/>
        <v>0</v>
      </c>
      <c r="BT317" s="3175">
        <f t="shared" si="176"/>
        <v>0</v>
      </c>
    </row>
    <row r="318" spans="1:72">
      <c r="A318" s="3120"/>
      <c r="B318" s="3121"/>
      <c r="C318" s="3121"/>
      <c r="D318" s="3122"/>
      <c r="E318" s="3123">
        <f t="shared" si="177"/>
        <v>0</v>
      </c>
      <c r="F318" s="3124"/>
      <c r="G318" s="3125">
        <f t="shared" si="152"/>
        <v>0</v>
      </c>
      <c r="H318" s="3126">
        <f t="shared" si="153"/>
        <v>0</v>
      </c>
      <c r="I318" s="3133"/>
      <c r="J318" s="3133"/>
      <c r="K318" s="3133"/>
      <c r="L318" s="3133"/>
      <c r="M318" s="3133"/>
      <c r="N318" s="3133"/>
      <c r="O318" s="3133"/>
      <c r="P318" s="3133"/>
      <c r="Q318" s="3133"/>
      <c r="R318" s="3133"/>
      <c r="S318" s="3133"/>
      <c r="T318" s="3133"/>
      <c r="U318" s="3133"/>
      <c r="V318" s="3133"/>
      <c r="W318" s="3133"/>
      <c r="X318" s="3133"/>
      <c r="Y318" s="3133"/>
      <c r="Z318" s="3133"/>
      <c r="AA318" s="3133"/>
      <c r="AB318" s="3133"/>
      <c r="AC318" s="3123">
        <f t="shared" si="154"/>
        <v>0</v>
      </c>
      <c r="AD318" s="3143"/>
      <c r="AE318" s="3143"/>
      <c r="AF318" s="3143"/>
      <c r="AG318" s="3143"/>
      <c r="AH318" s="3143"/>
      <c r="AI318" s="3143"/>
      <c r="AJ318" s="3143"/>
      <c r="AK318" s="3143"/>
      <c r="AL318" s="3143"/>
      <c r="AM318" s="3143"/>
      <c r="AN318" s="3143"/>
      <c r="AO318" s="3143"/>
      <c r="AP318" s="3143"/>
      <c r="AQ318" s="3143"/>
      <c r="AR318" s="3143"/>
      <c r="AS318" s="3143"/>
      <c r="AT318" s="3153"/>
      <c r="AU318" s="3154"/>
      <c r="AV318" s="270">
        <f t="shared" si="178"/>
        <v>0</v>
      </c>
      <c r="AW318" s="270">
        <f t="shared" si="179"/>
        <v>0</v>
      </c>
      <c r="AX318" s="270">
        <f t="shared" si="180"/>
        <v>0</v>
      </c>
      <c r="AY318" s="3168">
        <f t="shared" si="155"/>
        <v>0</v>
      </c>
      <c r="AZ318" s="3123">
        <f t="shared" si="156"/>
        <v>0</v>
      </c>
      <c r="BA318" s="3123">
        <f t="shared" si="157"/>
        <v>0</v>
      </c>
      <c r="BB318" s="3123">
        <f t="shared" si="158"/>
        <v>0</v>
      </c>
      <c r="BC318" s="3123">
        <f t="shared" si="159"/>
        <v>0</v>
      </c>
      <c r="BD318" s="3123">
        <f t="shared" si="160"/>
        <v>0</v>
      </c>
      <c r="BE318" s="3123">
        <f t="shared" si="161"/>
        <v>0</v>
      </c>
      <c r="BF318" s="3123">
        <f t="shared" si="162"/>
        <v>0</v>
      </c>
      <c r="BG318" s="3123">
        <f t="shared" si="163"/>
        <v>0</v>
      </c>
      <c r="BH318" s="3123">
        <f t="shared" si="164"/>
        <v>0</v>
      </c>
      <c r="BI318" s="3123">
        <f t="shared" si="165"/>
        <v>0</v>
      </c>
      <c r="BJ318" s="3123">
        <f t="shared" si="166"/>
        <v>0</v>
      </c>
      <c r="BK318" s="3123">
        <f t="shared" si="167"/>
        <v>0</v>
      </c>
      <c r="BL318" s="3123">
        <f t="shared" si="168"/>
        <v>0</v>
      </c>
      <c r="BM318" s="3123">
        <f t="shared" si="169"/>
        <v>0</v>
      </c>
      <c r="BN318" s="3123">
        <f t="shared" si="170"/>
        <v>0</v>
      </c>
      <c r="BO318" s="3123">
        <f t="shared" si="171"/>
        <v>0</v>
      </c>
      <c r="BP318" s="3123">
        <f t="shared" si="172"/>
        <v>0</v>
      </c>
      <c r="BQ318" s="3123">
        <f t="shared" si="173"/>
        <v>0</v>
      </c>
      <c r="BR318" s="3123">
        <f t="shared" si="174"/>
        <v>0</v>
      </c>
      <c r="BS318" s="3123">
        <f t="shared" si="175"/>
        <v>0</v>
      </c>
      <c r="BT318" s="3175">
        <f t="shared" si="176"/>
        <v>0</v>
      </c>
    </row>
    <row r="319" spans="1:72">
      <c r="A319" s="3120"/>
      <c r="B319" s="3121"/>
      <c r="C319" s="3121"/>
      <c r="D319" s="3122"/>
      <c r="E319" s="3123">
        <f t="shared" si="177"/>
        <v>0</v>
      </c>
      <c r="F319" s="3124"/>
      <c r="G319" s="3125">
        <f t="shared" si="152"/>
        <v>0</v>
      </c>
      <c r="H319" s="3126">
        <f t="shared" si="153"/>
        <v>0</v>
      </c>
      <c r="I319" s="3133"/>
      <c r="J319" s="3133"/>
      <c r="K319" s="3133"/>
      <c r="L319" s="3133"/>
      <c r="M319" s="3133"/>
      <c r="N319" s="3133"/>
      <c r="O319" s="3133"/>
      <c r="P319" s="3133"/>
      <c r="Q319" s="3133"/>
      <c r="R319" s="3133"/>
      <c r="S319" s="3133"/>
      <c r="T319" s="3133"/>
      <c r="U319" s="3133"/>
      <c r="V319" s="3133"/>
      <c r="W319" s="3133"/>
      <c r="X319" s="3133"/>
      <c r="Y319" s="3133"/>
      <c r="Z319" s="3133"/>
      <c r="AA319" s="3133"/>
      <c r="AB319" s="3133"/>
      <c r="AC319" s="3123">
        <f t="shared" si="154"/>
        <v>0</v>
      </c>
      <c r="AD319" s="3143"/>
      <c r="AE319" s="3143"/>
      <c r="AF319" s="3143"/>
      <c r="AG319" s="3143"/>
      <c r="AH319" s="3143"/>
      <c r="AI319" s="3143"/>
      <c r="AJ319" s="3143"/>
      <c r="AK319" s="3143"/>
      <c r="AL319" s="3143"/>
      <c r="AM319" s="3143"/>
      <c r="AN319" s="3143"/>
      <c r="AO319" s="3143"/>
      <c r="AP319" s="3143"/>
      <c r="AQ319" s="3143"/>
      <c r="AR319" s="3143"/>
      <c r="AS319" s="3143"/>
      <c r="AT319" s="3153"/>
      <c r="AU319" s="3154"/>
      <c r="AV319" s="270">
        <f t="shared" si="178"/>
        <v>0</v>
      </c>
      <c r="AW319" s="270">
        <f t="shared" si="179"/>
        <v>0</v>
      </c>
      <c r="AX319" s="270">
        <f t="shared" si="180"/>
        <v>0</v>
      </c>
      <c r="AY319" s="3168">
        <f t="shared" si="155"/>
        <v>0</v>
      </c>
      <c r="AZ319" s="3123">
        <f t="shared" si="156"/>
        <v>0</v>
      </c>
      <c r="BA319" s="3123">
        <f t="shared" si="157"/>
        <v>0</v>
      </c>
      <c r="BB319" s="3123">
        <f t="shared" si="158"/>
        <v>0</v>
      </c>
      <c r="BC319" s="3123">
        <f t="shared" si="159"/>
        <v>0</v>
      </c>
      <c r="BD319" s="3123">
        <f t="shared" si="160"/>
        <v>0</v>
      </c>
      <c r="BE319" s="3123">
        <f t="shared" si="161"/>
        <v>0</v>
      </c>
      <c r="BF319" s="3123">
        <f t="shared" si="162"/>
        <v>0</v>
      </c>
      <c r="BG319" s="3123">
        <f t="shared" si="163"/>
        <v>0</v>
      </c>
      <c r="BH319" s="3123">
        <f t="shared" si="164"/>
        <v>0</v>
      </c>
      <c r="BI319" s="3123">
        <f t="shared" si="165"/>
        <v>0</v>
      </c>
      <c r="BJ319" s="3123">
        <f t="shared" si="166"/>
        <v>0</v>
      </c>
      <c r="BK319" s="3123">
        <f t="shared" si="167"/>
        <v>0</v>
      </c>
      <c r="BL319" s="3123">
        <f t="shared" si="168"/>
        <v>0</v>
      </c>
      <c r="BM319" s="3123">
        <f t="shared" si="169"/>
        <v>0</v>
      </c>
      <c r="BN319" s="3123">
        <f t="shared" si="170"/>
        <v>0</v>
      </c>
      <c r="BO319" s="3123">
        <f t="shared" si="171"/>
        <v>0</v>
      </c>
      <c r="BP319" s="3123">
        <f t="shared" si="172"/>
        <v>0</v>
      </c>
      <c r="BQ319" s="3123">
        <f t="shared" si="173"/>
        <v>0</v>
      </c>
      <c r="BR319" s="3123">
        <f t="shared" si="174"/>
        <v>0</v>
      </c>
      <c r="BS319" s="3123">
        <f t="shared" si="175"/>
        <v>0</v>
      </c>
      <c r="BT319" s="3175">
        <f t="shared" si="176"/>
        <v>0</v>
      </c>
    </row>
    <row r="320" spans="1:72">
      <c r="A320" s="3120"/>
      <c r="B320" s="3121"/>
      <c r="C320" s="3121"/>
      <c r="D320" s="3122"/>
      <c r="E320" s="3123">
        <f t="shared" si="177"/>
        <v>0</v>
      </c>
      <c r="F320" s="3124"/>
      <c r="G320" s="3125">
        <f t="shared" si="152"/>
        <v>0</v>
      </c>
      <c r="H320" s="3126">
        <f t="shared" si="153"/>
        <v>0</v>
      </c>
      <c r="I320" s="3133"/>
      <c r="J320" s="3133"/>
      <c r="K320" s="3133"/>
      <c r="L320" s="3133"/>
      <c r="M320" s="3133"/>
      <c r="N320" s="3133"/>
      <c r="O320" s="3133"/>
      <c r="P320" s="3133"/>
      <c r="Q320" s="3133"/>
      <c r="R320" s="3133"/>
      <c r="S320" s="3133"/>
      <c r="T320" s="3133"/>
      <c r="U320" s="3133"/>
      <c r="V320" s="3133"/>
      <c r="W320" s="3133"/>
      <c r="X320" s="3133"/>
      <c r="Y320" s="3133"/>
      <c r="Z320" s="3133"/>
      <c r="AA320" s="3133"/>
      <c r="AB320" s="3133"/>
      <c r="AC320" s="3123">
        <f t="shared" si="154"/>
        <v>0</v>
      </c>
      <c r="AD320" s="3143"/>
      <c r="AE320" s="3143"/>
      <c r="AF320" s="3143"/>
      <c r="AG320" s="3143"/>
      <c r="AH320" s="3143"/>
      <c r="AI320" s="3143"/>
      <c r="AJ320" s="3143"/>
      <c r="AK320" s="3143"/>
      <c r="AL320" s="3143"/>
      <c r="AM320" s="3143"/>
      <c r="AN320" s="3143"/>
      <c r="AO320" s="3143"/>
      <c r="AP320" s="3143"/>
      <c r="AQ320" s="3143"/>
      <c r="AR320" s="3143"/>
      <c r="AS320" s="3143"/>
      <c r="AT320" s="3153"/>
      <c r="AU320" s="3154"/>
      <c r="AV320" s="270">
        <f t="shared" si="178"/>
        <v>0</v>
      </c>
      <c r="AW320" s="270">
        <f t="shared" si="179"/>
        <v>0</v>
      </c>
      <c r="AX320" s="270">
        <f t="shared" si="180"/>
        <v>0</v>
      </c>
      <c r="AY320" s="3168">
        <f t="shared" si="155"/>
        <v>0</v>
      </c>
      <c r="AZ320" s="3123">
        <f t="shared" si="156"/>
        <v>0</v>
      </c>
      <c r="BA320" s="3123">
        <f t="shared" si="157"/>
        <v>0</v>
      </c>
      <c r="BB320" s="3123">
        <f t="shared" si="158"/>
        <v>0</v>
      </c>
      <c r="BC320" s="3123">
        <f t="shared" si="159"/>
        <v>0</v>
      </c>
      <c r="BD320" s="3123">
        <f t="shared" si="160"/>
        <v>0</v>
      </c>
      <c r="BE320" s="3123">
        <f t="shared" si="161"/>
        <v>0</v>
      </c>
      <c r="BF320" s="3123">
        <f t="shared" si="162"/>
        <v>0</v>
      </c>
      <c r="BG320" s="3123">
        <f t="shared" si="163"/>
        <v>0</v>
      </c>
      <c r="BH320" s="3123">
        <f t="shared" si="164"/>
        <v>0</v>
      </c>
      <c r="BI320" s="3123">
        <f t="shared" si="165"/>
        <v>0</v>
      </c>
      <c r="BJ320" s="3123">
        <f t="shared" si="166"/>
        <v>0</v>
      </c>
      <c r="BK320" s="3123">
        <f t="shared" si="167"/>
        <v>0</v>
      </c>
      <c r="BL320" s="3123">
        <f t="shared" si="168"/>
        <v>0</v>
      </c>
      <c r="BM320" s="3123">
        <f t="shared" si="169"/>
        <v>0</v>
      </c>
      <c r="BN320" s="3123">
        <f t="shared" si="170"/>
        <v>0</v>
      </c>
      <c r="BO320" s="3123">
        <f t="shared" si="171"/>
        <v>0</v>
      </c>
      <c r="BP320" s="3123">
        <f t="shared" si="172"/>
        <v>0</v>
      </c>
      <c r="BQ320" s="3123">
        <f t="shared" si="173"/>
        <v>0</v>
      </c>
      <c r="BR320" s="3123">
        <f t="shared" si="174"/>
        <v>0</v>
      </c>
      <c r="BS320" s="3123">
        <f t="shared" si="175"/>
        <v>0</v>
      </c>
      <c r="BT320" s="3175">
        <f t="shared" si="176"/>
        <v>0</v>
      </c>
    </row>
    <row r="321" spans="1:72">
      <c r="A321" s="3120"/>
      <c r="B321" s="3121"/>
      <c r="C321" s="3121"/>
      <c r="D321" s="3122"/>
      <c r="E321" s="3123">
        <f t="shared" si="177"/>
        <v>0</v>
      </c>
      <c r="F321" s="3124"/>
      <c r="G321" s="3125">
        <f t="shared" si="152"/>
        <v>0</v>
      </c>
      <c r="H321" s="3126">
        <f t="shared" si="153"/>
        <v>0</v>
      </c>
      <c r="I321" s="3133"/>
      <c r="J321" s="3133"/>
      <c r="K321" s="3133"/>
      <c r="L321" s="3133"/>
      <c r="M321" s="3133"/>
      <c r="N321" s="3133"/>
      <c r="O321" s="3133"/>
      <c r="P321" s="3133"/>
      <c r="Q321" s="3133"/>
      <c r="R321" s="3133"/>
      <c r="S321" s="3133"/>
      <c r="T321" s="3133"/>
      <c r="U321" s="3133"/>
      <c r="V321" s="3133"/>
      <c r="W321" s="3133"/>
      <c r="X321" s="3133"/>
      <c r="Y321" s="3133"/>
      <c r="Z321" s="3133"/>
      <c r="AA321" s="3133"/>
      <c r="AB321" s="3133"/>
      <c r="AC321" s="3123">
        <f t="shared" si="154"/>
        <v>0</v>
      </c>
      <c r="AD321" s="3143"/>
      <c r="AE321" s="3143"/>
      <c r="AF321" s="3143"/>
      <c r="AG321" s="3143"/>
      <c r="AH321" s="3143"/>
      <c r="AI321" s="3143"/>
      <c r="AJ321" s="3143"/>
      <c r="AK321" s="3143"/>
      <c r="AL321" s="3143"/>
      <c r="AM321" s="3143"/>
      <c r="AN321" s="3143"/>
      <c r="AO321" s="3143"/>
      <c r="AP321" s="3143"/>
      <c r="AQ321" s="3143"/>
      <c r="AR321" s="3143"/>
      <c r="AS321" s="3143"/>
      <c r="AT321" s="3153"/>
      <c r="AU321" s="3154"/>
      <c r="AV321" s="270">
        <f t="shared" si="178"/>
        <v>0</v>
      </c>
      <c r="AW321" s="270">
        <f t="shared" si="179"/>
        <v>0</v>
      </c>
      <c r="AX321" s="270">
        <f t="shared" si="180"/>
        <v>0</v>
      </c>
      <c r="AY321" s="3168">
        <f t="shared" si="155"/>
        <v>0</v>
      </c>
      <c r="AZ321" s="3123">
        <f t="shared" si="156"/>
        <v>0</v>
      </c>
      <c r="BA321" s="3123">
        <f t="shared" si="157"/>
        <v>0</v>
      </c>
      <c r="BB321" s="3123">
        <f t="shared" si="158"/>
        <v>0</v>
      </c>
      <c r="BC321" s="3123">
        <f t="shared" si="159"/>
        <v>0</v>
      </c>
      <c r="BD321" s="3123">
        <f t="shared" si="160"/>
        <v>0</v>
      </c>
      <c r="BE321" s="3123">
        <f t="shared" si="161"/>
        <v>0</v>
      </c>
      <c r="BF321" s="3123">
        <f t="shared" si="162"/>
        <v>0</v>
      </c>
      <c r="BG321" s="3123">
        <f t="shared" si="163"/>
        <v>0</v>
      </c>
      <c r="BH321" s="3123">
        <f t="shared" si="164"/>
        <v>0</v>
      </c>
      <c r="BI321" s="3123">
        <f t="shared" si="165"/>
        <v>0</v>
      </c>
      <c r="BJ321" s="3123">
        <f t="shared" si="166"/>
        <v>0</v>
      </c>
      <c r="BK321" s="3123">
        <f t="shared" si="167"/>
        <v>0</v>
      </c>
      <c r="BL321" s="3123">
        <f t="shared" si="168"/>
        <v>0</v>
      </c>
      <c r="BM321" s="3123">
        <f t="shared" si="169"/>
        <v>0</v>
      </c>
      <c r="BN321" s="3123">
        <f t="shared" si="170"/>
        <v>0</v>
      </c>
      <c r="BO321" s="3123">
        <f t="shared" si="171"/>
        <v>0</v>
      </c>
      <c r="BP321" s="3123">
        <f t="shared" si="172"/>
        <v>0</v>
      </c>
      <c r="BQ321" s="3123">
        <f t="shared" si="173"/>
        <v>0</v>
      </c>
      <c r="BR321" s="3123">
        <f t="shared" si="174"/>
        <v>0</v>
      </c>
      <c r="BS321" s="3123">
        <f t="shared" si="175"/>
        <v>0</v>
      </c>
      <c r="BT321" s="3175">
        <f t="shared" si="176"/>
        <v>0</v>
      </c>
    </row>
    <row r="322" spans="1:72">
      <c r="A322" s="3120"/>
      <c r="B322" s="3121"/>
      <c r="C322" s="3121"/>
      <c r="D322" s="3122"/>
      <c r="E322" s="3123">
        <f t="shared" si="177"/>
        <v>0</v>
      </c>
      <c r="F322" s="3124"/>
      <c r="G322" s="3125">
        <f t="shared" si="152"/>
        <v>0</v>
      </c>
      <c r="H322" s="3126">
        <f t="shared" si="153"/>
        <v>0</v>
      </c>
      <c r="I322" s="3133"/>
      <c r="J322" s="3133"/>
      <c r="K322" s="3133"/>
      <c r="L322" s="3133"/>
      <c r="M322" s="3133"/>
      <c r="N322" s="3133"/>
      <c r="O322" s="3133"/>
      <c r="P322" s="3133"/>
      <c r="Q322" s="3133"/>
      <c r="R322" s="3133"/>
      <c r="S322" s="3133"/>
      <c r="T322" s="3133"/>
      <c r="U322" s="3133"/>
      <c r="V322" s="3133"/>
      <c r="W322" s="3133"/>
      <c r="X322" s="3133"/>
      <c r="Y322" s="3133"/>
      <c r="Z322" s="3133"/>
      <c r="AA322" s="3133"/>
      <c r="AB322" s="3133"/>
      <c r="AC322" s="3123">
        <f t="shared" si="154"/>
        <v>0</v>
      </c>
      <c r="AD322" s="3143"/>
      <c r="AE322" s="3143"/>
      <c r="AF322" s="3143"/>
      <c r="AG322" s="3143"/>
      <c r="AH322" s="3143"/>
      <c r="AI322" s="3143"/>
      <c r="AJ322" s="3143"/>
      <c r="AK322" s="3143"/>
      <c r="AL322" s="3143"/>
      <c r="AM322" s="3143"/>
      <c r="AN322" s="3143"/>
      <c r="AO322" s="3143"/>
      <c r="AP322" s="3143"/>
      <c r="AQ322" s="3143"/>
      <c r="AR322" s="3143"/>
      <c r="AS322" s="3143"/>
      <c r="AT322" s="3153"/>
      <c r="AU322" s="3154"/>
      <c r="AV322" s="270">
        <f t="shared" si="178"/>
        <v>0</v>
      </c>
      <c r="AW322" s="270">
        <f t="shared" si="179"/>
        <v>0</v>
      </c>
      <c r="AX322" s="270">
        <f t="shared" si="180"/>
        <v>0</v>
      </c>
      <c r="AY322" s="3168">
        <f t="shared" si="155"/>
        <v>0</v>
      </c>
      <c r="AZ322" s="3123">
        <f t="shared" si="156"/>
        <v>0</v>
      </c>
      <c r="BA322" s="3123">
        <f t="shared" si="157"/>
        <v>0</v>
      </c>
      <c r="BB322" s="3123">
        <f t="shared" si="158"/>
        <v>0</v>
      </c>
      <c r="BC322" s="3123">
        <f t="shared" si="159"/>
        <v>0</v>
      </c>
      <c r="BD322" s="3123">
        <f t="shared" si="160"/>
        <v>0</v>
      </c>
      <c r="BE322" s="3123">
        <f t="shared" si="161"/>
        <v>0</v>
      </c>
      <c r="BF322" s="3123">
        <f t="shared" si="162"/>
        <v>0</v>
      </c>
      <c r="BG322" s="3123">
        <f t="shared" si="163"/>
        <v>0</v>
      </c>
      <c r="BH322" s="3123">
        <f t="shared" si="164"/>
        <v>0</v>
      </c>
      <c r="BI322" s="3123">
        <f t="shared" si="165"/>
        <v>0</v>
      </c>
      <c r="BJ322" s="3123">
        <f t="shared" si="166"/>
        <v>0</v>
      </c>
      <c r="BK322" s="3123">
        <f t="shared" si="167"/>
        <v>0</v>
      </c>
      <c r="BL322" s="3123">
        <f t="shared" si="168"/>
        <v>0</v>
      </c>
      <c r="BM322" s="3123">
        <f t="shared" si="169"/>
        <v>0</v>
      </c>
      <c r="BN322" s="3123">
        <f t="shared" si="170"/>
        <v>0</v>
      </c>
      <c r="BO322" s="3123">
        <f t="shared" si="171"/>
        <v>0</v>
      </c>
      <c r="BP322" s="3123">
        <f t="shared" si="172"/>
        <v>0</v>
      </c>
      <c r="BQ322" s="3123">
        <f t="shared" si="173"/>
        <v>0</v>
      </c>
      <c r="BR322" s="3123">
        <f t="shared" si="174"/>
        <v>0</v>
      </c>
      <c r="BS322" s="3123">
        <f t="shared" si="175"/>
        <v>0</v>
      </c>
      <c r="BT322" s="3175">
        <f t="shared" si="176"/>
        <v>0</v>
      </c>
    </row>
    <row r="323" spans="1:72">
      <c r="A323" s="3120"/>
      <c r="B323" s="3121"/>
      <c r="C323" s="3121"/>
      <c r="D323" s="3122"/>
      <c r="E323" s="3123">
        <f t="shared" si="177"/>
        <v>0</v>
      </c>
      <c r="F323" s="3124"/>
      <c r="G323" s="3125">
        <f t="shared" si="152"/>
        <v>0</v>
      </c>
      <c r="H323" s="3126">
        <f t="shared" si="153"/>
        <v>0</v>
      </c>
      <c r="I323" s="3133"/>
      <c r="J323" s="3133"/>
      <c r="K323" s="3133"/>
      <c r="L323" s="3133"/>
      <c r="M323" s="3133"/>
      <c r="N323" s="3133"/>
      <c r="O323" s="3133"/>
      <c r="P323" s="3133"/>
      <c r="Q323" s="3133"/>
      <c r="R323" s="3133"/>
      <c r="S323" s="3133"/>
      <c r="T323" s="3133"/>
      <c r="U323" s="3133"/>
      <c r="V323" s="3133"/>
      <c r="W323" s="3133"/>
      <c r="X323" s="3133"/>
      <c r="Y323" s="3133"/>
      <c r="Z323" s="3133"/>
      <c r="AA323" s="3133"/>
      <c r="AB323" s="3133"/>
      <c r="AC323" s="3123">
        <f t="shared" si="154"/>
        <v>0</v>
      </c>
      <c r="AD323" s="3143"/>
      <c r="AE323" s="3143"/>
      <c r="AF323" s="3143"/>
      <c r="AG323" s="3143"/>
      <c r="AH323" s="3143"/>
      <c r="AI323" s="3143"/>
      <c r="AJ323" s="3143"/>
      <c r="AK323" s="3143"/>
      <c r="AL323" s="3143"/>
      <c r="AM323" s="3143"/>
      <c r="AN323" s="3143"/>
      <c r="AO323" s="3143"/>
      <c r="AP323" s="3143"/>
      <c r="AQ323" s="3143"/>
      <c r="AR323" s="3143"/>
      <c r="AS323" s="3143"/>
      <c r="AT323" s="3153"/>
      <c r="AU323" s="3154"/>
      <c r="AV323" s="270">
        <f t="shared" si="178"/>
        <v>0</v>
      </c>
      <c r="AW323" s="270">
        <f t="shared" si="179"/>
        <v>0</v>
      </c>
      <c r="AX323" s="270">
        <f t="shared" si="180"/>
        <v>0</v>
      </c>
      <c r="AY323" s="3168">
        <f t="shared" si="155"/>
        <v>0</v>
      </c>
      <c r="AZ323" s="3123">
        <f t="shared" si="156"/>
        <v>0</v>
      </c>
      <c r="BA323" s="3123">
        <f t="shared" si="157"/>
        <v>0</v>
      </c>
      <c r="BB323" s="3123">
        <f t="shared" si="158"/>
        <v>0</v>
      </c>
      <c r="BC323" s="3123">
        <f t="shared" si="159"/>
        <v>0</v>
      </c>
      <c r="BD323" s="3123">
        <f t="shared" si="160"/>
        <v>0</v>
      </c>
      <c r="BE323" s="3123">
        <f t="shared" si="161"/>
        <v>0</v>
      </c>
      <c r="BF323" s="3123">
        <f t="shared" si="162"/>
        <v>0</v>
      </c>
      <c r="BG323" s="3123">
        <f t="shared" si="163"/>
        <v>0</v>
      </c>
      <c r="BH323" s="3123">
        <f t="shared" si="164"/>
        <v>0</v>
      </c>
      <c r="BI323" s="3123">
        <f t="shared" si="165"/>
        <v>0</v>
      </c>
      <c r="BJ323" s="3123">
        <f t="shared" si="166"/>
        <v>0</v>
      </c>
      <c r="BK323" s="3123">
        <f t="shared" si="167"/>
        <v>0</v>
      </c>
      <c r="BL323" s="3123">
        <f t="shared" si="168"/>
        <v>0</v>
      </c>
      <c r="BM323" s="3123">
        <f t="shared" si="169"/>
        <v>0</v>
      </c>
      <c r="BN323" s="3123">
        <f t="shared" si="170"/>
        <v>0</v>
      </c>
      <c r="BO323" s="3123">
        <f t="shared" si="171"/>
        <v>0</v>
      </c>
      <c r="BP323" s="3123">
        <f t="shared" si="172"/>
        <v>0</v>
      </c>
      <c r="BQ323" s="3123">
        <f t="shared" si="173"/>
        <v>0</v>
      </c>
      <c r="BR323" s="3123">
        <f t="shared" si="174"/>
        <v>0</v>
      </c>
      <c r="BS323" s="3123">
        <f t="shared" si="175"/>
        <v>0</v>
      </c>
      <c r="BT323" s="3175">
        <f t="shared" si="176"/>
        <v>0</v>
      </c>
    </row>
    <row r="324" spans="1:72">
      <c r="A324" s="3120"/>
      <c r="B324" s="3121"/>
      <c r="C324" s="3121"/>
      <c r="D324" s="3122"/>
      <c r="E324" s="3123">
        <f t="shared" si="177"/>
        <v>0</v>
      </c>
      <c r="F324" s="3124"/>
      <c r="G324" s="3125">
        <f t="shared" si="152"/>
        <v>0</v>
      </c>
      <c r="H324" s="3126">
        <f t="shared" si="153"/>
        <v>0</v>
      </c>
      <c r="I324" s="3133"/>
      <c r="J324" s="3133"/>
      <c r="K324" s="3133"/>
      <c r="L324" s="3133"/>
      <c r="M324" s="3133"/>
      <c r="N324" s="3133"/>
      <c r="O324" s="3133"/>
      <c r="P324" s="3133"/>
      <c r="Q324" s="3133"/>
      <c r="R324" s="3133"/>
      <c r="S324" s="3133"/>
      <c r="T324" s="3133"/>
      <c r="U324" s="3133"/>
      <c r="V324" s="3133"/>
      <c r="W324" s="3133"/>
      <c r="X324" s="3133"/>
      <c r="Y324" s="3133"/>
      <c r="Z324" s="3133"/>
      <c r="AA324" s="3133"/>
      <c r="AB324" s="3133"/>
      <c r="AC324" s="3123">
        <f t="shared" si="154"/>
        <v>0</v>
      </c>
      <c r="AD324" s="3143"/>
      <c r="AE324" s="3143"/>
      <c r="AF324" s="3143"/>
      <c r="AG324" s="3143"/>
      <c r="AH324" s="3143"/>
      <c r="AI324" s="3143"/>
      <c r="AJ324" s="3143"/>
      <c r="AK324" s="3143"/>
      <c r="AL324" s="3143"/>
      <c r="AM324" s="3143"/>
      <c r="AN324" s="3143"/>
      <c r="AO324" s="3143"/>
      <c r="AP324" s="3143"/>
      <c r="AQ324" s="3143"/>
      <c r="AR324" s="3143"/>
      <c r="AS324" s="3143"/>
      <c r="AT324" s="3153"/>
      <c r="AU324" s="3154"/>
      <c r="AV324" s="270">
        <f t="shared" si="178"/>
        <v>0</v>
      </c>
      <c r="AW324" s="270">
        <f t="shared" si="179"/>
        <v>0</v>
      </c>
      <c r="AX324" s="270">
        <f t="shared" si="180"/>
        <v>0</v>
      </c>
      <c r="AY324" s="3168">
        <f t="shared" si="155"/>
        <v>0</v>
      </c>
      <c r="AZ324" s="3123">
        <f t="shared" si="156"/>
        <v>0</v>
      </c>
      <c r="BA324" s="3123">
        <f t="shared" si="157"/>
        <v>0</v>
      </c>
      <c r="BB324" s="3123">
        <f t="shared" si="158"/>
        <v>0</v>
      </c>
      <c r="BC324" s="3123">
        <f t="shared" si="159"/>
        <v>0</v>
      </c>
      <c r="BD324" s="3123">
        <f t="shared" si="160"/>
        <v>0</v>
      </c>
      <c r="BE324" s="3123">
        <f t="shared" si="161"/>
        <v>0</v>
      </c>
      <c r="BF324" s="3123">
        <f t="shared" si="162"/>
        <v>0</v>
      </c>
      <c r="BG324" s="3123">
        <f t="shared" si="163"/>
        <v>0</v>
      </c>
      <c r="BH324" s="3123">
        <f t="shared" si="164"/>
        <v>0</v>
      </c>
      <c r="BI324" s="3123">
        <f t="shared" si="165"/>
        <v>0</v>
      </c>
      <c r="BJ324" s="3123">
        <f t="shared" si="166"/>
        <v>0</v>
      </c>
      <c r="BK324" s="3123">
        <f t="shared" si="167"/>
        <v>0</v>
      </c>
      <c r="BL324" s="3123">
        <f t="shared" si="168"/>
        <v>0</v>
      </c>
      <c r="BM324" s="3123">
        <f t="shared" si="169"/>
        <v>0</v>
      </c>
      <c r="BN324" s="3123">
        <f t="shared" si="170"/>
        <v>0</v>
      </c>
      <c r="BO324" s="3123">
        <f t="shared" si="171"/>
        <v>0</v>
      </c>
      <c r="BP324" s="3123">
        <f t="shared" si="172"/>
        <v>0</v>
      </c>
      <c r="BQ324" s="3123">
        <f t="shared" si="173"/>
        <v>0</v>
      </c>
      <c r="BR324" s="3123">
        <f t="shared" si="174"/>
        <v>0</v>
      </c>
      <c r="BS324" s="3123">
        <f t="shared" si="175"/>
        <v>0</v>
      </c>
      <c r="BT324" s="3175">
        <f t="shared" si="176"/>
        <v>0</v>
      </c>
    </row>
    <row r="325" spans="1:72">
      <c r="A325" s="3120"/>
      <c r="B325" s="3121"/>
      <c r="C325" s="3121"/>
      <c r="D325" s="3122"/>
      <c r="E325" s="3123">
        <f t="shared" si="177"/>
        <v>0</v>
      </c>
      <c r="F325" s="3124"/>
      <c r="G325" s="3125">
        <f t="shared" si="152"/>
        <v>0</v>
      </c>
      <c r="H325" s="3126">
        <f t="shared" si="153"/>
        <v>0</v>
      </c>
      <c r="I325" s="3133"/>
      <c r="J325" s="3133"/>
      <c r="K325" s="3133"/>
      <c r="L325" s="3133"/>
      <c r="M325" s="3133"/>
      <c r="N325" s="3133"/>
      <c r="O325" s="3133"/>
      <c r="P325" s="3133"/>
      <c r="Q325" s="3133"/>
      <c r="R325" s="3133"/>
      <c r="S325" s="3133"/>
      <c r="T325" s="3133"/>
      <c r="U325" s="3133"/>
      <c r="V325" s="3133"/>
      <c r="W325" s="3133"/>
      <c r="X325" s="3133"/>
      <c r="Y325" s="3133"/>
      <c r="Z325" s="3133"/>
      <c r="AA325" s="3133"/>
      <c r="AB325" s="3133"/>
      <c r="AC325" s="3123">
        <f t="shared" si="154"/>
        <v>0</v>
      </c>
      <c r="AD325" s="3143"/>
      <c r="AE325" s="3143"/>
      <c r="AF325" s="3143"/>
      <c r="AG325" s="3143"/>
      <c r="AH325" s="3143"/>
      <c r="AI325" s="3143"/>
      <c r="AJ325" s="3143"/>
      <c r="AK325" s="3143"/>
      <c r="AL325" s="3143"/>
      <c r="AM325" s="3143"/>
      <c r="AN325" s="3143"/>
      <c r="AO325" s="3143"/>
      <c r="AP325" s="3143"/>
      <c r="AQ325" s="3143"/>
      <c r="AR325" s="3143"/>
      <c r="AS325" s="3143"/>
      <c r="AT325" s="3153"/>
      <c r="AU325" s="3154"/>
      <c r="AV325" s="270">
        <f t="shared" si="178"/>
        <v>0</v>
      </c>
      <c r="AW325" s="270">
        <f t="shared" si="179"/>
        <v>0</v>
      </c>
      <c r="AX325" s="270">
        <f t="shared" si="180"/>
        <v>0</v>
      </c>
      <c r="AY325" s="3168">
        <f t="shared" si="155"/>
        <v>0</v>
      </c>
      <c r="AZ325" s="3123">
        <f t="shared" si="156"/>
        <v>0</v>
      </c>
      <c r="BA325" s="3123">
        <f t="shared" si="157"/>
        <v>0</v>
      </c>
      <c r="BB325" s="3123">
        <f t="shared" si="158"/>
        <v>0</v>
      </c>
      <c r="BC325" s="3123">
        <f t="shared" si="159"/>
        <v>0</v>
      </c>
      <c r="BD325" s="3123">
        <f t="shared" si="160"/>
        <v>0</v>
      </c>
      <c r="BE325" s="3123">
        <f t="shared" si="161"/>
        <v>0</v>
      </c>
      <c r="BF325" s="3123">
        <f t="shared" si="162"/>
        <v>0</v>
      </c>
      <c r="BG325" s="3123">
        <f t="shared" si="163"/>
        <v>0</v>
      </c>
      <c r="BH325" s="3123">
        <f t="shared" si="164"/>
        <v>0</v>
      </c>
      <c r="BI325" s="3123">
        <f t="shared" si="165"/>
        <v>0</v>
      </c>
      <c r="BJ325" s="3123">
        <f t="shared" si="166"/>
        <v>0</v>
      </c>
      <c r="BK325" s="3123">
        <f t="shared" si="167"/>
        <v>0</v>
      </c>
      <c r="BL325" s="3123">
        <f t="shared" si="168"/>
        <v>0</v>
      </c>
      <c r="BM325" s="3123">
        <f t="shared" si="169"/>
        <v>0</v>
      </c>
      <c r="BN325" s="3123">
        <f t="shared" si="170"/>
        <v>0</v>
      </c>
      <c r="BO325" s="3123">
        <f t="shared" si="171"/>
        <v>0</v>
      </c>
      <c r="BP325" s="3123">
        <f t="shared" si="172"/>
        <v>0</v>
      </c>
      <c r="BQ325" s="3123">
        <f t="shared" si="173"/>
        <v>0</v>
      </c>
      <c r="BR325" s="3123">
        <f t="shared" si="174"/>
        <v>0</v>
      </c>
      <c r="BS325" s="3123">
        <f t="shared" si="175"/>
        <v>0</v>
      </c>
      <c r="BT325" s="3175">
        <f t="shared" si="176"/>
        <v>0</v>
      </c>
    </row>
    <row r="326" spans="1:72">
      <c r="A326" s="3120"/>
      <c r="B326" s="3121"/>
      <c r="C326" s="3121"/>
      <c r="D326" s="3122"/>
      <c r="E326" s="3123">
        <f t="shared" si="177"/>
        <v>0</v>
      </c>
      <c r="F326" s="3124"/>
      <c r="G326" s="3125">
        <f t="shared" si="152"/>
        <v>0</v>
      </c>
      <c r="H326" s="3126">
        <f t="shared" si="153"/>
        <v>0</v>
      </c>
      <c r="I326" s="3133"/>
      <c r="J326" s="3133"/>
      <c r="K326" s="3133"/>
      <c r="L326" s="3133"/>
      <c r="M326" s="3133"/>
      <c r="N326" s="3133"/>
      <c r="O326" s="3133"/>
      <c r="P326" s="3133"/>
      <c r="Q326" s="3133"/>
      <c r="R326" s="3133"/>
      <c r="S326" s="3133"/>
      <c r="T326" s="3133"/>
      <c r="U326" s="3133"/>
      <c r="V326" s="3133"/>
      <c r="W326" s="3133"/>
      <c r="X326" s="3133"/>
      <c r="Y326" s="3133"/>
      <c r="Z326" s="3133"/>
      <c r="AA326" s="3133"/>
      <c r="AB326" s="3133"/>
      <c r="AC326" s="3123">
        <f t="shared" si="154"/>
        <v>0</v>
      </c>
      <c r="AD326" s="3143"/>
      <c r="AE326" s="3143"/>
      <c r="AF326" s="3143"/>
      <c r="AG326" s="3143"/>
      <c r="AH326" s="3143"/>
      <c r="AI326" s="3143"/>
      <c r="AJ326" s="3143"/>
      <c r="AK326" s="3143"/>
      <c r="AL326" s="3143"/>
      <c r="AM326" s="3143"/>
      <c r="AN326" s="3143"/>
      <c r="AO326" s="3143"/>
      <c r="AP326" s="3143"/>
      <c r="AQ326" s="3143"/>
      <c r="AR326" s="3143"/>
      <c r="AS326" s="3143"/>
      <c r="AT326" s="3153"/>
      <c r="AU326" s="3154"/>
      <c r="AV326" s="270">
        <f t="shared" si="178"/>
        <v>0</v>
      </c>
      <c r="AW326" s="270">
        <f t="shared" si="179"/>
        <v>0</v>
      </c>
      <c r="AX326" s="270">
        <f t="shared" si="180"/>
        <v>0</v>
      </c>
      <c r="AY326" s="3168">
        <f t="shared" si="155"/>
        <v>0</v>
      </c>
      <c r="AZ326" s="3123">
        <f t="shared" si="156"/>
        <v>0</v>
      </c>
      <c r="BA326" s="3123">
        <f t="shared" si="157"/>
        <v>0</v>
      </c>
      <c r="BB326" s="3123">
        <f t="shared" si="158"/>
        <v>0</v>
      </c>
      <c r="BC326" s="3123">
        <f t="shared" si="159"/>
        <v>0</v>
      </c>
      <c r="BD326" s="3123">
        <f t="shared" si="160"/>
        <v>0</v>
      </c>
      <c r="BE326" s="3123">
        <f t="shared" si="161"/>
        <v>0</v>
      </c>
      <c r="BF326" s="3123">
        <f t="shared" si="162"/>
        <v>0</v>
      </c>
      <c r="BG326" s="3123">
        <f t="shared" si="163"/>
        <v>0</v>
      </c>
      <c r="BH326" s="3123">
        <f t="shared" si="164"/>
        <v>0</v>
      </c>
      <c r="BI326" s="3123">
        <f t="shared" si="165"/>
        <v>0</v>
      </c>
      <c r="BJ326" s="3123">
        <f t="shared" si="166"/>
        <v>0</v>
      </c>
      <c r="BK326" s="3123">
        <f t="shared" si="167"/>
        <v>0</v>
      </c>
      <c r="BL326" s="3123">
        <f t="shared" si="168"/>
        <v>0</v>
      </c>
      <c r="BM326" s="3123">
        <f t="shared" si="169"/>
        <v>0</v>
      </c>
      <c r="BN326" s="3123">
        <f t="shared" si="170"/>
        <v>0</v>
      </c>
      <c r="BO326" s="3123">
        <f t="shared" si="171"/>
        <v>0</v>
      </c>
      <c r="BP326" s="3123">
        <f t="shared" si="172"/>
        <v>0</v>
      </c>
      <c r="BQ326" s="3123">
        <f t="shared" si="173"/>
        <v>0</v>
      </c>
      <c r="BR326" s="3123">
        <f t="shared" si="174"/>
        <v>0</v>
      </c>
      <c r="BS326" s="3123">
        <f t="shared" si="175"/>
        <v>0</v>
      </c>
      <c r="BT326" s="3175">
        <f t="shared" si="176"/>
        <v>0</v>
      </c>
    </row>
    <row r="327" spans="1:72">
      <c r="A327" s="3120"/>
      <c r="B327" s="3121"/>
      <c r="C327" s="3121"/>
      <c r="D327" s="3122"/>
      <c r="E327" s="3123">
        <f t="shared" si="177"/>
        <v>0</v>
      </c>
      <c r="F327" s="3124"/>
      <c r="G327" s="3125">
        <f t="shared" si="152"/>
        <v>0</v>
      </c>
      <c r="H327" s="3126">
        <f t="shared" si="153"/>
        <v>0</v>
      </c>
      <c r="I327" s="3133"/>
      <c r="J327" s="3133"/>
      <c r="K327" s="3133"/>
      <c r="L327" s="3133"/>
      <c r="M327" s="3133"/>
      <c r="N327" s="3133"/>
      <c r="O327" s="3133"/>
      <c r="P327" s="3133"/>
      <c r="Q327" s="3133"/>
      <c r="R327" s="3133"/>
      <c r="S327" s="3133"/>
      <c r="T327" s="3133"/>
      <c r="U327" s="3133"/>
      <c r="V327" s="3133"/>
      <c r="W327" s="3133"/>
      <c r="X327" s="3133"/>
      <c r="Y327" s="3133"/>
      <c r="Z327" s="3133"/>
      <c r="AA327" s="3133"/>
      <c r="AB327" s="3133"/>
      <c r="AC327" s="3123">
        <f t="shared" si="154"/>
        <v>0</v>
      </c>
      <c r="AD327" s="3143"/>
      <c r="AE327" s="3143"/>
      <c r="AF327" s="3143"/>
      <c r="AG327" s="3143"/>
      <c r="AH327" s="3143"/>
      <c r="AI327" s="3143"/>
      <c r="AJ327" s="3143"/>
      <c r="AK327" s="3143"/>
      <c r="AL327" s="3143"/>
      <c r="AM327" s="3143"/>
      <c r="AN327" s="3143"/>
      <c r="AO327" s="3143"/>
      <c r="AP327" s="3143"/>
      <c r="AQ327" s="3143"/>
      <c r="AR327" s="3143"/>
      <c r="AS327" s="3143"/>
      <c r="AT327" s="3153"/>
      <c r="AU327" s="3154"/>
      <c r="AV327" s="270">
        <f t="shared" si="178"/>
        <v>0</v>
      </c>
      <c r="AW327" s="270">
        <f t="shared" si="179"/>
        <v>0</v>
      </c>
      <c r="AX327" s="270">
        <f t="shared" si="180"/>
        <v>0</v>
      </c>
      <c r="AY327" s="3168">
        <f t="shared" si="155"/>
        <v>0</v>
      </c>
      <c r="AZ327" s="3123">
        <f t="shared" si="156"/>
        <v>0</v>
      </c>
      <c r="BA327" s="3123">
        <f t="shared" si="157"/>
        <v>0</v>
      </c>
      <c r="BB327" s="3123">
        <f t="shared" si="158"/>
        <v>0</v>
      </c>
      <c r="BC327" s="3123">
        <f t="shared" si="159"/>
        <v>0</v>
      </c>
      <c r="BD327" s="3123">
        <f t="shared" si="160"/>
        <v>0</v>
      </c>
      <c r="BE327" s="3123">
        <f t="shared" si="161"/>
        <v>0</v>
      </c>
      <c r="BF327" s="3123">
        <f t="shared" si="162"/>
        <v>0</v>
      </c>
      <c r="BG327" s="3123">
        <f t="shared" si="163"/>
        <v>0</v>
      </c>
      <c r="BH327" s="3123">
        <f t="shared" si="164"/>
        <v>0</v>
      </c>
      <c r="BI327" s="3123">
        <f t="shared" si="165"/>
        <v>0</v>
      </c>
      <c r="BJ327" s="3123">
        <f t="shared" si="166"/>
        <v>0</v>
      </c>
      <c r="BK327" s="3123">
        <f t="shared" si="167"/>
        <v>0</v>
      </c>
      <c r="BL327" s="3123">
        <f t="shared" si="168"/>
        <v>0</v>
      </c>
      <c r="BM327" s="3123">
        <f t="shared" si="169"/>
        <v>0</v>
      </c>
      <c r="BN327" s="3123">
        <f t="shared" si="170"/>
        <v>0</v>
      </c>
      <c r="BO327" s="3123">
        <f t="shared" si="171"/>
        <v>0</v>
      </c>
      <c r="BP327" s="3123">
        <f t="shared" si="172"/>
        <v>0</v>
      </c>
      <c r="BQ327" s="3123">
        <f t="shared" si="173"/>
        <v>0</v>
      </c>
      <c r="BR327" s="3123">
        <f t="shared" si="174"/>
        <v>0</v>
      </c>
      <c r="BS327" s="3123">
        <f t="shared" si="175"/>
        <v>0</v>
      </c>
      <c r="BT327" s="3175">
        <f t="shared" si="176"/>
        <v>0</v>
      </c>
    </row>
    <row r="328" spans="1:72">
      <c r="A328" s="3120"/>
      <c r="B328" s="3121"/>
      <c r="C328" s="3121"/>
      <c r="D328" s="3122"/>
      <c r="E328" s="3123">
        <f t="shared" si="177"/>
        <v>0</v>
      </c>
      <c r="F328" s="3124"/>
      <c r="G328" s="3125">
        <f t="shared" si="152"/>
        <v>0</v>
      </c>
      <c r="H328" s="3126">
        <f t="shared" si="153"/>
        <v>0</v>
      </c>
      <c r="I328" s="3133"/>
      <c r="J328" s="3133"/>
      <c r="K328" s="3133"/>
      <c r="L328" s="3133"/>
      <c r="M328" s="3133"/>
      <c r="N328" s="3133"/>
      <c r="O328" s="3133"/>
      <c r="P328" s="3133"/>
      <c r="Q328" s="3133"/>
      <c r="R328" s="3133"/>
      <c r="S328" s="3133"/>
      <c r="T328" s="3133"/>
      <c r="U328" s="3133"/>
      <c r="V328" s="3133"/>
      <c r="W328" s="3133"/>
      <c r="X328" s="3133"/>
      <c r="Y328" s="3133"/>
      <c r="Z328" s="3133"/>
      <c r="AA328" s="3133"/>
      <c r="AB328" s="3133"/>
      <c r="AC328" s="3123">
        <f t="shared" si="154"/>
        <v>0</v>
      </c>
      <c r="AD328" s="3143"/>
      <c r="AE328" s="3143"/>
      <c r="AF328" s="3143"/>
      <c r="AG328" s="3143"/>
      <c r="AH328" s="3143"/>
      <c r="AI328" s="3143"/>
      <c r="AJ328" s="3143"/>
      <c r="AK328" s="3143"/>
      <c r="AL328" s="3143"/>
      <c r="AM328" s="3143"/>
      <c r="AN328" s="3143"/>
      <c r="AO328" s="3143"/>
      <c r="AP328" s="3143"/>
      <c r="AQ328" s="3143"/>
      <c r="AR328" s="3143"/>
      <c r="AS328" s="3143"/>
      <c r="AT328" s="3153"/>
      <c r="AU328" s="3154"/>
      <c r="AV328" s="270">
        <f t="shared" si="178"/>
        <v>0</v>
      </c>
      <c r="AW328" s="270">
        <f t="shared" si="179"/>
        <v>0</v>
      </c>
      <c r="AX328" s="270">
        <f t="shared" si="180"/>
        <v>0</v>
      </c>
      <c r="AY328" s="3168">
        <f t="shared" si="155"/>
        <v>0</v>
      </c>
      <c r="AZ328" s="3123">
        <f t="shared" si="156"/>
        <v>0</v>
      </c>
      <c r="BA328" s="3123">
        <f t="shared" si="157"/>
        <v>0</v>
      </c>
      <c r="BB328" s="3123">
        <f t="shared" si="158"/>
        <v>0</v>
      </c>
      <c r="BC328" s="3123">
        <f t="shared" si="159"/>
        <v>0</v>
      </c>
      <c r="BD328" s="3123">
        <f t="shared" si="160"/>
        <v>0</v>
      </c>
      <c r="BE328" s="3123">
        <f t="shared" si="161"/>
        <v>0</v>
      </c>
      <c r="BF328" s="3123">
        <f t="shared" si="162"/>
        <v>0</v>
      </c>
      <c r="BG328" s="3123">
        <f t="shared" si="163"/>
        <v>0</v>
      </c>
      <c r="BH328" s="3123">
        <f t="shared" si="164"/>
        <v>0</v>
      </c>
      <c r="BI328" s="3123">
        <f t="shared" si="165"/>
        <v>0</v>
      </c>
      <c r="BJ328" s="3123">
        <f t="shared" si="166"/>
        <v>0</v>
      </c>
      <c r="BK328" s="3123">
        <f t="shared" si="167"/>
        <v>0</v>
      </c>
      <c r="BL328" s="3123">
        <f t="shared" si="168"/>
        <v>0</v>
      </c>
      <c r="BM328" s="3123">
        <f t="shared" si="169"/>
        <v>0</v>
      </c>
      <c r="BN328" s="3123">
        <f t="shared" si="170"/>
        <v>0</v>
      </c>
      <c r="BO328" s="3123">
        <f t="shared" si="171"/>
        <v>0</v>
      </c>
      <c r="BP328" s="3123">
        <f t="shared" si="172"/>
        <v>0</v>
      </c>
      <c r="BQ328" s="3123">
        <f t="shared" si="173"/>
        <v>0</v>
      </c>
      <c r="BR328" s="3123">
        <f t="shared" si="174"/>
        <v>0</v>
      </c>
      <c r="BS328" s="3123">
        <f t="shared" si="175"/>
        <v>0</v>
      </c>
      <c r="BT328" s="3175">
        <f t="shared" si="176"/>
        <v>0</v>
      </c>
    </row>
    <row r="329" spans="1:72">
      <c r="A329" s="3120"/>
      <c r="B329" s="3121"/>
      <c r="C329" s="3121"/>
      <c r="D329" s="3122"/>
      <c r="E329" s="3123">
        <f t="shared" si="177"/>
        <v>0</v>
      </c>
      <c r="F329" s="3124"/>
      <c r="G329" s="3125">
        <f t="shared" si="152"/>
        <v>0</v>
      </c>
      <c r="H329" s="3126">
        <f t="shared" si="153"/>
        <v>0</v>
      </c>
      <c r="I329" s="3133"/>
      <c r="J329" s="3133"/>
      <c r="K329" s="3133"/>
      <c r="L329" s="3133"/>
      <c r="M329" s="3133"/>
      <c r="N329" s="3133"/>
      <c r="O329" s="3133"/>
      <c r="P329" s="3133"/>
      <c r="Q329" s="3133"/>
      <c r="R329" s="3133"/>
      <c r="S329" s="3133"/>
      <c r="T329" s="3133"/>
      <c r="U329" s="3133"/>
      <c r="V329" s="3133"/>
      <c r="W329" s="3133"/>
      <c r="X329" s="3133"/>
      <c r="Y329" s="3133"/>
      <c r="Z329" s="3133"/>
      <c r="AA329" s="3133"/>
      <c r="AB329" s="3133"/>
      <c r="AC329" s="3123">
        <f t="shared" si="154"/>
        <v>0</v>
      </c>
      <c r="AD329" s="3143"/>
      <c r="AE329" s="3143"/>
      <c r="AF329" s="3143"/>
      <c r="AG329" s="3143"/>
      <c r="AH329" s="3143"/>
      <c r="AI329" s="3143"/>
      <c r="AJ329" s="3143"/>
      <c r="AK329" s="3143"/>
      <c r="AL329" s="3143"/>
      <c r="AM329" s="3143"/>
      <c r="AN329" s="3143"/>
      <c r="AO329" s="3143"/>
      <c r="AP329" s="3143"/>
      <c r="AQ329" s="3143"/>
      <c r="AR329" s="3143"/>
      <c r="AS329" s="3143"/>
      <c r="AT329" s="3153"/>
      <c r="AU329" s="3154"/>
      <c r="AV329" s="270">
        <f t="shared" si="178"/>
        <v>0</v>
      </c>
      <c r="AW329" s="270">
        <f t="shared" si="179"/>
        <v>0</v>
      </c>
      <c r="AX329" s="270">
        <f t="shared" si="180"/>
        <v>0</v>
      </c>
      <c r="AY329" s="3168">
        <f t="shared" si="155"/>
        <v>0</v>
      </c>
      <c r="AZ329" s="3123">
        <f t="shared" si="156"/>
        <v>0</v>
      </c>
      <c r="BA329" s="3123">
        <f t="shared" si="157"/>
        <v>0</v>
      </c>
      <c r="BB329" s="3123">
        <f t="shared" si="158"/>
        <v>0</v>
      </c>
      <c r="BC329" s="3123">
        <f t="shared" si="159"/>
        <v>0</v>
      </c>
      <c r="BD329" s="3123">
        <f t="shared" si="160"/>
        <v>0</v>
      </c>
      <c r="BE329" s="3123">
        <f t="shared" si="161"/>
        <v>0</v>
      </c>
      <c r="BF329" s="3123">
        <f t="shared" si="162"/>
        <v>0</v>
      </c>
      <c r="BG329" s="3123">
        <f t="shared" si="163"/>
        <v>0</v>
      </c>
      <c r="BH329" s="3123">
        <f t="shared" si="164"/>
        <v>0</v>
      </c>
      <c r="BI329" s="3123">
        <f t="shared" si="165"/>
        <v>0</v>
      </c>
      <c r="BJ329" s="3123">
        <f t="shared" si="166"/>
        <v>0</v>
      </c>
      <c r="BK329" s="3123">
        <f t="shared" si="167"/>
        <v>0</v>
      </c>
      <c r="BL329" s="3123">
        <f t="shared" si="168"/>
        <v>0</v>
      </c>
      <c r="BM329" s="3123">
        <f t="shared" si="169"/>
        <v>0</v>
      </c>
      <c r="BN329" s="3123">
        <f t="shared" si="170"/>
        <v>0</v>
      </c>
      <c r="BO329" s="3123">
        <f t="shared" si="171"/>
        <v>0</v>
      </c>
      <c r="BP329" s="3123">
        <f t="shared" si="172"/>
        <v>0</v>
      </c>
      <c r="BQ329" s="3123">
        <f t="shared" si="173"/>
        <v>0</v>
      </c>
      <c r="BR329" s="3123">
        <f t="shared" si="174"/>
        <v>0</v>
      </c>
      <c r="BS329" s="3123">
        <f t="shared" si="175"/>
        <v>0</v>
      </c>
      <c r="BT329" s="3175">
        <f t="shared" si="176"/>
        <v>0</v>
      </c>
    </row>
    <row r="330" spans="1:72">
      <c r="A330" s="3120"/>
      <c r="B330" s="3121"/>
      <c r="C330" s="3121"/>
      <c r="D330" s="3122"/>
      <c r="E330" s="3123">
        <f t="shared" si="177"/>
        <v>0</v>
      </c>
      <c r="F330" s="3124"/>
      <c r="G330" s="3125">
        <f t="shared" si="152"/>
        <v>0</v>
      </c>
      <c r="H330" s="3126">
        <f t="shared" si="153"/>
        <v>0</v>
      </c>
      <c r="I330" s="3133"/>
      <c r="J330" s="3133"/>
      <c r="K330" s="3133"/>
      <c r="L330" s="3133"/>
      <c r="M330" s="3133"/>
      <c r="N330" s="3133"/>
      <c r="O330" s="3133"/>
      <c r="P330" s="3133"/>
      <c r="Q330" s="3133"/>
      <c r="R330" s="3133"/>
      <c r="S330" s="3133"/>
      <c r="T330" s="3133"/>
      <c r="U330" s="3133"/>
      <c r="V330" s="3133"/>
      <c r="W330" s="3133"/>
      <c r="X330" s="3133"/>
      <c r="Y330" s="3133"/>
      <c r="Z330" s="3133"/>
      <c r="AA330" s="3133"/>
      <c r="AB330" s="3133"/>
      <c r="AC330" s="3123">
        <f t="shared" si="154"/>
        <v>0</v>
      </c>
      <c r="AD330" s="3143"/>
      <c r="AE330" s="3143"/>
      <c r="AF330" s="3143"/>
      <c r="AG330" s="3143"/>
      <c r="AH330" s="3143"/>
      <c r="AI330" s="3143"/>
      <c r="AJ330" s="3143"/>
      <c r="AK330" s="3143"/>
      <c r="AL330" s="3143"/>
      <c r="AM330" s="3143"/>
      <c r="AN330" s="3143"/>
      <c r="AO330" s="3143"/>
      <c r="AP330" s="3143"/>
      <c r="AQ330" s="3143"/>
      <c r="AR330" s="3143"/>
      <c r="AS330" s="3143"/>
      <c r="AT330" s="3153"/>
      <c r="AU330" s="3154"/>
      <c r="AV330" s="270">
        <f t="shared" si="178"/>
        <v>0</v>
      </c>
      <c r="AW330" s="270">
        <f t="shared" si="179"/>
        <v>0</v>
      </c>
      <c r="AX330" s="270">
        <f t="shared" si="180"/>
        <v>0</v>
      </c>
      <c r="AY330" s="3168">
        <f t="shared" si="155"/>
        <v>0</v>
      </c>
      <c r="AZ330" s="3123">
        <f t="shared" si="156"/>
        <v>0</v>
      </c>
      <c r="BA330" s="3123">
        <f t="shared" si="157"/>
        <v>0</v>
      </c>
      <c r="BB330" s="3123">
        <f t="shared" si="158"/>
        <v>0</v>
      </c>
      <c r="BC330" s="3123">
        <f t="shared" si="159"/>
        <v>0</v>
      </c>
      <c r="BD330" s="3123">
        <f t="shared" si="160"/>
        <v>0</v>
      </c>
      <c r="BE330" s="3123">
        <f t="shared" si="161"/>
        <v>0</v>
      </c>
      <c r="BF330" s="3123">
        <f t="shared" si="162"/>
        <v>0</v>
      </c>
      <c r="BG330" s="3123">
        <f t="shared" si="163"/>
        <v>0</v>
      </c>
      <c r="BH330" s="3123">
        <f t="shared" si="164"/>
        <v>0</v>
      </c>
      <c r="BI330" s="3123">
        <f t="shared" si="165"/>
        <v>0</v>
      </c>
      <c r="BJ330" s="3123">
        <f t="shared" si="166"/>
        <v>0</v>
      </c>
      <c r="BK330" s="3123">
        <f t="shared" si="167"/>
        <v>0</v>
      </c>
      <c r="BL330" s="3123">
        <f t="shared" si="168"/>
        <v>0</v>
      </c>
      <c r="BM330" s="3123">
        <f t="shared" si="169"/>
        <v>0</v>
      </c>
      <c r="BN330" s="3123">
        <f t="shared" si="170"/>
        <v>0</v>
      </c>
      <c r="BO330" s="3123">
        <f t="shared" si="171"/>
        <v>0</v>
      </c>
      <c r="BP330" s="3123">
        <f t="shared" si="172"/>
        <v>0</v>
      </c>
      <c r="BQ330" s="3123">
        <f t="shared" si="173"/>
        <v>0</v>
      </c>
      <c r="BR330" s="3123">
        <f t="shared" si="174"/>
        <v>0</v>
      </c>
      <c r="BS330" s="3123">
        <f t="shared" si="175"/>
        <v>0</v>
      </c>
      <c r="BT330" s="3175">
        <f t="shared" si="176"/>
        <v>0</v>
      </c>
    </row>
    <row r="331" spans="1:72">
      <c r="A331" s="3120"/>
      <c r="B331" s="3121"/>
      <c r="C331" s="3121"/>
      <c r="D331" s="3122"/>
      <c r="E331" s="3123">
        <f t="shared" si="177"/>
        <v>0</v>
      </c>
      <c r="F331" s="3124"/>
      <c r="G331" s="3125">
        <f t="shared" si="152"/>
        <v>0</v>
      </c>
      <c r="H331" s="3126">
        <f t="shared" si="153"/>
        <v>0</v>
      </c>
      <c r="I331" s="3133"/>
      <c r="J331" s="3133"/>
      <c r="K331" s="3133"/>
      <c r="L331" s="3133"/>
      <c r="M331" s="3133"/>
      <c r="N331" s="3133"/>
      <c r="O331" s="3133"/>
      <c r="P331" s="3133"/>
      <c r="Q331" s="3133"/>
      <c r="R331" s="3133"/>
      <c r="S331" s="3133"/>
      <c r="T331" s="3133"/>
      <c r="U331" s="3133"/>
      <c r="V331" s="3133"/>
      <c r="W331" s="3133"/>
      <c r="X331" s="3133"/>
      <c r="Y331" s="3133"/>
      <c r="Z331" s="3133"/>
      <c r="AA331" s="3133"/>
      <c r="AB331" s="3133"/>
      <c r="AC331" s="3123">
        <f t="shared" si="154"/>
        <v>0</v>
      </c>
      <c r="AD331" s="3143"/>
      <c r="AE331" s="3143"/>
      <c r="AF331" s="3143"/>
      <c r="AG331" s="3143"/>
      <c r="AH331" s="3143"/>
      <c r="AI331" s="3143"/>
      <c r="AJ331" s="3143"/>
      <c r="AK331" s="3143"/>
      <c r="AL331" s="3143"/>
      <c r="AM331" s="3143"/>
      <c r="AN331" s="3143"/>
      <c r="AO331" s="3143"/>
      <c r="AP331" s="3143"/>
      <c r="AQ331" s="3143"/>
      <c r="AR331" s="3143"/>
      <c r="AS331" s="3143"/>
      <c r="AT331" s="3153"/>
      <c r="AU331" s="3154"/>
      <c r="AV331" s="270">
        <f t="shared" si="178"/>
        <v>0</v>
      </c>
      <c r="AW331" s="270">
        <f t="shared" si="179"/>
        <v>0</v>
      </c>
      <c r="AX331" s="270">
        <f t="shared" si="180"/>
        <v>0</v>
      </c>
      <c r="AY331" s="3168">
        <f t="shared" si="155"/>
        <v>0</v>
      </c>
      <c r="AZ331" s="3123">
        <f t="shared" si="156"/>
        <v>0</v>
      </c>
      <c r="BA331" s="3123">
        <f t="shared" si="157"/>
        <v>0</v>
      </c>
      <c r="BB331" s="3123">
        <f t="shared" si="158"/>
        <v>0</v>
      </c>
      <c r="BC331" s="3123">
        <f t="shared" si="159"/>
        <v>0</v>
      </c>
      <c r="BD331" s="3123">
        <f t="shared" si="160"/>
        <v>0</v>
      </c>
      <c r="BE331" s="3123">
        <f t="shared" si="161"/>
        <v>0</v>
      </c>
      <c r="BF331" s="3123">
        <f t="shared" si="162"/>
        <v>0</v>
      </c>
      <c r="BG331" s="3123">
        <f t="shared" si="163"/>
        <v>0</v>
      </c>
      <c r="BH331" s="3123">
        <f t="shared" si="164"/>
        <v>0</v>
      </c>
      <c r="BI331" s="3123">
        <f t="shared" si="165"/>
        <v>0</v>
      </c>
      <c r="BJ331" s="3123">
        <f t="shared" si="166"/>
        <v>0</v>
      </c>
      <c r="BK331" s="3123">
        <f t="shared" si="167"/>
        <v>0</v>
      </c>
      <c r="BL331" s="3123">
        <f t="shared" si="168"/>
        <v>0</v>
      </c>
      <c r="BM331" s="3123">
        <f t="shared" si="169"/>
        <v>0</v>
      </c>
      <c r="BN331" s="3123">
        <f t="shared" si="170"/>
        <v>0</v>
      </c>
      <c r="BO331" s="3123">
        <f t="shared" si="171"/>
        <v>0</v>
      </c>
      <c r="BP331" s="3123">
        <f t="shared" si="172"/>
        <v>0</v>
      </c>
      <c r="BQ331" s="3123">
        <f t="shared" si="173"/>
        <v>0</v>
      </c>
      <c r="BR331" s="3123">
        <f t="shared" si="174"/>
        <v>0</v>
      </c>
      <c r="BS331" s="3123">
        <f t="shared" si="175"/>
        <v>0</v>
      </c>
      <c r="BT331" s="3175">
        <f t="shared" si="176"/>
        <v>0</v>
      </c>
    </row>
    <row r="332" spans="1:72">
      <c r="A332" s="3120"/>
      <c r="B332" s="3121"/>
      <c r="C332" s="3121"/>
      <c r="D332" s="3122"/>
      <c r="E332" s="3123">
        <f t="shared" si="177"/>
        <v>0</v>
      </c>
      <c r="F332" s="3124"/>
      <c r="G332" s="3125">
        <f t="shared" ref="G332:G363" si="181">H332+AC332+AT332</f>
        <v>0</v>
      </c>
      <c r="H332" s="3126">
        <f t="shared" ref="H332:H363" si="182">SUMIF(I$12:AB$12,"总值",I332:AB332)</f>
        <v>0</v>
      </c>
      <c r="I332" s="3133"/>
      <c r="J332" s="3133"/>
      <c r="K332" s="3133"/>
      <c r="L332" s="3133"/>
      <c r="M332" s="3133"/>
      <c r="N332" s="3133"/>
      <c r="O332" s="3133"/>
      <c r="P332" s="3133"/>
      <c r="Q332" s="3133"/>
      <c r="R332" s="3133"/>
      <c r="S332" s="3133"/>
      <c r="T332" s="3133"/>
      <c r="U332" s="3133"/>
      <c r="V332" s="3133"/>
      <c r="W332" s="3133"/>
      <c r="X332" s="3133"/>
      <c r="Y332" s="3133"/>
      <c r="Z332" s="3133"/>
      <c r="AA332" s="3133"/>
      <c r="AB332" s="3133"/>
      <c r="AC332" s="3123">
        <f t="shared" ref="AC332:AC363" si="183">SUMIF(AD$12:AS$12,"总值",AD332:AS332)</f>
        <v>0</v>
      </c>
      <c r="AD332" s="3143"/>
      <c r="AE332" s="3143"/>
      <c r="AF332" s="3143"/>
      <c r="AG332" s="3143"/>
      <c r="AH332" s="3143"/>
      <c r="AI332" s="3143"/>
      <c r="AJ332" s="3143"/>
      <c r="AK332" s="3143"/>
      <c r="AL332" s="3143"/>
      <c r="AM332" s="3143"/>
      <c r="AN332" s="3143"/>
      <c r="AO332" s="3143"/>
      <c r="AP332" s="3143"/>
      <c r="AQ332" s="3143"/>
      <c r="AR332" s="3143"/>
      <c r="AS332" s="3143"/>
      <c r="AT332" s="3153"/>
      <c r="AU332" s="3154"/>
      <c r="AV332" s="270">
        <f t="shared" si="178"/>
        <v>0</v>
      </c>
      <c r="AW332" s="270">
        <f t="shared" si="179"/>
        <v>0</v>
      </c>
      <c r="AX332" s="270">
        <f t="shared" si="180"/>
        <v>0</v>
      </c>
      <c r="AY332" s="3168">
        <f t="shared" ref="AY332:AY363" si="184">ROUND($AY$6*AZ332/$AZ$5,2)</f>
        <v>0</v>
      </c>
      <c r="AZ332" s="3123">
        <f t="shared" ref="AZ332:AZ363" si="185">BA332+BL332</f>
        <v>0</v>
      </c>
      <c r="BA332" s="3123">
        <f t="shared" ref="BA332:BA363" si="186">SUM(BB332:BK332)</f>
        <v>0</v>
      </c>
      <c r="BB332" s="3123">
        <f t="shared" ref="BB332:BB363" si="187">IF($D332="是",I332-J332,0)</f>
        <v>0</v>
      </c>
      <c r="BC332" s="3123">
        <f t="shared" ref="BC332:BC363" si="188">IF($D332="是",K332-L332,0)</f>
        <v>0</v>
      </c>
      <c r="BD332" s="3123">
        <f t="shared" ref="BD332:BD363" si="189">IF($D332="是",M332-N332,0)</f>
        <v>0</v>
      </c>
      <c r="BE332" s="3123">
        <f t="shared" ref="BE332:BE363" si="190">IF($D332="是",O332-P332,0)</f>
        <v>0</v>
      </c>
      <c r="BF332" s="3123">
        <f t="shared" ref="BF332:BF363" si="191">IF($D332="是",Q332-R332,0)</f>
        <v>0</v>
      </c>
      <c r="BG332" s="3123">
        <f t="shared" ref="BG332:BG363" si="192">IF($D332="是",S332-T332,0)</f>
        <v>0</v>
      </c>
      <c r="BH332" s="3123">
        <f t="shared" ref="BH332:BH363" si="193">IF($D332="是",U332-V332,0)</f>
        <v>0</v>
      </c>
      <c r="BI332" s="3123">
        <f t="shared" ref="BI332:BI363" si="194">IF($D332="是",W332-X332,0)</f>
        <v>0</v>
      </c>
      <c r="BJ332" s="3123">
        <f t="shared" ref="BJ332:BJ363" si="195">IF($D332="是",Y332-Z332,0)</f>
        <v>0</v>
      </c>
      <c r="BK332" s="3123">
        <f t="shared" ref="BK332:BK363" si="196">IF($D332="是",AA332-AB332,0)</f>
        <v>0</v>
      </c>
      <c r="BL332" s="3123">
        <f t="shared" ref="BL332:BL363" si="197">SUM(BM332:BT332)</f>
        <v>0</v>
      </c>
      <c r="BM332" s="3123">
        <f t="shared" ref="BM332:BM363" si="198">IF($D332="是",AD332-AE332,0)</f>
        <v>0</v>
      </c>
      <c r="BN332" s="3123">
        <f t="shared" ref="BN332:BN363" si="199">IF($D332="是",AF332-AG332,0)</f>
        <v>0</v>
      </c>
      <c r="BO332" s="3123">
        <f t="shared" ref="BO332:BO363" si="200">IF($D332="是",AH332-AI332,0)</f>
        <v>0</v>
      </c>
      <c r="BP332" s="3123">
        <f t="shared" ref="BP332:BP363" si="201">IF($D332="是",AJ332-AK332,0)</f>
        <v>0</v>
      </c>
      <c r="BQ332" s="3123">
        <f t="shared" ref="BQ332:BQ363" si="202">IF($D332="是",AL332-AM332,0)</f>
        <v>0</v>
      </c>
      <c r="BR332" s="3123">
        <f t="shared" ref="BR332:BR363" si="203">IF($D332="是",AN332-AO332,0)</f>
        <v>0</v>
      </c>
      <c r="BS332" s="3123">
        <f t="shared" ref="BS332:BS363" si="204">IF($D332="是",AP332-AQ332,0)</f>
        <v>0</v>
      </c>
      <c r="BT332" s="3175">
        <f t="shared" ref="BT332:BT363" si="205">IF($D332="是",AR332-AS332,0)</f>
        <v>0</v>
      </c>
    </row>
    <row r="333" spans="1:72">
      <c r="A333" s="3120"/>
      <c r="B333" s="3121"/>
      <c r="C333" s="3121"/>
      <c r="D333" s="3122"/>
      <c r="E333" s="3123">
        <f t="shared" si="177"/>
        <v>0</v>
      </c>
      <c r="F333" s="3124"/>
      <c r="G333" s="3125">
        <f t="shared" si="181"/>
        <v>0</v>
      </c>
      <c r="H333" s="3126">
        <f t="shared" si="182"/>
        <v>0</v>
      </c>
      <c r="I333" s="3133"/>
      <c r="J333" s="3133"/>
      <c r="K333" s="3133"/>
      <c r="L333" s="3133"/>
      <c r="M333" s="3133"/>
      <c r="N333" s="3133"/>
      <c r="O333" s="3133"/>
      <c r="P333" s="3133"/>
      <c r="Q333" s="3133"/>
      <c r="R333" s="3133"/>
      <c r="S333" s="3133"/>
      <c r="T333" s="3133"/>
      <c r="U333" s="3133"/>
      <c r="V333" s="3133"/>
      <c r="W333" s="3133"/>
      <c r="X333" s="3133"/>
      <c r="Y333" s="3133"/>
      <c r="Z333" s="3133"/>
      <c r="AA333" s="3133"/>
      <c r="AB333" s="3133"/>
      <c r="AC333" s="3123">
        <f t="shared" si="183"/>
        <v>0</v>
      </c>
      <c r="AD333" s="3143"/>
      <c r="AE333" s="3143"/>
      <c r="AF333" s="3143"/>
      <c r="AG333" s="3143"/>
      <c r="AH333" s="3143"/>
      <c r="AI333" s="3143"/>
      <c r="AJ333" s="3143"/>
      <c r="AK333" s="3143"/>
      <c r="AL333" s="3143"/>
      <c r="AM333" s="3143"/>
      <c r="AN333" s="3143"/>
      <c r="AO333" s="3143"/>
      <c r="AP333" s="3143"/>
      <c r="AQ333" s="3143"/>
      <c r="AR333" s="3143"/>
      <c r="AS333" s="3143"/>
      <c r="AT333" s="3153"/>
      <c r="AU333" s="3154"/>
      <c r="AV333" s="270">
        <f t="shared" si="178"/>
        <v>0</v>
      </c>
      <c r="AW333" s="270">
        <f t="shared" si="179"/>
        <v>0</v>
      </c>
      <c r="AX333" s="270">
        <f t="shared" si="180"/>
        <v>0</v>
      </c>
      <c r="AY333" s="3168">
        <f t="shared" si="184"/>
        <v>0</v>
      </c>
      <c r="AZ333" s="3123">
        <f t="shared" si="185"/>
        <v>0</v>
      </c>
      <c r="BA333" s="3123">
        <f t="shared" si="186"/>
        <v>0</v>
      </c>
      <c r="BB333" s="3123">
        <f t="shared" si="187"/>
        <v>0</v>
      </c>
      <c r="BC333" s="3123">
        <f t="shared" si="188"/>
        <v>0</v>
      </c>
      <c r="BD333" s="3123">
        <f t="shared" si="189"/>
        <v>0</v>
      </c>
      <c r="BE333" s="3123">
        <f t="shared" si="190"/>
        <v>0</v>
      </c>
      <c r="BF333" s="3123">
        <f t="shared" si="191"/>
        <v>0</v>
      </c>
      <c r="BG333" s="3123">
        <f t="shared" si="192"/>
        <v>0</v>
      </c>
      <c r="BH333" s="3123">
        <f t="shared" si="193"/>
        <v>0</v>
      </c>
      <c r="BI333" s="3123">
        <f t="shared" si="194"/>
        <v>0</v>
      </c>
      <c r="BJ333" s="3123">
        <f t="shared" si="195"/>
        <v>0</v>
      </c>
      <c r="BK333" s="3123">
        <f t="shared" si="196"/>
        <v>0</v>
      </c>
      <c r="BL333" s="3123">
        <f t="shared" si="197"/>
        <v>0</v>
      </c>
      <c r="BM333" s="3123">
        <f t="shared" si="198"/>
        <v>0</v>
      </c>
      <c r="BN333" s="3123">
        <f t="shared" si="199"/>
        <v>0</v>
      </c>
      <c r="BO333" s="3123">
        <f t="shared" si="200"/>
        <v>0</v>
      </c>
      <c r="BP333" s="3123">
        <f t="shared" si="201"/>
        <v>0</v>
      </c>
      <c r="BQ333" s="3123">
        <f t="shared" si="202"/>
        <v>0</v>
      </c>
      <c r="BR333" s="3123">
        <f t="shared" si="203"/>
        <v>0</v>
      </c>
      <c r="BS333" s="3123">
        <f t="shared" si="204"/>
        <v>0</v>
      </c>
      <c r="BT333" s="3175">
        <f t="shared" si="205"/>
        <v>0</v>
      </c>
    </row>
    <row r="334" spans="1:72">
      <c r="A334" s="3120"/>
      <c r="B334" s="3121"/>
      <c r="C334" s="3121"/>
      <c r="D334" s="3122"/>
      <c r="E334" s="3123">
        <f t="shared" si="177"/>
        <v>0</v>
      </c>
      <c r="F334" s="3124"/>
      <c r="G334" s="3125">
        <f t="shared" si="181"/>
        <v>0</v>
      </c>
      <c r="H334" s="3126">
        <f t="shared" si="182"/>
        <v>0</v>
      </c>
      <c r="I334" s="3133"/>
      <c r="J334" s="3133"/>
      <c r="K334" s="3133"/>
      <c r="L334" s="3133"/>
      <c r="M334" s="3133"/>
      <c r="N334" s="3133"/>
      <c r="O334" s="3133"/>
      <c r="P334" s="3133"/>
      <c r="Q334" s="3133"/>
      <c r="R334" s="3133"/>
      <c r="S334" s="3133"/>
      <c r="T334" s="3133"/>
      <c r="U334" s="3133"/>
      <c r="V334" s="3133"/>
      <c r="W334" s="3133"/>
      <c r="X334" s="3133"/>
      <c r="Y334" s="3133"/>
      <c r="Z334" s="3133"/>
      <c r="AA334" s="3133"/>
      <c r="AB334" s="3133"/>
      <c r="AC334" s="3123">
        <f t="shared" si="183"/>
        <v>0</v>
      </c>
      <c r="AD334" s="3143"/>
      <c r="AE334" s="3143"/>
      <c r="AF334" s="3143"/>
      <c r="AG334" s="3143"/>
      <c r="AH334" s="3143"/>
      <c r="AI334" s="3143"/>
      <c r="AJ334" s="3143"/>
      <c r="AK334" s="3143"/>
      <c r="AL334" s="3143"/>
      <c r="AM334" s="3143"/>
      <c r="AN334" s="3143"/>
      <c r="AO334" s="3143"/>
      <c r="AP334" s="3143"/>
      <c r="AQ334" s="3143"/>
      <c r="AR334" s="3143"/>
      <c r="AS334" s="3143"/>
      <c r="AT334" s="3153"/>
      <c r="AU334" s="3154"/>
      <c r="AV334" s="270">
        <f t="shared" si="178"/>
        <v>0</v>
      </c>
      <c r="AW334" s="270">
        <f t="shared" si="179"/>
        <v>0</v>
      </c>
      <c r="AX334" s="270">
        <f t="shared" si="180"/>
        <v>0</v>
      </c>
      <c r="AY334" s="3168">
        <f t="shared" si="184"/>
        <v>0</v>
      </c>
      <c r="AZ334" s="3123">
        <f t="shared" si="185"/>
        <v>0</v>
      </c>
      <c r="BA334" s="3123">
        <f t="shared" si="186"/>
        <v>0</v>
      </c>
      <c r="BB334" s="3123">
        <f t="shared" si="187"/>
        <v>0</v>
      </c>
      <c r="BC334" s="3123">
        <f t="shared" si="188"/>
        <v>0</v>
      </c>
      <c r="BD334" s="3123">
        <f t="shared" si="189"/>
        <v>0</v>
      </c>
      <c r="BE334" s="3123">
        <f t="shared" si="190"/>
        <v>0</v>
      </c>
      <c r="BF334" s="3123">
        <f t="shared" si="191"/>
        <v>0</v>
      </c>
      <c r="BG334" s="3123">
        <f t="shared" si="192"/>
        <v>0</v>
      </c>
      <c r="BH334" s="3123">
        <f t="shared" si="193"/>
        <v>0</v>
      </c>
      <c r="BI334" s="3123">
        <f t="shared" si="194"/>
        <v>0</v>
      </c>
      <c r="BJ334" s="3123">
        <f t="shared" si="195"/>
        <v>0</v>
      </c>
      <c r="BK334" s="3123">
        <f t="shared" si="196"/>
        <v>0</v>
      </c>
      <c r="BL334" s="3123">
        <f t="shared" si="197"/>
        <v>0</v>
      </c>
      <c r="BM334" s="3123">
        <f t="shared" si="198"/>
        <v>0</v>
      </c>
      <c r="BN334" s="3123">
        <f t="shared" si="199"/>
        <v>0</v>
      </c>
      <c r="BO334" s="3123">
        <f t="shared" si="200"/>
        <v>0</v>
      </c>
      <c r="BP334" s="3123">
        <f t="shared" si="201"/>
        <v>0</v>
      </c>
      <c r="BQ334" s="3123">
        <f t="shared" si="202"/>
        <v>0</v>
      </c>
      <c r="BR334" s="3123">
        <f t="shared" si="203"/>
        <v>0</v>
      </c>
      <c r="BS334" s="3123">
        <f t="shared" si="204"/>
        <v>0</v>
      </c>
      <c r="BT334" s="3175">
        <f t="shared" si="205"/>
        <v>0</v>
      </c>
    </row>
    <row r="335" spans="1:72">
      <c r="A335" s="3120"/>
      <c r="B335" s="3121"/>
      <c r="C335" s="3121"/>
      <c r="D335" s="3122"/>
      <c r="E335" s="3123">
        <f t="shared" ref="E335:E366" si="206">IF($C$3="是",ROUND($A$3*G335/$B$3,2),ROUND($A$3*(G335-AT335)/$B$3,2))</f>
        <v>0</v>
      </c>
      <c r="F335" s="3124"/>
      <c r="G335" s="3125">
        <f t="shared" si="181"/>
        <v>0</v>
      </c>
      <c r="H335" s="3126">
        <f t="shared" si="182"/>
        <v>0</v>
      </c>
      <c r="I335" s="3133"/>
      <c r="J335" s="3133"/>
      <c r="K335" s="3133"/>
      <c r="L335" s="3133"/>
      <c r="M335" s="3133"/>
      <c r="N335" s="3133"/>
      <c r="O335" s="3133"/>
      <c r="P335" s="3133"/>
      <c r="Q335" s="3133"/>
      <c r="R335" s="3133"/>
      <c r="S335" s="3133"/>
      <c r="T335" s="3133"/>
      <c r="U335" s="3133"/>
      <c r="V335" s="3133"/>
      <c r="W335" s="3133"/>
      <c r="X335" s="3133"/>
      <c r="Y335" s="3133"/>
      <c r="Z335" s="3133"/>
      <c r="AA335" s="3133"/>
      <c r="AB335" s="3133"/>
      <c r="AC335" s="3123">
        <f t="shared" si="183"/>
        <v>0</v>
      </c>
      <c r="AD335" s="3143"/>
      <c r="AE335" s="3143"/>
      <c r="AF335" s="3143"/>
      <c r="AG335" s="3143"/>
      <c r="AH335" s="3143"/>
      <c r="AI335" s="3143"/>
      <c r="AJ335" s="3143"/>
      <c r="AK335" s="3143"/>
      <c r="AL335" s="3143"/>
      <c r="AM335" s="3143"/>
      <c r="AN335" s="3143"/>
      <c r="AO335" s="3143"/>
      <c r="AP335" s="3143"/>
      <c r="AQ335" s="3143"/>
      <c r="AR335" s="3143"/>
      <c r="AS335" s="3143"/>
      <c r="AT335" s="3153"/>
      <c r="AU335" s="3154"/>
      <c r="AV335" s="270">
        <f t="shared" ref="AV335:AV366" si="207">A335</f>
        <v>0</v>
      </c>
      <c r="AW335" s="270">
        <f t="shared" ref="AW335:AW366" si="208">B335</f>
        <v>0</v>
      </c>
      <c r="AX335" s="270">
        <f t="shared" ref="AX335:AX366" si="209">C335</f>
        <v>0</v>
      </c>
      <c r="AY335" s="3168">
        <f t="shared" si="184"/>
        <v>0</v>
      </c>
      <c r="AZ335" s="3123">
        <f t="shared" si="185"/>
        <v>0</v>
      </c>
      <c r="BA335" s="3123">
        <f t="shared" si="186"/>
        <v>0</v>
      </c>
      <c r="BB335" s="3123">
        <f t="shared" si="187"/>
        <v>0</v>
      </c>
      <c r="BC335" s="3123">
        <f t="shared" si="188"/>
        <v>0</v>
      </c>
      <c r="BD335" s="3123">
        <f t="shared" si="189"/>
        <v>0</v>
      </c>
      <c r="BE335" s="3123">
        <f t="shared" si="190"/>
        <v>0</v>
      </c>
      <c r="BF335" s="3123">
        <f t="shared" si="191"/>
        <v>0</v>
      </c>
      <c r="BG335" s="3123">
        <f t="shared" si="192"/>
        <v>0</v>
      </c>
      <c r="BH335" s="3123">
        <f t="shared" si="193"/>
        <v>0</v>
      </c>
      <c r="BI335" s="3123">
        <f t="shared" si="194"/>
        <v>0</v>
      </c>
      <c r="BJ335" s="3123">
        <f t="shared" si="195"/>
        <v>0</v>
      </c>
      <c r="BK335" s="3123">
        <f t="shared" si="196"/>
        <v>0</v>
      </c>
      <c r="BL335" s="3123">
        <f t="shared" si="197"/>
        <v>0</v>
      </c>
      <c r="BM335" s="3123">
        <f t="shared" si="198"/>
        <v>0</v>
      </c>
      <c r="BN335" s="3123">
        <f t="shared" si="199"/>
        <v>0</v>
      </c>
      <c r="BO335" s="3123">
        <f t="shared" si="200"/>
        <v>0</v>
      </c>
      <c r="BP335" s="3123">
        <f t="shared" si="201"/>
        <v>0</v>
      </c>
      <c r="BQ335" s="3123">
        <f t="shared" si="202"/>
        <v>0</v>
      </c>
      <c r="BR335" s="3123">
        <f t="shared" si="203"/>
        <v>0</v>
      </c>
      <c r="BS335" s="3123">
        <f t="shared" si="204"/>
        <v>0</v>
      </c>
      <c r="BT335" s="3175">
        <f t="shared" si="205"/>
        <v>0</v>
      </c>
    </row>
    <row r="336" spans="1:72">
      <c r="A336" s="3120"/>
      <c r="B336" s="3121"/>
      <c r="C336" s="3121"/>
      <c r="D336" s="3122"/>
      <c r="E336" s="3123">
        <f t="shared" si="206"/>
        <v>0</v>
      </c>
      <c r="F336" s="3124"/>
      <c r="G336" s="3125">
        <f t="shared" si="181"/>
        <v>0</v>
      </c>
      <c r="H336" s="3126">
        <f t="shared" si="182"/>
        <v>0</v>
      </c>
      <c r="I336" s="3133"/>
      <c r="J336" s="3133"/>
      <c r="K336" s="3133"/>
      <c r="L336" s="3133"/>
      <c r="M336" s="3133"/>
      <c r="N336" s="3133"/>
      <c r="O336" s="3133"/>
      <c r="P336" s="3133"/>
      <c r="Q336" s="3133"/>
      <c r="R336" s="3133"/>
      <c r="S336" s="3133"/>
      <c r="T336" s="3133"/>
      <c r="U336" s="3133"/>
      <c r="V336" s="3133"/>
      <c r="W336" s="3133"/>
      <c r="X336" s="3133"/>
      <c r="Y336" s="3133"/>
      <c r="Z336" s="3133"/>
      <c r="AA336" s="3133"/>
      <c r="AB336" s="3133"/>
      <c r="AC336" s="3123">
        <f t="shared" si="183"/>
        <v>0</v>
      </c>
      <c r="AD336" s="3143"/>
      <c r="AE336" s="3143"/>
      <c r="AF336" s="3143"/>
      <c r="AG336" s="3143"/>
      <c r="AH336" s="3143"/>
      <c r="AI336" s="3143"/>
      <c r="AJ336" s="3143"/>
      <c r="AK336" s="3143"/>
      <c r="AL336" s="3143"/>
      <c r="AM336" s="3143"/>
      <c r="AN336" s="3143"/>
      <c r="AO336" s="3143"/>
      <c r="AP336" s="3143"/>
      <c r="AQ336" s="3143"/>
      <c r="AR336" s="3143"/>
      <c r="AS336" s="3143"/>
      <c r="AT336" s="3153"/>
      <c r="AU336" s="3154"/>
      <c r="AV336" s="270">
        <f t="shared" si="207"/>
        <v>0</v>
      </c>
      <c r="AW336" s="270">
        <f t="shared" si="208"/>
        <v>0</v>
      </c>
      <c r="AX336" s="270">
        <f t="shared" si="209"/>
        <v>0</v>
      </c>
      <c r="AY336" s="3168">
        <f t="shared" si="184"/>
        <v>0</v>
      </c>
      <c r="AZ336" s="3123">
        <f t="shared" si="185"/>
        <v>0</v>
      </c>
      <c r="BA336" s="3123">
        <f t="shared" si="186"/>
        <v>0</v>
      </c>
      <c r="BB336" s="3123">
        <f t="shared" si="187"/>
        <v>0</v>
      </c>
      <c r="BC336" s="3123">
        <f t="shared" si="188"/>
        <v>0</v>
      </c>
      <c r="BD336" s="3123">
        <f t="shared" si="189"/>
        <v>0</v>
      </c>
      <c r="BE336" s="3123">
        <f t="shared" si="190"/>
        <v>0</v>
      </c>
      <c r="BF336" s="3123">
        <f t="shared" si="191"/>
        <v>0</v>
      </c>
      <c r="BG336" s="3123">
        <f t="shared" si="192"/>
        <v>0</v>
      </c>
      <c r="BH336" s="3123">
        <f t="shared" si="193"/>
        <v>0</v>
      </c>
      <c r="BI336" s="3123">
        <f t="shared" si="194"/>
        <v>0</v>
      </c>
      <c r="BJ336" s="3123">
        <f t="shared" si="195"/>
        <v>0</v>
      </c>
      <c r="BK336" s="3123">
        <f t="shared" si="196"/>
        <v>0</v>
      </c>
      <c r="BL336" s="3123">
        <f t="shared" si="197"/>
        <v>0</v>
      </c>
      <c r="BM336" s="3123">
        <f t="shared" si="198"/>
        <v>0</v>
      </c>
      <c r="BN336" s="3123">
        <f t="shared" si="199"/>
        <v>0</v>
      </c>
      <c r="BO336" s="3123">
        <f t="shared" si="200"/>
        <v>0</v>
      </c>
      <c r="BP336" s="3123">
        <f t="shared" si="201"/>
        <v>0</v>
      </c>
      <c r="BQ336" s="3123">
        <f t="shared" si="202"/>
        <v>0</v>
      </c>
      <c r="BR336" s="3123">
        <f t="shared" si="203"/>
        <v>0</v>
      </c>
      <c r="BS336" s="3123">
        <f t="shared" si="204"/>
        <v>0</v>
      </c>
      <c r="BT336" s="3175">
        <f t="shared" si="205"/>
        <v>0</v>
      </c>
    </row>
    <row r="337" spans="1:72">
      <c r="A337" s="3120"/>
      <c r="B337" s="3121"/>
      <c r="C337" s="3121"/>
      <c r="D337" s="3122"/>
      <c r="E337" s="3123">
        <f t="shared" si="206"/>
        <v>0</v>
      </c>
      <c r="F337" s="3124"/>
      <c r="G337" s="3125">
        <f t="shared" si="181"/>
        <v>0</v>
      </c>
      <c r="H337" s="3126">
        <f t="shared" si="182"/>
        <v>0</v>
      </c>
      <c r="I337" s="3133"/>
      <c r="J337" s="3133"/>
      <c r="K337" s="3133"/>
      <c r="L337" s="3133"/>
      <c r="M337" s="3133"/>
      <c r="N337" s="3133"/>
      <c r="O337" s="3133"/>
      <c r="P337" s="3133"/>
      <c r="Q337" s="3133"/>
      <c r="R337" s="3133"/>
      <c r="S337" s="3133"/>
      <c r="T337" s="3133"/>
      <c r="U337" s="3133"/>
      <c r="V337" s="3133"/>
      <c r="W337" s="3133"/>
      <c r="X337" s="3133"/>
      <c r="Y337" s="3133"/>
      <c r="Z337" s="3133"/>
      <c r="AA337" s="3133"/>
      <c r="AB337" s="3133"/>
      <c r="AC337" s="3123">
        <f t="shared" si="183"/>
        <v>0</v>
      </c>
      <c r="AD337" s="3143"/>
      <c r="AE337" s="3143"/>
      <c r="AF337" s="3143"/>
      <c r="AG337" s="3143"/>
      <c r="AH337" s="3143"/>
      <c r="AI337" s="3143"/>
      <c r="AJ337" s="3143"/>
      <c r="AK337" s="3143"/>
      <c r="AL337" s="3143"/>
      <c r="AM337" s="3143"/>
      <c r="AN337" s="3143"/>
      <c r="AO337" s="3143"/>
      <c r="AP337" s="3143"/>
      <c r="AQ337" s="3143"/>
      <c r="AR337" s="3143"/>
      <c r="AS337" s="3143"/>
      <c r="AT337" s="3153"/>
      <c r="AU337" s="3154"/>
      <c r="AV337" s="270">
        <f t="shared" si="207"/>
        <v>0</v>
      </c>
      <c r="AW337" s="270">
        <f t="shared" si="208"/>
        <v>0</v>
      </c>
      <c r="AX337" s="270">
        <f t="shared" si="209"/>
        <v>0</v>
      </c>
      <c r="AY337" s="3168">
        <f t="shared" si="184"/>
        <v>0</v>
      </c>
      <c r="AZ337" s="3123">
        <f t="shared" si="185"/>
        <v>0</v>
      </c>
      <c r="BA337" s="3123">
        <f t="shared" si="186"/>
        <v>0</v>
      </c>
      <c r="BB337" s="3123">
        <f t="shared" si="187"/>
        <v>0</v>
      </c>
      <c r="BC337" s="3123">
        <f t="shared" si="188"/>
        <v>0</v>
      </c>
      <c r="BD337" s="3123">
        <f t="shared" si="189"/>
        <v>0</v>
      </c>
      <c r="BE337" s="3123">
        <f t="shared" si="190"/>
        <v>0</v>
      </c>
      <c r="BF337" s="3123">
        <f t="shared" si="191"/>
        <v>0</v>
      </c>
      <c r="BG337" s="3123">
        <f t="shared" si="192"/>
        <v>0</v>
      </c>
      <c r="BH337" s="3123">
        <f t="shared" si="193"/>
        <v>0</v>
      </c>
      <c r="BI337" s="3123">
        <f t="shared" si="194"/>
        <v>0</v>
      </c>
      <c r="BJ337" s="3123">
        <f t="shared" si="195"/>
        <v>0</v>
      </c>
      <c r="BK337" s="3123">
        <f t="shared" si="196"/>
        <v>0</v>
      </c>
      <c r="BL337" s="3123">
        <f t="shared" si="197"/>
        <v>0</v>
      </c>
      <c r="BM337" s="3123">
        <f t="shared" si="198"/>
        <v>0</v>
      </c>
      <c r="BN337" s="3123">
        <f t="shared" si="199"/>
        <v>0</v>
      </c>
      <c r="BO337" s="3123">
        <f t="shared" si="200"/>
        <v>0</v>
      </c>
      <c r="BP337" s="3123">
        <f t="shared" si="201"/>
        <v>0</v>
      </c>
      <c r="BQ337" s="3123">
        <f t="shared" si="202"/>
        <v>0</v>
      </c>
      <c r="BR337" s="3123">
        <f t="shared" si="203"/>
        <v>0</v>
      </c>
      <c r="BS337" s="3123">
        <f t="shared" si="204"/>
        <v>0</v>
      </c>
      <c r="BT337" s="3175">
        <f t="shared" si="205"/>
        <v>0</v>
      </c>
    </row>
    <row r="338" spans="1:72">
      <c r="A338" s="3120"/>
      <c r="B338" s="3121"/>
      <c r="C338" s="3121"/>
      <c r="D338" s="3122"/>
      <c r="E338" s="3123">
        <f t="shared" si="206"/>
        <v>0</v>
      </c>
      <c r="F338" s="3124"/>
      <c r="G338" s="3125">
        <f t="shared" si="181"/>
        <v>0</v>
      </c>
      <c r="H338" s="3126">
        <f t="shared" si="182"/>
        <v>0</v>
      </c>
      <c r="I338" s="3133"/>
      <c r="J338" s="3133"/>
      <c r="K338" s="3133"/>
      <c r="L338" s="3133"/>
      <c r="M338" s="3133"/>
      <c r="N338" s="3133"/>
      <c r="O338" s="3133"/>
      <c r="P338" s="3133"/>
      <c r="Q338" s="3133"/>
      <c r="R338" s="3133"/>
      <c r="S338" s="3133"/>
      <c r="T338" s="3133"/>
      <c r="U338" s="3133"/>
      <c r="V338" s="3133"/>
      <c r="W338" s="3133"/>
      <c r="X338" s="3133"/>
      <c r="Y338" s="3133"/>
      <c r="Z338" s="3133"/>
      <c r="AA338" s="3133"/>
      <c r="AB338" s="3133"/>
      <c r="AC338" s="3123">
        <f t="shared" si="183"/>
        <v>0</v>
      </c>
      <c r="AD338" s="3143"/>
      <c r="AE338" s="3143"/>
      <c r="AF338" s="3143"/>
      <c r="AG338" s="3143"/>
      <c r="AH338" s="3143"/>
      <c r="AI338" s="3143"/>
      <c r="AJ338" s="3143"/>
      <c r="AK338" s="3143"/>
      <c r="AL338" s="3143"/>
      <c r="AM338" s="3143"/>
      <c r="AN338" s="3143"/>
      <c r="AO338" s="3143"/>
      <c r="AP338" s="3143"/>
      <c r="AQ338" s="3143"/>
      <c r="AR338" s="3143"/>
      <c r="AS338" s="3143"/>
      <c r="AT338" s="3153"/>
      <c r="AU338" s="3154"/>
      <c r="AV338" s="270">
        <f t="shared" si="207"/>
        <v>0</v>
      </c>
      <c r="AW338" s="270">
        <f t="shared" si="208"/>
        <v>0</v>
      </c>
      <c r="AX338" s="270">
        <f t="shared" si="209"/>
        <v>0</v>
      </c>
      <c r="AY338" s="3168">
        <f t="shared" si="184"/>
        <v>0</v>
      </c>
      <c r="AZ338" s="3123">
        <f t="shared" si="185"/>
        <v>0</v>
      </c>
      <c r="BA338" s="3123">
        <f t="shared" si="186"/>
        <v>0</v>
      </c>
      <c r="BB338" s="3123">
        <f t="shared" si="187"/>
        <v>0</v>
      </c>
      <c r="BC338" s="3123">
        <f t="shared" si="188"/>
        <v>0</v>
      </c>
      <c r="BD338" s="3123">
        <f t="shared" si="189"/>
        <v>0</v>
      </c>
      <c r="BE338" s="3123">
        <f t="shared" si="190"/>
        <v>0</v>
      </c>
      <c r="BF338" s="3123">
        <f t="shared" si="191"/>
        <v>0</v>
      </c>
      <c r="BG338" s="3123">
        <f t="shared" si="192"/>
        <v>0</v>
      </c>
      <c r="BH338" s="3123">
        <f t="shared" si="193"/>
        <v>0</v>
      </c>
      <c r="BI338" s="3123">
        <f t="shared" si="194"/>
        <v>0</v>
      </c>
      <c r="BJ338" s="3123">
        <f t="shared" si="195"/>
        <v>0</v>
      </c>
      <c r="BK338" s="3123">
        <f t="shared" si="196"/>
        <v>0</v>
      </c>
      <c r="BL338" s="3123">
        <f t="shared" si="197"/>
        <v>0</v>
      </c>
      <c r="BM338" s="3123">
        <f t="shared" si="198"/>
        <v>0</v>
      </c>
      <c r="BN338" s="3123">
        <f t="shared" si="199"/>
        <v>0</v>
      </c>
      <c r="BO338" s="3123">
        <f t="shared" si="200"/>
        <v>0</v>
      </c>
      <c r="BP338" s="3123">
        <f t="shared" si="201"/>
        <v>0</v>
      </c>
      <c r="BQ338" s="3123">
        <f t="shared" si="202"/>
        <v>0</v>
      </c>
      <c r="BR338" s="3123">
        <f t="shared" si="203"/>
        <v>0</v>
      </c>
      <c r="BS338" s="3123">
        <f t="shared" si="204"/>
        <v>0</v>
      </c>
      <c r="BT338" s="3175">
        <f t="shared" si="205"/>
        <v>0</v>
      </c>
    </row>
    <row r="339" spans="1:72">
      <c r="A339" s="3120"/>
      <c r="B339" s="3121"/>
      <c r="C339" s="3121"/>
      <c r="D339" s="3122"/>
      <c r="E339" s="3123">
        <f t="shared" si="206"/>
        <v>0</v>
      </c>
      <c r="F339" s="3124"/>
      <c r="G339" s="3125">
        <f t="shared" si="181"/>
        <v>0</v>
      </c>
      <c r="H339" s="3126">
        <f t="shared" si="182"/>
        <v>0</v>
      </c>
      <c r="I339" s="3133"/>
      <c r="J339" s="3133"/>
      <c r="K339" s="3133"/>
      <c r="L339" s="3133"/>
      <c r="M339" s="3133"/>
      <c r="N339" s="3133"/>
      <c r="O339" s="3133"/>
      <c r="P339" s="3133"/>
      <c r="Q339" s="3133"/>
      <c r="R339" s="3133"/>
      <c r="S339" s="3133"/>
      <c r="T339" s="3133"/>
      <c r="U339" s="3133"/>
      <c r="V339" s="3133"/>
      <c r="W339" s="3133"/>
      <c r="X339" s="3133"/>
      <c r="Y339" s="3133"/>
      <c r="Z339" s="3133"/>
      <c r="AA339" s="3133"/>
      <c r="AB339" s="3133"/>
      <c r="AC339" s="3123">
        <f t="shared" si="183"/>
        <v>0</v>
      </c>
      <c r="AD339" s="3143"/>
      <c r="AE339" s="3143"/>
      <c r="AF339" s="3143"/>
      <c r="AG339" s="3143"/>
      <c r="AH339" s="3143"/>
      <c r="AI339" s="3143"/>
      <c r="AJ339" s="3143"/>
      <c r="AK339" s="3143"/>
      <c r="AL339" s="3143"/>
      <c r="AM339" s="3143"/>
      <c r="AN339" s="3143"/>
      <c r="AO339" s="3143"/>
      <c r="AP339" s="3143"/>
      <c r="AQ339" s="3143"/>
      <c r="AR339" s="3143"/>
      <c r="AS339" s="3143"/>
      <c r="AT339" s="3153"/>
      <c r="AU339" s="3154"/>
      <c r="AV339" s="270">
        <f t="shared" si="207"/>
        <v>0</v>
      </c>
      <c r="AW339" s="270">
        <f t="shared" si="208"/>
        <v>0</v>
      </c>
      <c r="AX339" s="270">
        <f t="shared" si="209"/>
        <v>0</v>
      </c>
      <c r="AY339" s="3168">
        <f t="shared" si="184"/>
        <v>0</v>
      </c>
      <c r="AZ339" s="3123">
        <f t="shared" si="185"/>
        <v>0</v>
      </c>
      <c r="BA339" s="3123">
        <f t="shared" si="186"/>
        <v>0</v>
      </c>
      <c r="BB339" s="3123">
        <f t="shared" si="187"/>
        <v>0</v>
      </c>
      <c r="BC339" s="3123">
        <f t="shared" si="188"/>
        <v>0</v>
      </c>
      <c r="BD339" s="3123">
        <f t="shared" si="189"/>
        <v>0</v>
      </c>
      <c r="BE339" s="3123">
        <f t="shared" si="190"/>
        <v>0</v>
      </c>
      <c r="BF339" s="3123">
        <f t="shared" si="191"/>
        <v>0</v>
      </c>
      <c r="BG339" s="3123">
        <f t="shared" si="192"/>
        <v>0</v>
      </c>
      <c r="BH339" s="3123">
        <f t="shared" si="193"/>
        <v>0</v>
      </c>
      <c r="BI339" s="3123">
        <f t="shared" si="194"/>
        <v>0</v>
      </c>
      <c r="BJ339" s="3123">
        <f t="shared" si="195"/>
        <v>0</v>
      </c>
      <c r="BK339" s="3123">
        <f t="shared" si="196"/>
        <v>0</v>
      </c>
      <c r="BL339" s="3123">
        <f t="shared" si="197"/>
        <v>0</v>
      </c>
      <c r="BM339" s="3123">
        <f t="shared" si="198"/>
        <v>0</v>
      </c>
      <c r="BN339" s="3123">
        <f t="shared" si="199"/>
        <v>0</v>
      </c>
      <c r="BO339" s="3123">
        <f t="shared" si="200"/>
        <v>0</v>
      </c>
      <c r="BP339" s="3123">
        <f t="shared" si="201"/>
        <v>0</v>
      </c>
      <c r="BQ339" s="3123">
        <f t="shared" si="202"/>
        <v>0</v>
      </c>
      <c r="BR339" s="3123">
        <f t="shared" si="203"/>
        <v>0</v>
      </c>
      <c r="BS339" s="3123">
        <f t="shared" si="204"/>
        <v>0</v>
      </c>
      <c r="BT339" s="3175">
        <f t="shared" si="205"/>
        <v>0</v>
      </c>
    </row>
    <row r="340" spans="1:72">
      <c r="A340" s="3120"/>
      <c r="B340" s="3121"/>
      <c r="C340" s="3121"/>
      <c r="D340" s="3122"/>
      <c r="E340" s="3123">
        <f t="shared" si="206"/>
        <v>0</v>
      </c>
      <c r="F340" s="3124"/>
      <c r="G340" s="3125">
        <f t="shared" si="181"/>
        <v>0</v>
      </c>
      <c r="H340" s="3126">
        <f t="shared" si="182"/>
        <v>0</v>
      </c>
      <c r="I340" s="3133"/>
      <c r="J340" s="3133"/>
      <c r="K340" s="3133"/>
      <c r="L340" s="3133"/>
      <c r="M340" s="3133"/>
      <c r="N340" s="3133"/>
      <c r="O340" s="3133"/>
      <c r="P340" s="3133"/>
      <c r="Q340" s="3133"/>
      <c r="R340" s="3133"/>
      <c r="S340" s="3133"/>
      <c r="T340" s="3133"/>
      <c r="U340" s="3133"/>
      <c r="V340" s="3133"/>
      <c r="W340" s="3133"/>
      <c r="X340" s="3133"/>
      <c r="Y340" s="3133"/>
      <c r="Z340" s="3133"/>
      <c r="AA340" s="3133"/>
      <c r="AB340" s="3133"/>
      <c r="AC340" s="3123">
        <f t="shared" si="183"/>
        <v>0</v>
      </c>
      <c r="AD340" s="3143"/>
      <c r="AE340" s="3143"/>
      <c r="AF340" s="3143"/>
      <c r="AG340" s="3143"/>
      <c r="AH340" s="3143"/>
      <c r="AI340" s="3143"/>
      <c r="AJ340" s="3143"/>
      <c r="AK340" s="3143"/>
      <c r="AL340" s="3143"/>
      <c r="AM340" s="3143"/>
      <c r="AN340" s="3143"/>
      <c r="AO340" s="3143"/>
      <c r="AP340" s="3143"/>
      <c r="AQ340" s="3143"/>
      <c r="AR340" s="3143"/>
      <c r="AS340" s="3143"/>
      <c r="AT340" s="3153"/>
      <c r="AU340" s="3154"/>
      <c r="AV340" s="270">
        <f t="shared" si="207"/>
        <v>0</v>
      </c>
      <c r="AW340" s="270">
        <f t="shared" si="208"/>
        <v>0</v>
      </c>
      <c r="AX340" s="270">
        <f t="shared" si="209"/>
        <v>0</v>
      </c>
      <c r="AY340" s="3168">
        <f t="shared" si="184"/>
        <v>0</v>
      </c>
      <c r="AZ340" s="3123">
        <f t="shared" si="185"/>
        <v>0</v>
      </c>
      <c r="BA340" s="3123">
        <f t="shared" si="186"/>
        <v>0</v>
      </c>
      <c r="BB340" s="3123">
        <f t="shared" si="187"/>
        <v>0</v>
      </c>
      <c r="BC340" s="3123">
        <f t="shared" si="188"/>
        <v>0</v>
      </c>
      <c r="BD340" s="3123">
        <f t="shared" si="189"/>
        <v>0</v>
      </c>
      <c r="BE340" s="3123">
        <f t="shared" si="190"/>
        <v>0</v>
      </c>
      <c r="BF340" s="3123">
        <f t="shared" si="191"/>
        <v>0</v>
      </c>
      <c r="BG340" s="3123">
        <f t="shared" si="192"/>
        <v>0</v>
      </c>
      <c r="BH340" s="3123">
        <f t="shared" si="193"/>
        <v>0</v>
      </c>
      <c r="BI340" s="3123">
        <f t="shared" si="194"/>
        <v>0</v>
      </c>
      <c r="BJ340" s="3123">
        <f t="shared" si="195"/>
        <v>0</v>
      </c>
      <c r="BK340" s="3123">
        <f t="shared" si="196"/>
        <v>0</v>
      </c>
      <c r="BL340" s="3123">
        <f t="shared" si="197"/>
        <v>0</v>
      </c>
      <c r="BM340" s="3123">
        <f t="shared" si="198"/>
        <v>0</v>
      </c>
      <c r="BN340" s="3123">
        <f t="shared" si="199"/>
        <v>0</v>
      </c>
      <c r="BO340" s="3123">
        <f t="shared" si="200"/>
        <v>0</v>
      </c>
      <c r="BP340" s="3123">
        <f t="shared" si="201"/>
        <v>0</v>
      </c>
      <c r="BQ340" s="3123">
        <f t="shared" si="202"/>
        <v>0</v>
      </c>
      <c r="BR340" s="3123">
        <f t="shared" si="203"/>
        <v>0</v>
      </c>
      <c r="BS340" s="3123">
        <f t="shared" si="204"/>
        <v>0</v>
      </c>
      <c r="BT340" s="3175">
        <f t="shared" si="205"/>
        <v>0</v>
      </c>
    </row>
    <row r="341" spans="1:72">
      <c r="A341" s="3120"/>
      <c r="B341" s="3121"/>
      <c r="C341" s="3121"/>
      <c r="D341" s="3122"/>
      <c r="E341" s="3123">
        <f t="shared" si="206"/>
        <v>0</v>
      </c>
      <c r="F341" s="3124"/>
      <c r="G341" s="3125">
        <f t="shared" si="181"/>
        <v>0</v>
      </c>
      <c r="H341" s="3126">
        <f t="shared" si="182"/>
        <v>0</v>
      </c>
      <c r="I341" s="3133"/>
      <c r="J341" s="3133"/>
      <c r="K341" s="3133"/>
      <c r="L341" s="3133"/>
      <c r="M341" s="3133"/>
      <c r="N341" s="3133"/>
      <c r="O341" s="3133"/>
      <c r="P341" s="3133"/>
      <c r="Q341" s="3133"/>
      <c r="R341" s="3133"/>
      <c r="S341" s="3133"/>
      <c r="T341" s="3133"/>
      <c r="U341" s="3133"/>
      <c r="V341" s="3133"/>
      <c r="W341" s="3133"/>
      <c r="X341" s="3133"/>
      <c r="Y341" s="3133"/>
      <c r="Z341" s="3133"/>
      <c r="AA341" s="3133"/>
      <c r="AB341" s="3133"/>
      <c r="AC341" s="3123">
        <f t="shared" si="183"/>
        <v>0</v>
      </c>
      <c r="AD341" s="3143"/>
      <c r="AE341" s="3143"/>
      <c r="AF341" s="3143"/>
      <c r="AG341" s="3143"/>
      <c r="AH341" s="3143"/>
      <c r="AI341" s="3143"/>
      <c r="AJ341" s="3143"/>
      <c r="AK341" s="3143"/>
      <c r="AL341" s="3143"/>
      <c r="AM341" s="3143"/>
      <c r="AN341" s="3143"/>
      <c r="AO341" s="3143"/>
      <c r="AP341" s="3143"/>
      <c r="AQ341" s="3143"/>
      <c r="AR341" s="3143"/>
      <c r="AS341" s="3143"/>
      <c r="AT341" s="3153"/>
      <c r="AU341" s="3154"/>
      <c r="AV341" s="270">
        <f t="shared" si="207"/>
        <v>0</v>
      </c>
      <c r="AW341" s="270">
        <f t="shared" si="208"/>
        <v>0</v>
      </c>
      <c r="AX341" s="270">
        <f t="shared" si="209"/>
        <v>0</v>
      </c>
      <c r="AY341" s="3168">
        <f t="shared" si="184"/>
        <v>0</v>
      </c>
      <c r="AZ341" s="3123">
        <f t="shared" si="185"/>
        <v>0</v>
      </c>
      <c r="BA341" s="3123">
        <f t="shared" si="186"/>
        <v>0</v>
      </c>
      <c r="BB341" s="3123">
        <f t="shared" si="187"/>
        <v>0</v>
      </c>
      <c r="BC341" s="3123">
        <f t="shared" si="188"/>
        <v>0</v>
      </c>
      <c r="BD341" s="3123">
        <f t="shared" si="189"/>
        <v>0</v>
      </c>
      <c r="BE341" s="3123">
        <f t="shared" si="190"/>
        <v>0</v>
      </c>
      <c r="BF341" s="3123">
        <f t="shared" si="191"/>
        <v>0</v>
      </c>
      <c r="BG341" s="3123">
        <f t="shared" si="192"/>
        <v>0</v>
      </c>
      <c r="BH341" s="3123">
        <f t="shared" si="193"/>
        <v>0</v>
      </c>
      <c r="BI341" s="3123">
        <f t="shared" si="194"/>
        <v>0</v>
      </c>
      <c r="BJ341" s="3123">
        <f t="shared" si="195"/>
        <v>0</v>
      </c>
      <c r="BK341" s="3123">
        <f t="shared" si="196"/>
        <v>0</v>
      </c>
      <c r="BL341" s="3123">
        <f t="shared" si="197"/>
        <v>0</v>
      </c>
      <c r="BM341" s="3123">
        <f t="shared" si="198"/>
        <v>0</v>
      </c>
      <c r="BN341" s="3123">
        <f t="shared" si="199"/>
        <v>0</v>
      </c>
      <c r="BO341" s="3123">
        <f t="shared" si="200"/>
        <v>0</v>
      </c>
      <c r="BP341" s="3123">
        <f t="shared" si="201"/>
        <v>0</v>
      </c>
      <c r="BQ341" s="3123">
        <f t="shared" si="202"/>
        <v>0</v>
      </c>
      <c r="BR341" s="3123">
        <f t="shared" si="203"/>
        <v>0</v>
      </c>
      <c r="BS341" s="3123">
        <f t="shared" si="204"/>
        <v>0</v>
      </c>
      <c r="BT341" s="3175">
        <f t="shared" si="205"/>
        <v>0</v>
      </c>
    </row>
    <row r="342" spans="1:72">
      <c r="A342" s="3120"/>
      <c r="B342" s="3121"/>
      <c r="C342" s="3121"/>
      <c r="D342" s="3122"/>
      <c r="E342" s="3123">
        <f t="shared" si="206"/>
        <v>0</v>
      </c>
      <c r="F342" s="3124"/>
      <c r="G342" s="3125">
        <f t="shared" si="181"/>
        <v>0</v>
      </c>
      <c r="H342" s="3126">
        <f t="shared" si="182"/>
        <v>0</v>
      </c>
      <c r="I342" s="3133"/>
      <c r="J342" s="3133"/>
      <c r="K342" s="3133"/>
      <c r="L342" s="3133"/>
      <c r="M342" s="3133"/>
      <c r="N342" s="3133"/>
      <c r="O342" s="3133"/>
      <c r="P342" s="3133"/>
      <c r="Q342" s="3133"/>
      <c r="R342" s="3133"/>
      <c r="S342" s="3133"/>
      <c r="T342" s="3133"/>
      <c r="U342" s="3133"/>
      <c r="V342" s="3133"/>
      <c r="W342" s="3133"/>
      <c r="X342" s="3133"/>
      <c r="Y342" s="3133"/>
      <c r="Z342" s="3133"/>
      <c r="AA342" s="3133"/>
      <c r="AB342" s="3133"/>
      <c r="AC342" s="3123">
        <f t="shared" si="183"/>
        <v>0</v>
      </c>
      <c r="AD342" s="3143"/>
      <c r="AE342" s="3143"/>
      <c r="AF342" s="3143"/>
      <c r="AG342" s="3143"/>
      <c r="AH342" s="3143"/>
      <c r="AI342" s="3143"/>
      <c r="AJ342" s="3143"/>
      <c r="AK342" s="3143"/>
      <c r="AL342" s="3143"/>
      <c r="AM342" s="3143"/>
      <c r="AN342" s="3143"/>
      <c r="AO342" s="3143"/>
      <c r="AP342" s="3143"/>
      <c r="AQ342" s="3143"/>
      <c r="AR342" s="3143"/>
      <c r="AS342" s="3143"/>
      <c r="AT342" s="3153"/>
      <c r="AU342" s="3154"/>
      <c r="AV342" s="270">
        <f t="shared" si="207"/>
        <v>0</v>
      </c>
      <c r="AW342" s="270">
        <f t="shared" si="208"/>
        <v>0</v>
      </c>
      <c r="AX342" s="270">
        <f t="shared" si="209"/>
        <v>0</v>
      </c>
      <c r="AY342" s="3168">
        <f t="shared" si="184"/>
        <v>0</v>
      </c>
      <c r="AZ342" s="3123">
        <f t="shared" si="185"/>
        <v>0</v>
      </c>
      <c r="BA342" s="3123">
        <f t="shared" si="186"/>
        <v>0</v>
      </c>
      <c r="BB342" s="3123">
        <f t="shared" si="187"/>
        <v>0</v>
      </c>
      <c r="BC342" s="3123">
        <f t="shared" si="188"/>
        <v>0</v>
      </c>
      <c r="BD342" s="3123">
        <f t="shared" si="189"/>
        <v>0</v>
      </c>
      <c r="BE342" s="3123">
        <f t="shared" si="190"/>
        <v>0</v>
      </c>
      <c r="BF342" s="3123">
        <f t="shared" si="191"/>
        <v>0</v>
      </c>
      <c r="BG342" s="3123">
        <f t="shared" si="192"/>
        <v>0</v>
      </c>
      <c r="BH342" s="3123">
        <f t="shared" si="193"/>
        <v>0</v>
      </c>
      <c r="BI342" s="3123">
        <f t="shared" si="194"/>
        <v>0</v>
      </c>
      <c r="BJ342" s="3123">
        <f t="shared" si="195"/>
        <v>0</v>
      </c>
      <c r="BK342" s="3123">
        <f t="shared" si="196"/>
        <v>0</v>
      </c>
      <c r="BL342" s="3123">
        <f t="shared" si="197"/>
        <v>0</v>
      </c>
      <c r="BM342" s="3123">
        <f t="shared" si="198"/>
        <v>0</v>
      </c>
      <c r="BN342" s="3123">
        <f t="shared" si="199"/>
        <v>0</v>
      </c>
      <c r="BO342" s="3123">
        <f t="shared" si="200"/>
        <v>0</v>
      </c>
      <c r="BP342" s="3123">
        <f t="shared" si="201"/>
        <v>0</v>
      </c>
      <c r="BQ342" s="3123">
        <f t="shared" si="202"/>
        <v>0</v>
      </c>
      <c r="BR342" s="3123">
        <f t="shared" si="203"/>
        <v>0</v>
      </c>
      <c r="BS342" s="3123">
        <f t="shared" si="204"/>
        <v>0</v>
      </c>
      <c r="BT342" s="3175">
        <f t="shared" si="205"/>
        <v>0</v>
      </c>
    </row>
    <row r="343" spans="1:72">
      <c r="A343" s="3120"/>
      <c r="B343" s="3121"/>
      <c r="C343" s="3121"/>
      <c r="D343" s="3122"/>
      <c r="E343" s="3123">
        <f t="shared" si="206"/>
        <v>0</v>
      </c>
      <c r="F343" s="3124"/>
      <c r="G343" s="3125">
        <f t="shared" si="181"/>
        <v>0</v>
      </c>
      <c r="H343" s="3126">
        <f t="shared" si="182"/>
        <v>0</v>
      </c>
      <c r="I343" s="3133"/>
      <c r="J343" s="3133"/>
      <c r="K343" s="3133"/>
      <c r="L343" s="3133"/>
      <c r="M343" s="3133"/>
      <c r="N343" s="3133"/>
      <c r="O343" s="3133"/>
      <c r="P343" s="3133"/>
      <c r="Q343" s="3133"/>
      <c r="R343" s="3133"/>
      <c r="S343" s="3133"/>
      <c r="T343" s="3133"/>
      <c r="U343" s="3133"/>
      <c r="V343" s="3133"/>
      <c r="W343" s="3133"/>
      <c r="X343" s="3133"/>
      <c r="Y343" s="3133"/>
      <c r="Z343" s="3133"/>
      <c r="AA343" s="3133"/>
      <c r="AB343" s="3133"/>
      <c r="AC343" s="3123">
        <f t="shared" si="183"/>
        <v>0</v>
      </c>
      <c r="AD343" s="3143"/>
      <c r="AE343" s="3143"/>
      <c r="AF343" s="3143"/>
      <c r="AG343" s="3143"/>
      <c r="AH343" s="3143"/>
      <c r="AI343" s="3143"/>
      <c r="AJ343" s="3143"/>
      <c r="AK343" s="3143"/>
      <c r="AL343" s="3143"/>
      <c r="AM343" s="3143"/>
      <c r="AN343" s="3143"/>
      <c r="AO343" s="3143"/>
      <c r="AP343" s="3143"/>
      <c r="AQ343" s="3143"/>
      <c r="AR343" s="3143"/>
      <c r="AS343" s="3143"/>
      <c r="AT343" s="3153"/>
      <c r="AU343" s="3154"/>
      <c r="AV343" s="270">
        <f t="shared" si="207"/>
        <v>0</v>
      </c>
      <c r="AW343" s="270">
        <f t="shared" si="208"/>
        <v>0</v>
      </c>
      <c r="AX343" s="270">
        <f t="shared" si="209"/>
        <v>0</v>
      </c>
      <c r="AY343" s="3168">
        <f t="shared" si="184"/>
        <v>0</v>
      </c>
      <c r="AZ343" s="3123">
        <f t="shared" si="185"/>
        <v>0</v>
      </c>
      <c r="BA343" s="3123">
        <f t="shared" si="186"/>
        <v>0</v>
      </c>
      <c r="BB343" s="3123">
        <f t="shared" si="187"/>
        <v>0</v>
      </c>
      <c r="BC343" s="3123">
        <f t="shared" si="188"/>
        <v>0</v>
      </c>
      <c r="BD343" s="3123">
        <f t="shared" si="189"/>
        <v>0</v>
      </c>
      <c r="BE343" s="3123">
        <f t="shared" si="190"/>
        <v>0</v>
      </c>
      <c r="BF343" s="3123">
        <f t="shared" si="191"/>
        <v>0</v>
      </c>
      <c r="BG343" s="3123">
        <f t="shared" si="192"/>
        <v>0</v>
      </c>
      <c r="BH343" s="3123">
        <f t="shared" si="193"/>
        <v>0</v>
      </c>
      <c r="BI343" s="3123">
        <f t="shared" si="194"/>
        <v>0</v>
      </c>
      <c r="BJ343" s="3123">
        <f t="shared" si="195"/>
        <v>0</v>
      </c>
      <c r="BK343" s="3123">
        <f t="shared" si="196"/>
        <v>0</v>
      </c>
      <c r="BL343" s="3123">
        <f t="shared" si="197"/>
        <v>0</v>
      </c>
      <c r="BM343" s="3123">
        <f t="shared" si="198"/>
        <v>0</v>
      </c>
      <c r="BN343" s="3123">
        <f t="shared" si="199"/>
        <v>0</v>
      </c>
      <c r="BO343" s="3123">
        <f t="shared" si="200"/>
        <v>0</v>
      </c>
      <c r="BP343" s="3123">
        <f t="shared" si="201"/>
        <v>0</v>
      </c>
      <c r="BQ343" s="3123">
        <f t="shared" si="202"/>
        <v>0</v>
      </c>
      <c r="BR343" s="3123">
        <f t="shared" si="203"/>
        <v>0</v>
      </c>
      <c r="BS343" s="3123">
        <f t="shared" si="204"/>
        <v>0</v>
      </c>
      <c r="BT343" s="3175">
        <f t="shared" si="205"/>
        <v>0</v>
      </c>
    </row>
    <row r="344" spans="1:72">
      <c r="A344" s="3120"/>
      <c r="B344" s="3121"/>
      <c r="C344" s="3121"/>
      <c r="D344" s="3122"/>
      <c r="E344" s="3123">
        <f t="shared" si="206"/>
        <v>0</v>
      </c>
      <c r="F344" s="3124"/>
      <c r="G344" s="3125">
        <f t="shared" si="181"/>
        <v>0</v>
      </c>
      <c r="H344" s="3126">
        <f t="shared" si="182"/>
        <v>0</v>
      </c>
      <c r="I344" s="3133"/>
      <c r="J344" s="3133"/>
      <c r="K344" s="3133"/>
      <c r="L344" s="3133"/>
      <c r="M344" s="3133"/>
      <c r="N344" s="3133"/>
      <c r="O344" s="3133"/>
      <c r="P344" s="3133"/>
      <c r="Q344" s="3133"/>
      <c r="R344" s="3133"/>
      <c r="S344" s="3133"/>
      <c r="T344" s="3133"/>
      <c r="U344" s="3133"/>
      <c r="V344" s="3133"/>
      <c r="W344" s="3133"/>
      <c r="X344" s="3133"/>
      <c r="Y344" s="3133"/>
      <c r="Z344" s="3133"/>
      <c r="AA344" s="3133"/>
      <c r="AB344" s="3133"/>
      <c r="AC344" s="3123">
        <f t="shared" si="183"/>
        <v>0</v>
      </c>
      <c r="AD344" s="3143"/>
      <c r="AE344" s="3143"/>
      <c r="AF344" s="3143"/>
      <c r="AG344" s="3143"/>
      <c r="AH344" s="3143"/>
      <c r="AI344" s="3143"/>
      <c r="AJ344" s="3143"/>
      <c r="AK344" s="3143"/>
      <c r="AL344" s="3143"/>
      <c r="AM344" s="3143"/>
      <c r="AN344" s="3143"/>
      <c r="AO344" s="3143"/>
      <c r="AP344" s="3143"/>
      <c r="AQ344" s="3143"/>
      <c r="AR344" s="3143"/>
      <c r="AS344" s="3143"/>
      <c r="AT344" s="3153"/>
      <c r="AU344" s="3154"/>
      <c r="AV344" s="270">
        <f t="shared" si="207"/>
        <v>0</v>
      </c>
      <c r="AW344" s="270">
        <f t="shared" si="208"/>
        <v>0</v>
      </c>
      <c r="AX344" s="270">
        <f t="shared" si="209"/>
        <v>0</v>
      </c>
      <c r="AY344" s="3168">
        <f t="shared" si="184"/>
        <v>0</v>
      </c>
      <c r="AZ344" s="3123">
        <f t="shared" si="185"/>
        <v>0</v>
      </c>
      <c r="BA344" s="3123">
        <f t="shared" si="186"/>
        <v>0</v>
      </c>
      <c r="BB344" s="3123">
        <f t="shared" si="187"/>
        <v>0</v>
      </c>
      <c r="BC344" s="3123">
        <f t="shared" si="188"/>
        <v>0</v>
      </c>
      <c r="BD344" s="3123">
        <f t="shared" si="189"/>
        <v>0</v>
      </c>
      <c r="BE344" s="3123">
        <f t="shared" si="190"/>
        <v>0</v>
      </c>
      <c r="BF344" s="3123">
        <f t="shared" si="191"/>
        <v>0</v>
      </c>
      <c r="BG344" s="3123">
        <f t="shared" si="192"/>
        <v>0</v>
      </c>
      <c r="BH344" s="3123">
        <f t="shared" si="193"/>
        <v>0</v>
      </c>
      <c r="BI344" s="3123">
        <f t="shared" si="194"/>
        <v>0</v>
      </c>
      <c r="BJ344" s="3123">
        <f t="shared" si="195"/>
        <v>0</v>
      </c>
      <c r="BK344" s="3123">
        <f t="shared" si="196"/>
        <v>0</v>
      </c>
      <c r="BL344" s="3123">
        <f t="shared" si="197"/>
        <v>0</v>
      </c>
      <c r="BM344" s="3123">
        <f t="shared" si="198"/>
        <v>0</v>
      </c>
      <c r="BN344" s="3123">
        <f t="shared" si="199"/>
        <v>0</v>
      </c>
      <c r="BO344" s="3123">
        <f t="shared" si="200"/>
        <v>0</v>
      </c>
      <c r="BP344" s="3123">
        <f t="shared" si="201"/>
        <v>0</v>
      </c>
      <c r="BQ344" s="3123">
        <f t="shared" si="202"/>
        <v>0</v>
      </c>
      <c r="BR344" s="3123">
        <f t="shared" si="203"/>
        <v>0</v>
      </c>
      <c r="BS344" s="3123">
        <f t="shared" si="204"/>
        <v>0</v>
      </c>
      <c r="BT344" s="3175">
        <f t="shared" si="205"/>
        <v>0</v>
      </c>
    </row>
    <row r="345" spans="1:72">
      <c r="A345" s="3120"/>
      <c r="B345" s="3121"/>
      <c r="C345" s="3121"/>
      <c r="D345" s="3122"/>
      <c r="E345" s="3123">
        <f t="shared" si="206"/>
        <v>0</v>
      </c>
      <c r="F345" s="3124"/>
      <c r="G345" s="3125">
        <f t="shared" si="181"/>
        <v>0</v>
      </c>
      <c r="H345" s="3126">
        <f t="shared" si="182"/>
        <v>0</v>
      </c>
      <c r="I345" s="3133"/>
      <c r="J345" s="3133"/>
      <c r="K345" s="3133"/>
      <c r="L345" s="3133"/>
      <c r="M345" s="3133"/>
      <c r="N345" s="3133"/>
      <c r="O345" s="3133"/>
      <c r="P345" s="3133"/>
      <c r="Q345" s="3133"/>
      <c r="R345" s="3133"/>
      <c r="S345" s="3133"/>
      <c r="T345" s="3133"/>
      <c r="U345" s="3133"/>
      <c r="V345" s="3133"/>
      <c r="W345" s="3133"/>
      <c r="X345" s="3133"/>
      <c r="Y345" s="3133"/>
      <c r="Z345" s="3133"/>
      <c r="AA345" s="3133"/>
      <c r="AB345" s="3133"/>
      <c r="AC345" s="3123">
        <f t="shared" si="183"/>
        <v>0</v>
      </c>
      <c r="AD345" s="3143"/>
      <c r="AE345" s="3143"/>
      <c r="AF345" s="3143"/>
      <c r="AG345" s="3143"/>
      <c r="AH345" s="3143"/>
      <c r="AI345" s="3143"/>
      <c r="AJ345" s="3143"/>
      <c r="AK345" s="3143"/>
      <c r="AL345" s="3143"/>
      <c r="AM345" s="3143"/>
      <c r="AN345" s="3143"/>
      <c r="AO345" s="3143"/>
      <c r="AP345" s="3143"/>
      <c r="AQ345" s="3143"/>
      <c r="AR345" s="3143"/>
      <c r="AS345" s="3143"/>
      <c r="AT345" s="3153"/>
      <c r="AU345" s="3154"/>
      <c r="AV345" s="270">
        <f t="shared" si="207"/>
        <v>0</v>
      </c>
      <c r="AW345" s="270">
        <f t="shared" si="208"/>
        <v>0</v>
      </c>
      <c r="AX345" s="270">
        <f t="shared" si="209"/>
        <v>0</v>
      </c>
      <c r="AY345" s="3168">
        <f t="shared" si="184"/>
        <v>0</v>
      </c>
      <c r="AZ345" s="3123">
        <f t="shared" si="185"/>
        <v>0</v>
      </c>
      <c r="BA345" s="3123">
        <f t="shared" si="186"/>
        <v>0</v>
      </c>
      <c r="BB345" s="3123">
        <f t="shared" si="187"/>
        <v>0</v>
      </c>
      <c r="BC345" s="3123">
        <f t="shared" si="188"/>
        <v>0</v>
      </c>
      <c r="BD345" s="3123">
        <f t="shared" si="189"/>
        <v>0</v>
      </c>
      <c r="BE345" s="3123">
        <f t="shared" si="190"/>
        <v>0</v>
      </c>
      <c r="BF345" s="3123">
        <f t="shared" si="191"/>
        <v>0</v>
      </c>
      <c r="BG345" s="3123">
        <f t="shared" si="192"/>
        <v>0</v>
      </c>
      <c r="BH345" s="3123">
        <f t="shared" si="193"/>
        <v>0</v>
      </c>
      <c r="BI345" s="3123">
        <f t="shared" si="194"/>
        <v>0</v>
      </c>
      <c r="BJ345" s="3123">
        <f t="shared" si="195"/>
        <v>0</v>
      </c>
      <c r="BK345" s="3123">
        <f t="shared" si="196"/>
        <v>0</v>
      </c>
      <c r="BL345" s="3123">
        <f t="shared" si="197"/>
        <v>0</v>
      </c>
      <c r="BM345" s="3123">
        <f t="shared" si="198"/>
        <v>0</v>
      </c>
      <c r="BN345" s="3123">
        <f t="shared" si="199"/>
        <v>0</v>
      </c>
      <c r="BO345" s="3123">
        <f t="shared" si="200"/>
        <v>0</v>
      </c>
      <c r="BP345" s="3123">
        <f t="shared" si="201"/>
        <v>0</v>
      </c>
      <c r="BQ345" s="3123">
        <f t="shared" si="202"/>
        <v>0</v>
      </c>
      <c r="BR345" s="3123">
        <f t="shared" si="203"/>
        <v>0</v>
      </c>
      <c r="BS345" s="3123">
        <f t="shared" si="204"/>
        <v>0</v>
      </c>
      <c r="BT345" s="3175">
        <f t="shared" si="205"/>
        <v>0</v>
      </c>
    </row>
    <row r="346" spans="1:72">
      <c r="A346" s="3120"/>
      <c r="B346" s="3121"/>
      <c r="C346" s="3121"/>
      <c r="D346" s="3122"/>
      <c r="E346" s="3123">
        <f t="shared" si="206"/>
        <v>0</v>
      </c>
      <c r="F346" s="3124"/>
      <c r="G346" s="3125">
        <f t="shared" si="181"/>
        <v>0</v>
      </c>
      <c r="H346" s="3126">
        <f t="shared" si="182"/>
        <v>0</v>
      </c>
      <c r="I346" s="3133"/>
      <c r="J346" s="3133"/>
      <c r="K346" s="3133"/>
      <c r="L346" s="3133"/>
      <c r="M346" s="3133"/>
      <c r="N346" s="3133"/>
      <c r="O346" s="3133"/>
      <c r="P346" s="3133"/>
      <c r="Q346" s="3133"/>
      <c r="R346" s="3133"/>
      <c r="S346" s="3133"/>
      <c r="T346" s="3133"/>
      <c r="U346" s="3133"/>
      <c r="V346" s="3133"/>
      <c r="W346" s="3133"/>
      <c r="X346" s="3133"/>
      <c r="Y346" s="3133"/>
      <c r="Z346" s="3133"/>
      <c r="AA346" s="3133"/>
      <c r="AB346" s="3133"/>
      <c r="AC346" s="3123">
        <f t="shared" si="183"/>
        <v>0</v>
      </c>
      <c r="AD346" s="3143"/>
      <c r="AE346" s="3143"/>
      <c r="AF346" s="3143"/>
      <c r="AG346" s="3143"/>
      <c r="AH346" s="3143"/>
      <c r="AI346" s="3143"/>
      <c r="AJ346" s="3143"/>
      <c r="AK346" s="3143"/>
      <c r="AL346" s="3143"/>
      <c r="AM346" s="3143"/>
      <c r="AN346" s="3143"/>
      <c r="AO346" s="3143"/>
      <c r="AP346" s="3143"/>
      <c r="AQ346" s="3143"/>
      <c r="AR346" s="3143"/>
      <c r="AS346" s="3143"/>
      <c r="AT346" s="3153"/>
      <c r="AU346" s="3154"/>
      <c r="AV346" s="270">
        <f t="shared" si="207"/>
        <v>0</v>
      </c>
      <c r="AW346" s="270">
        <f t="shared" si="208"/>
        <v>0</v>
      </c>
      <c r="AX346" s="270">
        <f t="shared" si="209"/>
        <v>0</v>
      </c>
      <c r="AY346" s="3168">
        <f t="shared" si="184"/>
        <v>0</v>
      </c>
      <c r="AZ346" s="3123">
        <f t="shared" si="185"/>
        <v>0</v>
      </c>
      <c r="BA346" s="3123">
        <f t="shared" si="186"/>
        <v>0</v>
      </c>
      <c r="BB346" s="3123">
        <f t="shared" si="187"/>
        <v>0</v>
      </c>
      <c r="BC346" s="3123">
        <f t="shared" si="188"/>
        <v>0</v>
      </c>
      <c r="BD346" s="3123">
        <f t="shared" si="189"/>
        <v>0</v>
      </c>
      <c r="BE346" s="3123">
        <f t="shared" si="190"/>
        <v>0</v>
      </c>
      <c r="BF346" s="3123">
        <f t="shared" si="191"/>
        <v>0</v>
      </c>
      <c r="BG346" s="3123">
        <f t="shared" si="192"/>
        <v>0</v>
      </c>
      <c r="BH346" s="3123">
        <f t="shared" si="193"/>
        <v>0</v>
      </c>
      <c r="BI346" s="3123">
        <f t="shared" si="194"/>
        <v>0</v>
      </c>
      <c r="BJ346" s="3123">
        <f t="shared" si="195"/>
        <v>0</v>
      </c>
      <c r="BK346" s="3123">
        <f t="shared" si="196"/>
        <v>0</v>
      </c>
      <c r="BL346" s="3123">
        <f t="shared" si="197"/>
        <v>0</v>
      </c>
      <c r="BM346" s="3123">
        <f t="shared" si="198"/>
        <v>0</v>
      </c>
      <c r="BN346" s="3123">
        <f t="shared" si="199"/>
        <v>0</v>
      </c>
      <c r="BO346" s="3123">
        <f t="shared" si="200"/>
        <v>0</v>
      </c>
      <c r="BP346" s="3123">
        <f t="shared" si="201"/>
        <v>0</v>
      </c>
      <c r="BQ346" s="3123">
        <f t="shared" si="202"/>
        <v>0</v>
      </c>
      <c r="BR346" s="3123">
        <f t="shared" si="203"/>
        <v>0</v>
      </c>
      <c r="BS346" s="3123">
        <f t="shared" si="204"/>
        <v>0</v>
      </c>
      <c r="BT346" s="3175">
        <f t="shared" si="205"/>
        <v>0</v>
      </c>
    </row>
    <row r="347" spans="1:72">
      <c r="A347" s="3120"/>
      <c r="B347" s="3121"/>
      <c r="C347" s="3121"/>
      <c r="D347" s="3122"/>
      <c r="E347" s="3123">
        <f t="shared" si="206"/>
        <v>0</v>
      </c>
      <c r="F347" s="3124"/>
      <c r="G347" s="3125">
        <f t="shared" si="181"/>
        <v>0</v>
      </c>
      <c r="H347" s="3126">
        <f t="shared" si="182"/>
        <v>0</v>
      </c>
      <c r="I347" s="3133"/>
      <c r="J347" s="3133"/>
      <c r="K347" s="3133"/>
      <c r="L347" s="3133"/>
      <c r="M347" s="3133"/>
      <c r="N347" s="3133"/>
      <c r="O347" s="3133"/>
      <c r="P347" s="3133"/>
      <c r="Q347" s="3133"/>
      <c r="R347" s="3133"/>
      <c r="S347" s="3133"/>
      <c r="T347" s="3133"/>
      <c r="U347" s="3133"/>
      <c r="V347" s="3133"/>
      <c r="W347" s="3133"/>
      <c r="X347" s="3133"/>
      <c r="Y347" s="3133"/>
      <c r="Z347" s="3133"/>
      <c r="AA347" s="3133"/>
      <c r="AB347" s="3133"/>
      <c r="AC347" s="3123">
        <f t="shared" si="183"/>
        <v>0</v>
      </c>
      <c r="AD347" s="3143"/>
      <c r="AE347" s="3143"/>
      <c r="AF347" s="3143"/>
      <c r="AG347" s="3143"/>
      <c r="AH347" s="3143"/>
      <c r="AI347" s="3143"/>
      <c r="AJ347" s="3143"/>
      <c r="AK347" s="3143"/>
      <c r="AL347" s="3143"/>
      <c r="AM347" s="3143"/>
      <c r="AN347" s="3143"/>
      <c r="AO347" s="3143"/>
      <c r="AP347" s="3143"/>
      <c r="AQ347" s="3143"/>
      <c r="AR347" s="3143"/>
      <c r="AS347" s="3143"/>
      <c r="AT347" s="3153"/>
      <c r="AU347" s="3154"/>
      <c r="AV347" s="270">
        <f t="shared" si="207"/>
        <v>0</v>
      </c>
      <c r="AW347" s="270">
        <f t="shared" si="208"/>
        <v>0</v>
      </c>
      <c r="AX347" s="270">
        <f t="shared" si="209"/>
        <v>0</v>
      </c>
      <c r="AY347" s="3168">
        <f t="shared" si="184"/>
        <v>0</v>
      </c>
      <c r="AZ347" s="3123">
        <f t="shared" si="185"/>
        <v>0</v>
      </c>
      <c r="BA347" s="3123">
        <f t="shared" si="186"/>
        <v>0</v>
      </c>
      <c r="BB347" s="3123">
        <f t="shared" si="187"/>
        <v>0</v>
      </c>
      <c r="BC347" s="3123">
        <f t="shared" si="188"/>
        <v>0</v>
      </c>
      <c r="BD347" s="3123">
        <f t="shared" si="189"/>
        <v>0</v>
      </c>
      <c r="BE347" s="3123">
        <f t="shared" si="190"/>
        <v>0</v>
      </c>
      <c r="BF347" s="3123">
        <f t="shared" si="191"/>
        <v>0</v>
      </c>
      <c r="BG347" s="3123">
        <f t="shared" si="192"/>
        <v>0</v>
      </c>
      <c r="BH347" s="3123">
        <f t="shared" si="193"/>
        <v>0</v>
      </c>
      <c r="BI347" s="3123">
        <f t="shared" si="194"/>
        <v>0</v>
      </c>
      <c r="BJ347" s="3123">
        <f t="shared" si="195"/>
        <v>0</v>
      </c>
      <c r="BK347" s="3123">
        <f t="shared" si="196"/>
        <v>0</v>
      </c>
      <c r="BL347" s="3123">
        <f t="shared" si="197"/>
        <v>0</v>
      </c>
      <c r="BM347" s="3123">
        <f t="shared" si="198"/>
        <v>0</v>
      </c>
      <c r="BN347" s="3123">
        <f t="shared" si="199"/>
        <v>0</v>
      </c>
      <c r="BO347" s="3123">
        <f t="shared" si="200"/>
        <v>0</v>
      </c>
      <c r="BP347" s="3123">
        <f t="shared" si="201"/>
        <v>0</v>
      </c>
      <c r="BQ347" s="3123">
        <f t="shared" si="202"/>
        <v>0</v>
      </c>
      <c r="BR347" s="3123">
        <f t="shared" si="203"/>
        <v>0</v>
      </c>
      <c r="BS347" s="3123">
        <f t="shared" si="204"/>
        <v>0</v>
      </c>
      <c r="BT347" s="3175">
        <f t="shared" si="205"/>
        <v>0</v>
      </c>
    </row>
    <row r="348" spans="1:72">
      <c r="A348" s="3120"/>
      <c r="B348" s="3121"/>
      <c r="C348" s="3121"/>
      <c r="D348" s="3122"/>
      <c r="E348" s="3123">
        <f t="shared" si="206"/>
        <v>0</v>
      </c>
      <c r="F348" s="3124"/>
      <c r="G348" s="3125">
        <f t="shared" si="181"/>
        <v>0</v>
      </c>
      <c r="H348" s="3126">
        <f t="shared" si="182"/>
        <v>0</v>
      </c>
      <c r="I348" s="3133"/>
      <c r="J348" s="3133"/>
      <c r="K348" s="3133"/>
      <c r="L348" s="3133"/>
      <c r="M348" s="3133"/>
      <c r="N348" s="3133"/>
      <c r="O348" s="3133"/>
      <c r="P348" s="3133"/>
      <c r="Q348" s="3133"/>
      <c r="R348" s="3133"/>
      <c r="S348" s="3133"/>
      <c r="T348" s="3133"/>
      <c r="U348" s="3133"/>
      <c r="V348" s="3133"/>
      <c r="W348" s="3133"/>
      <c r="X348" s="3133"/>
      <c r="Y348" s="3133"/>
      <c r="Z348" s="3133"/>
      <c r="AA348" s="3133"/>
      <c r="AB348" s="3133"/>
      <c r="AC348" s="3123">
        <f t="shared" si="183"/>
        <v>0</v>
      </c>
      <c r="AD348" s="3143"/>
      <c r="AE348" s="3143"/>
      <c r="AF348" s="3143"/>
      <c r="AG348" s="3143"/>
      <c r="AH348" s="3143"/>
      <c r="AI348" s="3143"/>
      <c r="AJ348" s="3143"/>
      <c r="AK348" s="3143"/>
      <c r="AL348" s="3143"/>
      <c r="AM348" s="3143"/>
      <c r="AN348" s="3143"/>
      <c r="AO348" s="3143"/>
      <c r="AP348" s="3143"/>
      <c r="AQ348" s="3143"/>
      <c r="AR348" s="3143"/>
      <c r="AS348" s="3143"/>
      <c r="AT348" s="3153"/>
      <c r="AU348" s="3154"/>
      <c r="AV348" s="270">
        <f t="shared" si="207"/>
        <v>0</v>
      </c>
      <c r="AW348" s="270">
        <f t="shared" si="208"/>
        <v>0</v>
      </c>
      <c r="AX348" s="270">
        <f t="shared" si="209"/>
        <v>0</v>
      </c>
      <c r="AY348" s="3168">
        <f t="shared" si="184"/>
        <v>0</v>
      </c>
      <c r="AZ348" s="3123">
        <f t="shared" si="185"/>
        <v>0</v>
      </c>
      <c r="BA348" s="3123">
        <f t="shared" si="186"/>
        <v>0</v>
      </c>
      <c r="BB348" s="3123">
        <f t="shared" si="187"/>
        <v>0</v>
      </c>
      <c r="BC348" s="3123">
        <f t="shared" si="188"/>
        <v>0</v>
      </c>
      <c r="BD348" s="3123">
        <f t="shared" si="189"/>
        <v>0</v>
      </c>
      <c r="BE348" s="3123">
        <f t="shared" si="190"/>
        <v>0</v>
      </c>
      <c r="BF348" s="3123">
        <f t="shared" si="191"/>
        <v>0</v>
      </c>
      <c r="BG348" s="3123">
        <f t="shared" si="192"/>
        <v>0</v>
      </c>
      <c r="BH348" s="3123">
        <f t="shared" si="193"/>
        <v>0</v>
      </c>
      <c r="BI348" s="3123">
        <f t="shared" si="194"/>
        <v>0</v>
      </c>
      <c r="BJ348" s="3123">
        <f t="shared" si="195"/>
        <v>0</v>
      </c>
      <c r="BK348" s="3123">
        <f t="shared" si="196"/>
        <v>0</v>
      </c>
      <c r="BL348" s="3123">
        <f t="shared" si="197"/>
        <v>0</v>
      </c>
      <c r="BM348" s="3123">
        <f t="shared" si="198"/>
        <v>0</v>
      </c>
      <c r="BN348" s="3123">
        <f t="shared" si="199"/>
        <v>0</v>
      </c>
      <c r="BO348" s="3123">
        <f t="shared" si="200"/>
        <v>0</v>
      </c>
      <c r="BP348" s="3123">
        <f t="shared" si="201"/>
        <v>0</v>
      </c>
      <c r="BQ348" s="3123">
        <f t="shared" si="202"/>
        <v>0</v>
      </c>
      <c r="BR348" s="3123">
        <f t="shared" si="203"/>
        <v>0</v>
      </c>
      <c r="BS348" s="3123">
        <f t="shared" si="204"/>
        <v>0</v>
      </c>
      <c r="BT348" s="3175">
        <f t="shared" si="205"/>
        <v>0</v>
      </c>
    </row>
    <row r="349" spans="1:72">
      <c r="A349" s="3120"/>
      <c r="B349" s="3121"/>
      <c r="C349" s="3121"/>
      <c r="D349" s="3122"/>
      <c r="E349" s="3123">
        <f t="shared" si="206"/>
        <v>0</v>
      </c>
      <c r="F349" s="3124"/>
      <c r="G349" s="3125">
        <f t="shared" si="181"/>
        <v>0</v>
      </c>
      <c r="H349" s="3126">
        <f t="shared" si="182"/>
        <v>0</v>
      </c>
      <c r="I349" s="3133"/>
      <c r="J349" s="3133"/>
      <c r="K349" s="3133"/>
      <c r="L349" s="3133"/>
      <c r="M349" s="3133"/>
      <c r="N349" s="3133"/>
      <c r="O349" s="3133"/>
      <c r="P349" s="3133"/>
      <c r="Q349" s="3133"/>
      <c r="R349" s="3133"/>
      <c r="S349" s="3133"/>
      <c r="T349" s="3133"/>
      <c r="U349" s="3133"/>
      <c r="V349" s="3133"/>
      <c r="W349" s="3133"/>
      <c r="X349" s="3133"/>
      <c r="Y349" s="3133"/>
      <c r="Z349" s="3133"/>
      <c r="AA349" s="3133"/>
      <c r="AB349" s="3133"/>
      <c r="AC349" s="3123">
        <f t="shared" si="183"/>
        <v>0</v>
      </c>
      <c r="AD349" s="3143"/>
      <c r="AE349" s="3143"/>
      <c r="AF349" s="3143"/>
      <c r="AG349" s="3143"/>
      <c r="AH349" s="3143"/>
      <c r="AI349" s="3143"/>
      <c r="AJ349" s="3143"/>
      <c r="AK349" s="3143"/>
      <c r="AL349" s="3143"/>
      <c r="AM349" s="3143"/>
      <c r="AN349" s="3143"/>
      <c r="AO349" s="3143"/>
      <c r="AP349" s="3143"/>
      <c r="AQ349" s="3143"/>
      <c r="AR349" s="3143"/>
      <c r="AS349" s="3143"/>
      <c r="AT349" s="3153"/>
      <c r="AU349" s="3154"/>
      <c r="AV349" s="270">
        <f t="shared" si="207"/>
        <v>0</v>
      </c>
      <c r="AW349" s="270">
        <f t="shared" si="208"/>
        <v>0</v>
      </c>
      <c r="AX349" s="270">
        <f t="shared" si="209"/>
        <v>0</v>
      </c>
      <c r="AY349" s="3168">
        <f t="shared" si="184"/>
        <v>0</v>
      </c>
      <c r="AZ349" s="3123">
        <f t="shared" si="185"/>
        <v>0</v>
      </c>
      <c r="BA349" s="3123">
        <f t="shared" si="186"/>
        <v>0</v>
      </c>
      <c r="BB349" s="3123">
        <f t="shared" si="187"/>
        <v>0</v>
      </c>
      <c r="BC349" s="3123">
        <f t="shared" si="188"/>
        <v>0</v>
      </c>
      <c r="BD349" s="3123">
        <f t="shared" si="189"/>
        <v>0</v>
      </c>
      <c r="BE349" s="3123">
        <f t="shared" si="190"/>
        <v>0</v>
      </c>
      <c r="BF349" s="3123">
        <f t="shared" si="191"/>
        <v>0</v>
      </c>
      <c r="BG349" s="3123">
        <f t="shared" si="192"/>
        <v>0</v>
      </c>
      <c r="BH349" s="3123">
        <f t="shared" si="193"/>
        <v>0</v>
      </c>
      <c r="BI349" s="3123">
        <f t="shared" si="194"/>
        <v>0</v>
      </c>
      <c r="BJ349" s="3123">
        <f t="shared" si="195"/>
        <v>0</v>
      </c>
      <c r="BK349" s="3123">
        <f t="shared" si="196"/>
        <v>0</v>
      </c>
      <c r="BL349" s="3123">
        <f t="shared" si="197"/>
        <v>0</v>
      </c>
      <c r="BM349" s="3123">
        <f t="shared" si="198"/>
        <v>0</v>
      </c>
      <c r="BN349" s="3123">
        <f t="shared" si="199"/>
        <v>0</v>
      </c>
      <c r="BO349" s="3123">
        <f t="shared" si="200"/>
        <v>0</v>
      </c>
      <c r="BP349" s="3123">
        <f t="shared" si="201"/>
        <v>0</v>
      </c>
      <c r="BQ349" s="3123">
        <f t="shared" si="202"/>
        <v>0</v>
      </c>
      <c r="BR349" s="3123">
        <f t="shared" si="203"/>
        <v>0</v>
      </c>
      <c r="BS349" s="3123">
        <f t="shared" si="204"/>
        <v>0</v>
      </c>
      <c r="BT349" s="3175">
        <f t="shared" si="205"/>
        <v>0</v>
      </c>
    </row>
    <row r="350" spans="1:72">
      <c r="A350" s="3120"/>
      <c r="B350" s="3121"/>
      <c r="C350" s="3121"/>
      <c r="D350" s="3122"/>
      <c r="E350" s="3123">
        <f t="shared" si="206"/>
        <v>0</v>
      </c>
      <c r="F350" s="3124"/>
      <c r="G350" s="3125">
        <f t="shared" si="181"/>
        <v>0</v>
      </c>
      <c r="H350" s="3126">
        <f t="shared" si="182"/>
        <v>0</v>
      </c>
      <c r="I350" s="3133"/>
      <c r="J350" s="3133"/>
      <c r="K350" s="3133"/>
      <c r="L350" s="3133"/>
      <c r="M350" s="3133"/>
      <c r="N350" s="3133"/>
      <c r="O350" s="3133"/>
      <c r="P350" s="3133"/>
      <c r="Q350" s="3133"/>
      <c r="R350" s="3133"/>
      <c r="S350" s="3133"/>
      <c r="T350" s="3133"/>
      <c r="U350" s="3133"/>
      <c r="V350" s="3133"/>
      <c r="W350" s="3133"/>
      <c r="X350" s="3133"/>
      <c r="Y350" s="3133"/>
      <c r="Z350" s="3133"/>
      <c r="AA350" s="3133"/>
      <c r="AB350" s="3133"/>
      <c r="AC350" s="3123">
        <f t="shared" si="183"/>
        <v>0</v>
      </c>
      <c r="AD350" s="3143"/>
      <c r="AE350" s="3143"/>
      <c r="AF350" s="3143"/>
      <c r="AG350" s="3143"/>
      <c r="AH350" s="3143"/>
      <c r="AI350" s="3143"/>
      <c r="AJ350" s="3143"/>
      <c r="AK350" s="3143"/>
      <c r="AL350" s="3143"/>
      <c r="AM350" s="3143"/>
      <c r="AN350" s="3143"/>
      <c r="AO350" s="3143"/>
      <c r="AP350" s="3143"/>
      <c r="AQ350" s="3143"/>
      <c r="AR350" s="3143"/>
      <c r="AS350" s="3143"/>
      <c r="AT350" s="3153"/>
      <c r="AU350" s="3154"/>
      <c r="AV350" s="270">
        <f t="shared" si="207"/>
        <v>0</v>
      </c>
      <c r="AW350" s="270">
        <f t="shared" si="208"/>
        <v>0</v>
      </c>
      <c r="AX350" s="270">
        <f t="shared" si="209"/>
        <v>0</v>
      </c>
      <c r="AY350" s="3168">
        <f t="shared" si="184"/>
        <v>0</v>
      </c>
      <c r="AZ350" s="3123">
        <f t="shared" si="185"/>
        <v>0</v>
      </c>
      <c r="BA350" s="3123">
        <f t="shared" si="186"/>
        <v>0</v>
      </c>
      <c r="BB350" s="3123">
        <f t="shared" si="187"/>
        <v>0</v>
      </c>
      <c r="BC350" s="3123">
        <f t="shared" si="188"/>
        <v>0</v>
      </c>
      <c r="BD350" s="3123">
        <f t="shared" si="189"/>
        <v>0</v>
      </c>
      <c r="BE350" s="3123">
        <f t="shared" si="190"/>
        <v>0</v>
      </c>
      <c r="BF350" s="3123">
        <f t="shared" si="191"/>
        <v>0</v>
      </c>
      <c r="BG350" s="3123">
        <f t="shared" si="192"/>
        <v>0</v>
      </c>
      <c r="BH350" s="3123">
        <f t="shared" si="193"/>
        <v>0</v>
      </c>
      <c r="BI350" s="3123">
        <f t="shared" si="194"/>
        <v>0</v>
      </c>
      <c r="BJ350" s="3123">
        <f t="shared" si="195"/>
        <v>0</v>
      </c>
      <c r="BK350" s="3123">
        <f t="shared" si="196"/>
        <v>0</v>
      </c>
      <c r="BL350" s="3123">
        <f t="shared" si="197"/>
        <v>0</v>
      </c>
      <c r="BM350" s="3123">
        <f t="shared" si="198"/>
        <v>0</v>
      </c>
      <c r="BN350" s="3123">
        <f t="shared" si="199"/>
        <v>0</v>
      </c>
      <c r="BO350" s="3123">
        <f t="shared" si="200"/>
        <v>0</v>
      </c>
      <c r="BP350" s="3123">
        <f t="shared" si="201"/>
        <v>0</v>
      </c>
      <c r="BQ350" s="3123">
        <f t="shared" si="202"/>
        <v>0</v>
      </c>
      <c r="BR350" s="3123">
        <f t="shared" si="203"/>
        <v>0</v>
      </c>
      <c r="BS350" s="3123">
        <f t="shared" si="204"/>
        <v>0</v>
      </c>
      <c r="BT350" s="3175">
        <f t="shared" si="205"/>
        <v>0</v>
      </c>
    </row>
    <row r="351" spans="1:72">
      <c r="A351" s="3120"/>
      <c r="B351" s="3121"/>
      <c r="C351" s="3121"/>
      <c r="D351" s="3122"/>
      <c r="E351" s="3123">
        <f t="shared" si="206"/>
        <v>0</v>
      </c>
      <c r="F351" s="3124"/>
      <c r="G351" s="3125">
        <f t="shared" si="181"/>
        <v>0</v>
      </c>
      <c r="H351" s="3126">
        <f t="shared" si="182"/>
        <v>0</v>
      </c>
      <c r="I351" s="3133"/>
      <c r="J351" s="3133"/>
      <c r="K351" s="3133"/>
      <c r="L351" s="3133"/>
      <c r="M351" s="3133"/>
      <c r="N351" s="3133"/>
      <c r="O351" s="3133"/>
      <c r="P351" s="3133"/>
      <c r="Q351" s="3133"/>
      <c r="R351" s="3133"/>
      <c r="S351" s="3133"/>
      <c r="T351" s="3133"/>
      <c r="U351" s="3133"/>
      <c r="V351" s="3133"/>
      <c r="W351" s="3133"/>
      <c r="X351" s="3133"/>
      <c r="Y351" s="3133"/>
      <c r="Z351" s="3133"/>
      <c r="AA351" s="3133"/>
      <c r="AB351" s="3133"/>
      <c r="AC351" s="3123">
        <f t="shared" si="183"/>
        <v>0</v>
      </c>
      <c r="AD351" s="3143"/>
      <c r="AE351" s="3143"/>
      <c r="AF351" s="3143"/>
      <c r="AG351" s="3143"/>
      <c r="AH351" s="3143"/>
      <c r="AI351" s="3143"/>
      <c r="AJ351" s="3143"/>
      <c r="AK351" s="3143"/>
      <c r="AL351" s="3143"/>
      <c r="AM351" s="3143"/>
      <c r="AN351" s="3143"/>
      <c r="AO351" s="3143"/>
      <c r="AP351" s="3143"/>
      <c r="AQ351" s="3143"/>
      <c r="AR351" s="3143"/>
      <c r="AS351" s="3143"/>
      <c r="AT351" s="3153"/>
      <c r="AU351" s="3154"/>
      <c r="AV351" s="270">
        <f t="shared" si="207"/>
        <v>0</v>
      </c>
      <c r="AW351" s="270">
        <f t="shared" si="208"/>
        <v>0</v>
      </c>
      <c r="AX351" s="270">
        <f t="shared" si="209"/>
        <v>0</v>
      </c>
      <c r="AY351" s="3168">
        <f t="shared" si="184"/>
        <v>0</v>
      </c>
      <c r="AZ351" s="3123">
        <f t="shared" si="185"/>
        <v>0</v>
      </c>
      <c r="BA351" s="3123">
        <f t="shared" si="186"/>
        <v>0</v>
      </c>
      <c r="BB351" s="3123">
        <f t="shared" si="187"/>
        <v>0</v>
      </c>
      <c r="BC351" s="3123">
        <f t="shared" si="188"/>
        <v>0</v>
      </c>
      <c r="BD351" s="3123">
        <f t="shared" si="189"/>
        <v>0</v>
      </c>
      <c r="BE351" s="3123">
        <f t="shared" si="190"/>
        <v>0</v>
      </c>
      <c r="BF351" s="3123">
        <f t="shared" si="191"/>
        <v>0</v>
      </c>
      <c r="BG351" s="3123">
        <f t="shared" si="192"/>
        <v>0</v>
      </c>
      <c r="BH351" s="3123">
        <f t="shared" si="193"/>
        <v>0</v>
      </c>
      <c r="BI351" s="3123">
        <f t="shared" si="194"/>
        <v>0</v>
      </c>
      <c r="BJ351" s="3123">
        <f t="shared" si="195"/>
        <v>0</v>
      </c>
      <c r="BK351" s="3123">
        <f t="shared" si="196"/>
        <v>0</v>
      </c>
      <c r="BL351" s="3123">
        <f t="shared" si="197"/>
        <v>0</v>
      </c>
      <c r="BM351" s="3123">
        <f t="shared" si="198"/>
        <v>0</v>
      </c>
      <c r="BN351" s="3123">
        <f t="shared" si="199"/>
        <v>0</v>
      </c>
      <c r="BO351" s="3123">
        <f t="shared" si="200"/>
        <v>0</v>
      </c>
      <c r="BP351" s="3123">
        <f t="shared" si="201"/>
        <v>0</v>
      </c>
      <c r="BQ351" s="3123">
        <f t="shared" si="202"/>
        <v>0</v>
      </c>
      <c r="BR351" s="3123">
        <f t="shared" si="203"/>
        <v>0</v>
      </c>
      <c r="BS351" s="3123">
        <f t="shared" si="204"/>
        <v>0</v>
      </c>
      <c r="BT351" s="3175">
        <f t="shared" si="205"/>
        <v>0</v>
      </c>
    </row>
    <row r="352" spans="1:72">
      <c r="A352" s="3120"/>
      <c r="B352" s="3121"/>
      <c r="C352" s="3121"/>
      <c r="D352" s="3122"/>
      <c r="E352" s="3123">
        <f t="shared" si="206"/>
        <v>0</v>
      </c>
      <c r="F352" s="3124"/>
      <c r="G352" s="3125">
        <f t="shared" si="181"/>
        <v>0</v>
      </c>
      <c r="H352" s="3126">
        <f t="shared" si="182"/>
        <v>0</v>
      </c>
      <c r="I352" s="3133"/>
      <c r="J352" s="3133"/>
      <c r="K352" s="3133"/>
      <c r="L352" s="3133"/>
      <c r="M352" s="3133"/>
      <c r="N352" s="3133"/>
      <c r="O352" s="3133"/>
      <c r="P352" s="3133"/>
      <c r="Q352" s="3133"/>
      <c r="R352" s="3133"/>
      <c r="S352" s="3133"/>
      <c r="T352" s="3133"/>
      <c r="U352" s="3133"/>
      <c r="V352" s="3133"/>
      <c r="W352" s="3133"/>
      <c r="X352" s="3133"/>
      <c r="Y352" s="3133"/>
      <c r="Z352" s="3133"/>
      <c r="AA352" s="3133"/>
      <c r="AB352" s="3133"/>
      <c r="AC352" s="3123">
        <f t="shared" si="183"/>
        <v>0</v>
      </c>
      <c r="AD352" s="3143"/>
      <c r="AE352" s="3143"/>
      <c r="AF352" s="3143"/>
      <c r="AG352" s="3143"/>
      <c r="AH352" s="3143"/>
      <c r="AI352" s="3143"/>
      <c r="AJ352" s="3143"/>
      <c r="AK352" s="3143"/>
      <c r="AL352" s="3143"/>
      <c r="AM352" s="3143"/>
      <c r="AN352" s="3143"/>
      <c r="AO352" s="3143"/>
      <c r="AP352" s="3143"/>
      <c r="AQ352" s="3143"/>
      <c r="AR352" s="3143"/>
      <c r="AS352" s="3143"/>
      <c r="AT352" s="3153"/>
      <c r="AU352" s="3154"/>
      <c r="AV352" s="270">
        <f t="shared" si="207"/>
        <v>0</v>
      </c>
      <c r="AW352" s="270">
        <f t="shared" si="208"/>
        <v>0</v>
      </c>
      <c r="AX352" s="270">
        <f t="shared" si="209"/>
        <v>0</v>
      </c>
      <c r="AY352" s="3168">
        <f t="shared" si="184"/>
        <v>0</v>
      </c>
      <c r="AZ352" s="3123">
        <f t="shared" si="185"/>
        <v>0</v>
      </c>
      <c r="BA352" s="3123">
        <f t="shared" si="186"/>
        <v>0</v>
      </c>
      <c r="BB352" s="3123">
        <f t="shared" si="187"/>
        <v>0</v>
      </c>
      <c r="BC352" s="3123">
        <f t="shared" si="188"/>
        <v>0</v>
      </c>
      <c r="BD352" s="3123">
        <f t="shared" si="189"/>
        <v>0</v>
      </c>
      <c r="BE352" s="3123">
        <f t="shared" si="190"/>
        <v>0</v>
      </c>
      <c r="BF352" s="3123">
        <f t="shared" si="191"/>
        <v>0</v>
      </c>
      <c r="BG352" s="3123">
        <f t="shared" si="192"/>
        <v>0</v>
      </c>
      <c r="BH352" s="3123">
        <f t="shared" si="193"/>
        <v>0</v>
      </c>
      <c r="BI352" s="3123">
        <f t="shared" si="194"/>
        <v>0</v>
      </c>
      <c r="BJ352" s="3123">
        <f t="shared" si="195"/>
        <v>0</v>
      </c>
      <c r="BK352" s="3123">
        <f t="shared" si="196"/>
        <v>0</v>
      </c>
      <c r="BL352" s="3123">
        <f t="shared" si="197"/>
        <v>0</v>
      </c>
      <c r="BM352" s="3123">
        <f t="shared" si="198"/>
        <v>0</v>
      </c>
      <c r="BN352" s="3123">
        <f t="shared" si="199"/>
        <v>0</v>
      </c>
      <c r="BO352" s="3123">
        <f t="shared" si="200"/>
        <v>0</v>
      </c>
      <c r="BP352" s="3123">
        <f t="shared" si="201"/>
        <v>0</v>
      </c>
      <c r="BQ352" s="3123">
        <f t="shared" si="202"/>
        <v>0</v>
      </c>
      <c r="BR352" s="3123">
        <f t="shared" si="203"/>
        <v>0</v>
      </c>
      <c r="BS352" s="3123">
        <f t="shared" si="204"/>
        <v>0</v>
      </c>
      <c r="BT352" s="3175">
        <f t="shared" si="205"/>
        <v>0</v>
      </c>
    </row>
    <row r="353" spans="1:72">
      <c r="A353" s="3120"/>
      <c r="B353" s="3121"/>
      <c r="C353" s="3121"/>
      <c r="D353" s="3122"/>
      <c r="E353" s="3123">
        <f t="shared" si="206"/>
        <v>0</v>
      </c>
      <c r="F353" s="3124"/>
      <c r="G353" s="3125">
        <f t="shared" si="181"/>
        <v>0</v>
      </c>
      <c r="H353" s="3126">
        <f t="shared" si="182"/>
        <v>0</v>
      </c>
      <c r="I353" s="3133"/>
      <c r="J353" s="3133"/>
      <c r="K353" s="3133"/>
      <c r="L353" s="3133"/>
      <c r="M353" s="3133"/>
      <c r="N353" s="3133"/>
      <c r="O353" s="3133"/>
      <c r="P353" s="3133"/>
      <c r="Q353" s="3133"/>
      <c r="R353" s="3133"/>
      <c r="S353" s="3133"/>
      <c r="T353" s="3133"/>
      <c r="U353" s="3133"/>
      <c r="V353" s="3133"/>
      <c r="W353" s="3133"/>
      <c r="X353" s="3133"/>
      <c r="Y353" s="3133"/>
      <c r="Z353" s="3133"/>
      <c r="AA353" s="3133"/>
      <c r="AB353" s="3133"/>
      <c r="AC353" s="3123">
        <f t="shared" si="183"/>
        <v>0</v>
      </c>
      <c r="AD353" s="3143"/>
      <c r="AE353" s="3143"/>
      <c r="AF353" s="3143"/>
      <c r="AG353" s="3143"/>
      <c r="AH353" s="3143"/>
      <c r="AI353" s="3143"/>
      <c r="AJ353" s="3143"/>
      <c r="AK353" s="3143"/>
      <c r="AL353" s="3143"/>
      <c r="AM353" s="3143"/>
      <c r="AN353" s="3143"/>
      <c r="AO353" s="3143"/>
      <c r="AP353" s="3143"/>
      <c r="AQ353" s="3143"/>
      <c r="AR353" s="3143"/>
      <c r="AS353" s="3143"/>
      <c r="AT353" s="3153"/>
      <c r="AU353" s="3154"/>
      <c r="AV353" s="270">
        <f t="shared" si="207"/>
        <v>0</v>
      </c>
      <c r="AW353" s="270">
        <f t="shared" si="208"/>
        <v>0</v>
      </c>
      <c r="AX353" s="270">
        <f t="shared" si="209"/>
        <v>0</v>
      </c>
      <c r="AY353" s="3168">
        <f t="shared" si="184"/>
        <v>0</v>
      </c>
      <c r="AZ353" s="3123">
        <f t="shared" si="185"/>
        <v>0</v>
      </c>
      <c r="BA353" s="3123">
        <f t="shared" si="186"/>
        <v>0</v>
      </c>
      <c r="BB353" s="3123">
        <f t="shared" si="187"/>
        <v>0</v>
      </c>
      <c r="BC353" s="3123">
        <f t="shared" si="188"/>
        <v>0</v>
      </c>
      <c r="BD353" s="3123">
        <f t="shared" si="189"/>
        <v>0</v>
      </c>
      <c r="BE353" s="3123">
        <f t="shared" si="190"/>
        <v>0</v>
      </c>
      <c r="BF353" s="3123">
        <f t="shared" si="191"/>
        <v>0</v>
      </c>
      <c r="BG353" s="3123">
        <f t="shared" si="192"/>
        <v>0</v>
      </c>
      <c r="BH353" s="3123">
        <f t="shared" si="193"/>
        <v>0</v>
      </c>
      <c r="BI353" s="3123">
        <f t="shared" si="194"/>
        <v>0</v>
      </c>
      <c r="BJ353" s="3123">
        <f t="shared" si="195"/>
        <v>0</v>
      </c>
      <c r="BK353" s="3123">
        <f t="shared" si="196"/>
        <v>0</v>
      </c>
      <c r="BL353" s="3123">
        <f t="shared" si="197"/>
        <v>0</v>
      </c>
      <c r="BM353" s="3123">
        <f t="shared" si="198"/>
        <v>0</v>
      </c>
      <c r="BN353" s="3123">
        <f t="shared" si="199"/>
        <v>0</v>
      </c>
      <c r="BO353" s="3123">
        <f t="shared" si="200"/>
        <v>0</v>
      </c>
      <c r="BP353" s="3123">
        <f t="shared" si="201"/>
        <v>0</v>
      </c>
      <c r="BQ353" s="3123">
        <f t="shared" si="202"/>
        <v>0</v>
      </c>
      <c r="BR353" s="3123">
        <f t="shared" si="203"/>
        <v>0</v>
      </c>
      <c r="BS353" s="3123">
        <f t="shared" si="204"/>
        <v>0</v>
      </c>
      <c r="BT353" s="3175">
        <f t="shared" si="205"/>
        <v>0</v>
      </c>
    </row>
    <row r="354" spans="1:72">
      <c r="A354" s="3120"/>
      <c r="B354" s="3121"/>
      <c r="C354" s="3121"/>
      <c r="D354" s="3122"/>
      <c r="E354" s="3123">
        <f t="shared" si="206"/>
        <v>0</v>
      </c>
      <c r="F354" s="3124"/>
      <c r="G354" s="3125">
        <f t="shared" si="181"/>
        <v>0</v>
      </c>
      <c r="H354" s="3126">
        <f t="shared" si="182"/>
        <v>0</v>
      </c>
      <c r="I354" s="3133"/>
      <c r="J354" s="3133"/>
      <c r="K354" s="3133"/>
      <c r="L354" s="3133"/>
      <c r="M354" s="3133"/>
      <c r="N354" s="3133"/>
      <c r="O354" s="3133"/>
      <c r="P354" s="3133"/>
      <c r="Q354" s="3133"/>
      <c r="R354" s="3133"/>
      <c r="S354" s="3133"/>
      <c r="T354" s="3133"/>
      <c r="U354" s="3133"/>
      <c r="V354" s="3133"/>
      <c r="W354" s="3133"/>
      <c r="X354" s="3133"/>
      <c r="Y354" s="3133"/>
      <c r="Z354" s="3133"/>
      <c r="AA354" s="3133"/>
      <c r="AB354" s="3133"/>
      <c r="AC354" s="3123">
        <f t="shared" si="183"/>
        <v>0</v>
      </c>
      <c r="AD354" s="3143"/>
      <c r="AE354" s="3143"/>
      <c r="AF354" s="3143"/>
      <c r="AG354" s="3143"/>
      <c r="AH354" s="3143"/>
      <c r="AI354" s="3143"/>
      <c r="AJ354" s="3143"/>
      <c r="AK354" s="3143"/>
      <c r="AL354" s="3143"/>
      <c r="AM354" s="3143"/>
      <c r="AN354" s="3143"/>
      <c r="AO354" s="3143"/>
      <c r="AP354" s="3143"/>
      <c r="AQ354" s="3143"/>
      <c r="AR354" s="3143"/>
      <c r="AS354" s="3143"/>
      <c r="AT354" s="3153"/>
      <c r="AU354" s="3154"/>
      <c r="AV354" s="270">
        <f t="shared" si="207"/>
        <v>0</v>
      </c>
      <c r="AW354" s="270">
        <f t="shared" si="208"/>
        <v>0</v>
      </c>
      <c r="AX354" s="270">
        <f t="shared" si="209"/>
        <v>0</v>
      </c>
      <c r="AY354" s="3168">
        <f t="shared" si="184"/>
        <v>0</v>
      </c>
      <c r="AZ354" s="3123">
        <f t="shared" si="185"/>
        <v>0</v>
      </c>
      <c r="BA354" s="3123">
        <f t="shared" si="186"/>
        <v>0</v>
      </c>
      <c r="BB354" s="3123">
        <f t="shared" si="187"/>
        <v>0</v>
      </c>
      <c r="BC354" s="3123">
        <f t="shared" si="188"/>
        <v>0</v>
      </c>
      <c r="BD354" s="3123">
        <f t="shared" si="189"/>
        <v>0</v>
      </c>
      <c r="BE354" s="3123">
        <f t="shared" si="190"/>
        <v>0</v>
      </c>
      <c r="BF354" s="3123">
        <f t="shared" si="191"/>
        <v>0</v>
      </c>
      <c r="BG354" s="3123">
        <f t="shared" si="192"/>
        <v>0</v>
      </c>
      <c r="BH354" s="3123">
        <f t="shared" si="193"/>
        <v>0</v>
      </c>
      <c r="BI354" s="3123">
        <f t="shared" si="194"/>
        <v>0</v>
      </c>
      <c r="BJ354" s="3123">
        <f t="shared" si="195"/>
        <v>0</v>
      </c>
      <c r="BK354" s="3123">
        <f t="shared" si="196"/>
        <v>0</v>
      </c>
      <c r="BL354" s="3123">
        <f t="shared" si="197"/>
        <v>0</v>
      </c>
      <c r="BM354" s="3123">
        <f t="shared" si="198"/>
        <v>0</v>
      </c>
      <c r="BN354" s="3123">
        <f t="shared" si="199"/>
        <v>0</v>
      </c>
      <c r="BO354" s="3123">
        <f t="shared" si="200"/>
        <v>0</v>
      </c>
      <c r="BP354" s="3123">
        <f t="shared" si="201"/>
        <v>0</v>
      </c>
      <c r="BQ354" s="3123">
        <f t="shared" si="202"/>
        <v>0</v>
      </c>
      <c r="BR354" s="3123">
        <f t="shared" si="203"/>
        <v>0</v>
      </c>
      <c r="BS354" s="3123">
        <f t="shared" si="204"/>
        <v>0</v>
      </c>
      <c r="BT354" s="3175">
        <f t="shared" si="205"/>
        <v>0</v>
      </c>
    </row>
    <row r="355" spans="1:72">
      <c r="A355" s="3120"/>
      <c r="B355" s="3121"/>
      <c r="C355" s="3121"/>
      <c r="D355" s="3122"/>
      <c r="E355" s="3123">
        <f t="shared" si="206"/>
        <v>0</v>
      </c>
      <c r="F355" s="3124"/>
      <c r="G355" s="3125">
        <f t="shared" si="181"/>
        <v>0</v>
      </c>
      <c r="H355" s="3126">
        <f t="shared" si="182"/>
        <v>0</v>
      </c>
      <c r="I355" s="3133"/>
      <c r="J355" s="3133"/>
      <c r="K355" s="3133"/>
      <c r="L355" s="3133"/>
      <c r="M355" s="3133"/>
      <c r="N355" s="3133"/>
      <c r="O355" s="3133"/>
      <c r="P355" s="3133"/>
      <c r="Q355" s="3133"/>
      <c r="R355" s="3133"/>
      <c r="S355" s="3133"/>
      <c r="T355" s="3133"/>
      <c r="U355" s="3133"/>
      <c r="V355" s="3133"/>
      <c r="W355" s="3133"/>
      <c r="X355" s="3133"/>
      <c r="Y355" s="3133"/>
      <c r="Z355" s="3133"/>
      <c r="AA355" s="3133"/>
      <c r="AB355" s="3133"/>
      <c r="AC355" s="3123">
        <f t="shared" si="183"/>
        <v>0</v>
      </c>
      <c r="AD355" s="3143"/>
      <c r="AE355" s="3143"/>
      <c r="AF355" s="3143"/>
      <c r="AG355" s="3143"/>
      <c r="AH355" s="3143"/>
      <c r="AI355" s="3143"/>
      <c r="AJ355" s="3143"/>
      <c r="AK355" s="3143"/>
      <c r="AL355" s="3143"/>
      <c r="AM355" s="3143"/>
      <c r="AN355" s="3143"/>
      <c r="AO355" s="3143"/>
      <c r="AP355" s="3143"/>
      <c r="AQ355" s="3143"/>
      <c r="AR355" s="3143"/>
      <c r="AS355" s="3143"/>
      <c r="AT355" s="3153"/>
      <c r="AU355" s="3154"/>
      <c r="AV355" s="270">
        <f t="shared" si="207"/>
        <v>0</v>
      </c>
      <c r="AW355" s="270">
        <f t="shared" si="208"/>
        <v>0</v>
      </c>
      <c r="AX355" s="270">
        <f t="shared" si="209"/>
        <v>0</v>
      </c>
      <c r="AY355" s="3168">
        <f t="shared" si="184"/>
        <v>0</v>
      </c>
      <c r="AZ355" s="3123">
        <f t="shared" si="185"/>
        <v>0</v>
      </c>
      <c r="BA355" s="3123">
        <f t="shared" si="186"/>
        <v>0</v>
      </c>
      <c r="BB355" s="3123">
        <f t="shared" si="187"/>
        <v>0</v>
      </c>
      <c r="BC355" s="3123">
        <f t="shared" si="188"/>
        <v>0</v>
      </c>
      <c r="BD355" s="3123">
        <f t="shared" si="189"/>
        <v>0</v>
      </c>
      <c r="BE355" s="3123">
        <f t="shared" si="190"/>
        <v>0</v>
      </c>
      <c r="BF355" s="3123">
        <f t="shared" si="191"/>
        <v>0</v>
      </c>
      <c r="BG355" s="3123">
        <f t="shared" si="192"/>
        <v>0</v>
      </c>
      <c r="BH355" s="3123">
        <f t="shared" si="193"/>
        <v>0</v>
      </c>
      <c r="BI355" s="3123">
        <f t="shared" si="194"/>
        <v>0</v>
      </c>
      <c r="BJ355" s="3123">
        <f t="shared" si="195"/>
        <v>0</v>
      </c>
      <c r="BK355" s="3123">
        <f t="shared" si="196"/>
        <v>0</v>
      </c>
      <c r="BL355" s="3123">
        <f t="shared" si="197"/>
        <v>0</v>
      </c>
      <c r="BM355" s="3123">
        <f t="shared" si="198"/>
        <v>0</v>
      </c>
      <c r="BN355" s="3123">
        <f t="shared" si="199"/>
        <v>0</v>
      </c>
      <c r="BO355" s="3123">
        <f t="shared" si="200"/>
        <v>0</v>
      </c>
      <c r="BP355" s="3123">
        <f t="shared" si="201"/>
        <v>0</v>
      </c>
      <c r="BQ355" s="3123">
        <f t="shared" si="202"/>
        <v>0</v>
      </c>
      <c r="BR355" s="3123">
        <f t="shared" si="203"/>
        <v>0</v>
      </c>
      <c r="BS355" s="3123">
        <f t="shared" si="204"/>
        <v>0</v>
      </c>
      <c r="BT355" s="3175">
        <f t="shared" si="205"/>
        <v>0</v>
      </c>
    </row>
    <row r="356" spans="1:72">
      <c r="A356" s="3120"/>
      <c r="B356" s="3121"/>
      <c r="C356" s="3121"/>
      <c r="D356" s="3122"/>
      <c r="E356" s="3123">
        <f t="shared" si="206"/>
        <v>0</v>
      </c>
      <c r="F356" s="3124"/>
      <c r="G356" s="3125">
        <f t="shared" si="181"/>
        <v>0</v>
      </c>
      <c r="H356" s="3126">
        <f t="shared" si="182"/>
        <v>0</v>
      </c>
      <c r="I356" s="3133"/>
      <c r="J356" s="3133"/>
      <c r="K356" s="3133"/>
      <c r="L356" s="3133"/>
      <c r="M356" s="3133"/>
      <c r="N356" s="3133"/>
      <c r="O356" s="3133"/>
      <c r="P356" s="3133"/>
      <c r="Q356" s="3133"/>
      <c r="R356" s="3133"/>
      <c r="S356" s="3133"/>
      <c r="T356" s="3133"/>
      <c r="U356" s="3133"/>
      <c r="V356" s="3133"/>
      <c r="W356" s="3133"/>
      <c r="X356" s="3133"/>
      <c r="Y356" s="3133"/>
      <c r="Z356" s="3133"/>
      <c r="AA356" s="3133"/>
      <c r="AB356" s="3133"/>
      <c r="AC356" s="3123">
        <f t="shared" si="183"/>
        <v>0</v>
      </c>
      <c r="AD356" s="3143"/>
      <c r="AE356" s="3143"/>
      <c r="AF356" s="3143"/>
      <c r="AG356" s="3143"/>
      <c r="AH356" s="3143"/>
      <c r="AI356" s="3143"/>
      <c r="AJ356" s="3143"/>
      <c r="AK356" s="3143"/>
      <c r="AL356" s="3143"/>
      <c r="AM356" s="3143"/>
      <c r="AN356" s="3143"/>
      <c r="AO356" s="3143"/>
      <c r="AP356" s="3143"/>
      <c r="AQ356" s="3143"/>
      <c r="AR356" s="3143"/>
      <c r="AS356" s="3143"/>
      <c r="AT356" s="3153"/>
      <c r="AU356" s="3154"/>
      <c r="AV356" s="270">
        <f t="shared" si="207"/>
        <v>0</v>
      </c>
      <c r="AW356" s="270">
        <f t="shared" si="208"/>
        <v>0</v>
      </c>
      <c r="AX356" s="270">
        <f t="shared" si="209"/>
        <v>0</v>
      </c>
      <c r="AY356" s="3168">
        <f t="shared" si="184"/>
        <v>0</v>
      </c>
      <c r="AZ356" s="3123">
        <f t="shared" si="185"/>
        <v>0</v>
      </c>
      <c r="BA356" s="3123">
        <f t="shared" si="186"/>
        <v>0</v>
      </c>
      <c r="BB356" s="3123">
        <f t="shared" si="187"/>
        <v>0</v>
      </c>
      <c r="BC356" s="3123">
        <f t="shared" si="188"/>
        <v>0</v>
      </c>
      <c r="BD356" s="3123">
        <f t="shared" si="189"/>
        <v>0</v>
      </c>
      <c r="BE356" s="3123">
        <f t="shared" si="190"/>
        <v>0</v>
      </c>
      <c r="BF356" s="3123">
        <f t="shared" si="191"/>
        <v>0</v>
      </c>
      <c r="BG356" s="3123">
        <f t="shared" si="192"/>
        <v>0</v>
      </c>
      <c r="BH356" s="3123">
        <f t="shared" si="193"/>
        <v>0</v>
      </c>
      <c r="BI356" s="3123">
        <f t="shared" si="194"/>
        <v>0</v>
      </c>
      <c r="BJ356" s="3123">
        <f t="shared" si="195"/>
        <v>0</v>
      </c>
      <c r="BK356" s="3123">
        <f t="shared" si="196"/>
        <v>0</v>
      </c>
      <c r="BL356" s="3123">
        <f t="shared" si="197"/>
        <v>0</v>
      </c>
      <c r="BM356" s="3123">
        <f t="shared" si="198"/>
        <v>0</v>
      </c>
      <c r="BN356" s="3123">
        <f t="shared" si="199"/>
        <v>0</v>
      </c>
      <c r="BO356" s="3123">
        <f t="shared" si="200"/>
        <v>0</v>
      </c>
      <c r="BP356" s="3123">
        <f t="shared" si="201"/>
        <v>0</v>
      </c>
      <c r="BQ356" s="3123">
        <f t="shared" si="202"/>
        <v>0</v>
      </c>
      <c r="BR356" s="3123">
        <f t="shared" si="203"/>
        <v>0</v>
      </c>
      <c r="BS356" s="3123">
        <f t="shared" si="204"/>
        <v>0</v>
      </c>
      <c r="BT356" s="3175">
        <f t="shared" si="205"/>
        <v>0</v>
      </c>
    </row>
    <row r="357" spans="1:72">
      <c r="A357" s="3120"/>
      <c r="B357" s="3121"/>
      <c r="C357" s="3121"/>
      <c r="D357" s="3122"/>
      <c r="E357" s="3123">
        <f t="shared" si="206"/>
        <v>0</v>
      </c>
      <c r="F357" s="3124"/>
      <c r="G357" s="3125">
        <f t="shared" si="181"/>
        <v>0</v>
      </c>
      <c r="H357" s="3126">
        <f t="shared" si="182"/>
        <v>0</v>
      </c>
      <c r="I357" s="3133"/>
      <c r="J357" s="3133"/>
      <c r="K357" s="3133"/>
      <c r="L357" s="3133"/>
      <c r="M357" s="3133"/>
      <c r="N357" s="3133"/>
      <c r="O357" s="3133"/>
      <c r="P357" s="3133"/>
      <c r="Q357" s="3133"/>
      <c r="R357" s="3133"/>
      <c r="S357" s="3133"/>
      <c r="T357" s="3133"/>
      <c r="U357" s="3133"/>
      <c r="V357" s="3133"/>
      <c r="W357" s="3133"/>
      <c r="X357" s="3133"/>
      <c r="Y357" s="3133"/>
      <c r="Z357" s="3133"/>
      <c r="AA357" s="3133"/>
      <c r="AB357" s="3133"/>
      <c r="AC357" s="3123">
        <f t="shared" si="183"/>
        <v>0</v>
      </c>
      <c r="AD357" s="3143"/>
      <c r="AE357" s="3143"/>
      <c r="AF357" s="3143"/>
      <c r="AG357" s="3143"/>
      <c r="AH357" s="3143"/>
      <c r="AI357" s="3143"/>
      <c r="AJ357" s="3143"/>
      <c r="AK357" s="3143"/>
      <c r="AL357" s="3143"/>
      <c r="AM357" s="3143"/>
      <c r="AN357" s="3143"/>
      <c r="AO357" s="3143"/>
      <c r="AP357" s="3143"/>
      <c r="AQ357" s="3143"/>
      <c r="AR357" s="3143"/>
      <c r="AS357" s="3143"/>
      <c r="AT357" s="3153"/>
      <c r="AU357" s="3154"/>
      <c r="AV357" s="270">
        <f t="shared" si="207"/>
        <v>0</v>
      </c>
      <c r="AW357" s="270">
        <f t="shared" si="208"/>
        <v>0</v>
      </c>
      <c r="AX357" s="270">
        <f t="shared" si="209"/>
        <v>0</v>
      </c>
      <c r="AY357" s="3168">
        <f t="shared" si="184"/>
        <v>0</v>
      </c>
      <c r="AZ357" s="3123">
        <f t="shared" si="185"/>
        <v>0</v>
      </c>
      <c r="BA357" s="3123">
        <f t="shared" si="186"/>
        <v>0</v>
      </c>
      <c r="BB357" s="3123">
        <f t="shared" si="187"/>
        <v>0</v>
      </c>
      <c r="BC357" s="3123">
        <f t="shared" si="188"/>
        <v>0</v>
      </c>
      <c r="BD357" s="3123">
        <f t="shared" si="189"/>
        <v>0</v>
      </c>
      <c r="BE357" s="3123">
        <f t="shared" si="190"/>
        <v>0</v>
      </c>
      <c r="BF357" s="3123">
        <f t="shared" si="191"/>
        <v>0</v>
      </c>
      <c r="BG357" s="3123">
        <f t="shared" si="192"/>
        <v>0</v>
      </c>
      <c r="BH357" s="3123">
        <f t="shared" si="193"/>
        <v>0</v>
      </c>
      <c r="BI357" s="3123">
        <f t="shared" si="194"/>
        <v>0</v>
      </c>
      <c r="BJ357" s="3123">
        <f t="shared" si="195"/>
        <v>0</v>
      </c>
      <c r="BK357" s="3123">
        <f t="shared" si="196"/>
        <v>0</v>
      </c>
      <c r="BL357" s="3123">
        <f t="shared" si="197"/>
        <v>0</v>
      </c>
      <c r="BM357" s="3123">
        <f t="shared" si="198"/>
        <v>0</v>
      </c>
      <c r="BN357" s="3123">
        <f t="shared" si="199"/>
        <v>0</v>
      </c>
      <c r="BO357" s="3123">
        <f t="shared" si="200"/>
        <v>0</v>
      </c>
      <c r="BP357" s="3123">
        <f t="shared" si="201"/>
        <v>0</v>
      </c>
      <c r="BQ357" s="3123">
        <f t="shared" si="202"/>
        <v>0</v>
      </c>
      <c r="BR357" s="3123">
        <f t="shared" si="203"/>
        <v>0</v>
      </c>
      <c r="BS357" s="3123">
        <f t="shared" si="204"/>
        <v>0</v>
      </c>
      <c r="BT357" s="3175">
        <f t="shared" si="205"/>
        <v>0</v>
      </c>
    </row>
    <row r="358" spans="1:72">
      <c r="A358" s="3120"/>
      <c r="B358" s="3121"/>
      <c r="C358" s="3121"/>
      <c r="D358" s="3122"/>
      <c r="E358" s="3123">
        <f t="shared" si="206"/>
        <v>0</v>
      </c>
      <c r="F358" s="3124"/>
      <c r="G358" s="3125">
        <f t="shared" si="181"/>
        <v>0</v>
      </c>
      <c r="H358" s="3126">
        <f t="shared" si="182"/>
        <v>0</v>
      </c>
      <c r="I358" s="3133"/>
      <c r="J358" s="3133"/>
      <c r="K358" s="3133"/>
      <c r="L358" s="3133"/>
      <c r="M358" s="3133"/>
      <c r="N358" s="3133"/>
      <c r="O358" s="3133"/>
      <c r="P358" s="3133"/>
      <c r="Q358" s="3133"/>
      <c r="R358" s="3133"/>
      <c r="S358" s="3133"/>
      <c r="T358" s="3133"/>
      <c r="U358" s="3133"/>
      <c r="V358" s="3133"/>
      <c r="W358" s="3133"/>
      <c r="X358" s="3133"/>
      <c r="Y358" s="3133"/>
      <c r="Z358" s="3133"/>
      <c r="AA358" s="3133"/>
      <c r="AB358" s="3133"/>
      <c r="AC358" s="3123">
        <f t="shared" si="183"/>
        <v>0</v>
      </c>
      <c r="AD358" s="3143"/>
      <c r="AE358" s="3143"/>
      <c r="AF358" s="3143"/>
      <c r="AG358" s="3143"/>
      <c r="AH358" s="3143"/>
      <c r="AI358" s="3143"/>
      <c r="AJ358" s="3143"/>
      <c r="AK358" s="3143"/>
      <c r="AL358" s="3143"/>
      <c r="AM358" s="3143"/>
      <c r="AN358" s="3143"/>
      <c r="AO358" s="3143"/>
      <c r="AP358" s="3143"/>
      <c r="AQ358" s="3143"/>
      <c r="AR358" s="3143"/>
      <c r="AS358" s="3143"/>
      <c r="AT358" s="3153"/>
      <c r="AU358" s="3154"/>
      <c r="AV358" s="270">
        <f t="shared" si="207"/>
        <v>0</v>
      </c>
      <c r="AW358" s="270">
        <f t="shared" si="208"/>
        <v>0</v>
      </c>
      <c r="AX358" s="270">
        <f t="shared" si="209"/>
        <v>0</v>
      </c>
      <c r="AY358" s="3168">
        <f t="shared" si="184"/>
        <v>0</v>
      </c>
      <c r="AZ358" s="3123">
        <f t="shared" si="185"/>
        <v>0</v>
      </c>
      <c r="BA358" s="3123">
        <f t="shared" si="186"/>
        <v>0</v>
      </c>
      <c r="BB358" s="3123">
        <f t="shared" si="187"/>
        <v>0</v>
      </c>
      <c r="BC358" s="3123">
        <f t="shared" si="188"/>
        <v>0</v>
      </c>
      <c r="BD358" s="3123">
        <f t="shared" si="189"/>
        <v>0</v>
      </c>
      <c r="BE358" s="3123">
        <f t="shared" si="190"/>
        <v>0</v>
      </c>
      <c r="BF358" s="3123">
        <f t="shared" si="191"/>
        <v>0</v>
      </c>
      <c r="BG358" s="3123">
        <f t="shared" si="192"/>
        <v>0</v>
      </c>
      <c r="BH358" s="3123">
        <f t="shared" si="193"/>
        <v>0</v>
      </c>
      <c r="BI358" s="3123">
        <f t="shared" si="194"/>
        <v>0</v>
      </c>
      <c r="BJ358" s="3123">
        <f t="shared" si="195"/>
        <v>0</v>
      </c>
      <c r="BK358" s="3123">
        <f t="shared" si="196"/>
        <v>0</v>
      </c>
      <c r="BL358" s="3123">
        <f t="shared" si="197"/>
        <v>0</v>
      </c>
      <c r="BM358" s="3123">
        <f t="shared" si="198"/>
        <v>0</v>
      </c>
      <c r="BN358" s="3123">
        <f t="shared" si="199"/>
        <v>0</v>
      </c>
      <c r="BO358" s="3123">
        <f t="shared" si="200"/>
        <v>0</v>
      </c>
      <c r="BP358" s="3123">
        <f t="shared" si="201"/>
        <v>0</v>
      </c>
      <c r="BQ358" s="3123">
        <f t="shared" si="202"/>
        <v>0</v>
      </c>
      <c r="BR358" s="3123">
        <f t="shared" si="203"/>
        <v>0</v>
      </c>
      <c r="BS358" s="3123">
        <f t="shared" si="204"/>
        <v>0</v>
      </c>
      <c r="BT358" s="3175">
        <f t="shared" si="205"/>
        <v>0</v>
      </c>
    </row>
    <row r="359" spans="1:72">
      <c r="A359" s="3120"/>
      <c r="B359" s="3121"/>
      <c r="C359" s="3121"/>
      <c r="D359" s="3122"/>
      <c r="E359" s="3123">
        <f t="shared" si="206"/>
        <v>0</v>
      </c>
      <c r="F359" s="3124"/>
      <c r="G359" s="3125">
        <f t="shared" si="181"/>
        <v>0</v>
      </c>
      <c r="H359" s="3126">
        <f t="shared" si="182"/>
        <v>0</v>
      </c>
      <c r="I359" s="3133"/>
      <c r="J359" s="3133"/>
      <c r="K359" s="3133"/>
      <c r="L359" s="3133"/>
      <c r="M359" s="3133"/>
      <c r="N359" s="3133"/>
      <c r="O359" s="3133"/>
      <c r="P359" s="3133"/>
      <c r="Q359" s="3133"/>
      <c r="R359" s="3133"/>
      <c r="S359" s="3133"/>
      <c r="T359" s="3133"/>
      <c r="U359" s="3133"/>
      <c r="V359" s="3133"/>
      <c r="W359" s="3133"/>
      <c r="X359" s="3133"/>
      <c r="Y359" s="3133"/>
      <c r="Z359" s="3133"/>
      <c r="AA359" s="3133"/>
      <c r="AB359" s="3133"/>
      <c r="AC359" s="3123">
        <f t="shared" si="183"/>
        <v>0</v>
      </c>
      <c r="AD359" s="3143"/>
      <c r="AE359" s="3143"/>
      <c r="AF359" s="3143"/>
      <c r="AG359" s="3143"/>
      <c r="AH359" s="3143"/>
      <c r="AI359" s="3143"/>
      <c r="AJ359" s="3143"/>
      <c r="AK359" s="3143"/>
      <c r="AL359" s="3143"/>
      <c r="AM359" s="3143"/>
      <c r="AN359" s="3143"/>
      <c r="AO359" s="3143"/>
      <c r="AP359" s="3143"/>
      <c r="AQ359" s="3143"/>
      <c r="AR359" s="3143"/>
      <c r="AS359" s="3143"/>
      <c r="AT359" s="3153"/>
      <c r="AU359" s="3154"/>
      <c r="AV359" s="270">
        <f t="shared" si="207"/>
        <v>0</v>
      </c>
      <c r="AW359" s="270">
        <f t="shared" si="208"/>
        <v>0</v>
      </c>
      <c r="AX359" s="270">
        <f t="shared" si="209"/>
        <v>0</v>
      </c>
      <c r="AY359" s="3168">
        <f t="shared" si="184"/>
        <v>0</v>
      </c>
      <c r="AZ359" s="3123">
        <f t="shared" si="185"/>
        <v>0</v>
      </c>
      <c r="BA359" s="3123">
        <f t="shared" si="186"/>
        <v>0</v>
      </c>
      <c r="BB359" s="3123">
        <f t="shared" si="187"/>
        <v>0</v>
      </c>
      <c r="BC359" s="3123">
        <f t="shared" si="188"/>
        <v>0</v>
      </c>
      <c r="BD359" s="3123">
        <f t="shared" si="189"/>
        <v>0</v>
      </c>
      <c r="BE359" s="3123">
        <f t="shared" si="190"/>
        <v>0</v>
      </c>
      <c r="BF359" s="3123">
        <f t="shared" si="191"/>
        <v>0</v>
      </c>
      <c r="BG359" s="3123">
        <f t="shared" si="192"/>
        <v>0</v>
      </c>
      <c r="BH359" s="3123">
        <f t="shared" si="193"/>
        <v>0</v>
      </c>
      <c r="BI359" s="3123">
        <f t="shared" si="194"/>
        <v>0</v>
      </c>
      <c r="BJ359" s="3123">
        <f t="shared" si="195"/>
        <v>0</v>
      </c>
      <c r="BK359" s="3123">
        <f t="shared" si="196"/>
        <v>0</v>
      </c>
      <c r="BL359" s="3123">
        <f t="shared" si="197"/>
        <v>0</v>
      </c>
      <c r="BM359" s="3123">
        <f t="shared" si="198"/>
        <v>0</v>
      </c>
      <c r="BN359" s="3123">
        <f t="shared" si="199"/>
        <v>0</v>
      </c>
      <c r="BO359" s="3123">
        <f t="shared" si="200"/>
        <v>0</v>
      </c>
      <c r="BP359" s="3123">
        <f t="shared" si="201"/>
        <v>0</v>
      </c>
      <c r="BQ359" s="3123">
        <f t="shared" si="202"/>
        <v>0</v>
      </c>
      <c r="BR359" s="3123">
        <f t="shared" si="203"/>
        <v>0</v>
      </c>
      <c r="BS359" s="3123">
        <f t="shared" si="204"/>
        <v>0</v>
      </c>
      <c r="BT359" s="3175">
        <f t="shared" si="205"/>
        <v>0</v>
      </c>
    </row>
    <row r="360" spans="1:72">
      <c r="A360" s="3120"/>
      <c r="B360" s="3121"/>
      <c r="C360" s="3121"/>
      <c r="D360" s="3122"/>
      <c r="E360" s="3123">
        <f t="shared" si="206"/>
        <v>0</v>
      </c>
      <c r="F360" s="3124"/>
      <c r="G360" s="3125">
        <f t="shared" si="181"/>
        <v>0</v>
      </c>
      <c r="H360" s="3126">
        <f t="shared" si="182"/>
        <v>0</v>
      </c>
      <c r="I360" s="3133"/>
      <c r="J360" s="3133"/>
      <c r="K360" s="3133"/>
      <c r="L360" s="3133"/>
      <c r="M360" s="3133"/>
      <c r="N360" s="3133"/>
      <c r="O360" s="3133"/>
      <c r="P360" s="3133"/>
      <c r="Q360" s="3133"/>
      <c r="R360" s="3133"/>
      <c r="S360" s="3133"/>
      <c r="T360" s="3133"/>
      <c r="U360" s="3133"/>
      <c r="V360" s="3133"/>
      <c r="W360" s="3133"/>
      <c r="X360" s="3133"/>
      <c r="Y360" s="3133"/>
      <c r="Z360" s="3133"/>
      <c r="AA360" s="3133"/>
      <c r="AB360" s="3133"/>
      <c r="AC360" s="3123">
        <f t="shared" si="183"/>
        <v>0</v>
      </c>
      <c r="AD360" s="3143"/>
      <c r="AE360" s="3143"/>
      <c r="AF360" s="3143"/>
      <c r="AG360" s="3143"/>
      <c r="AH360" s="3143"/>
      <c r="AI360" s="3143"/>
      <c r="AJ360" s="3143"/>
      <c r="AK360" s="3143"/>
      <c r="AL360" s="3143"/>
      <c r="AM360" s="3143"/>
      <c r="AN360" s="3143"/>
      <c r="AO360" s="3143"/>
      <c r="AP360" s="3143"/>
      <c r="AQ360" s="3143"/>
      <c r="AR360" s="3143"/>
      <c r="AS360" s="3143"/>
      <c r="AT360" s="3153"/>
      <c r="AU360" s="3154"/>
      <c r="AV360" s="270">
        <f t="shared" si="207"/>
        <v>0</v>
      </c>
      <c r="AW360" s="270">
        <f t="shared" si="208"/>
        <v>0</v>
      </c>
      <c r="AX360" s="270">
        <f t="shared" si="209"/>
        <v>0</v>
      </c>
      <c r="AY360" s="3168">
        <f t="shared" si="184"/>
        <v>0</v>
      </c>
      <c r="AZ360" s="3123">
        <f t="shared" si="185"/>
        <v>0</v>
      </c>
      <c r="BA360" s="3123">
        <f t="shared" si="186"/>
        <v>0</v>
      </c>
      <c r="BB360" s="3123">
        <f t="shared" si="187"/>
        <v>0</v>
      </c>
      <c r="BC360" s="3123">
        <f t="shared" si="188"/>
        <v>0</v>
      </c>
      <c r="BD360" s="3123">
        <f t="shared" si="189"/>
        <v>0</v>
      </c>
      <c r="BE360" s="3123">
        <f t="shared" si="190"/>
        <v>0</v>
      </c>
      <c r="BF360" s="3123">
        <f t="shared" si="191"/>
        <v>0</v>
      </c>
      <c r="BG360" s="3123">
        <f t="shared" si="192"/>
        <v>0</v>
      </c>
      <c r="BH360" s="3123">
        <f t="shared" si="193"/>
        <v>0</v>
      </c>
      <c r="BI360" s="3123">
        <f t="shared" si="194"/>
        <v>0</v>
      </c>
      <c r="BJ360" s="3123">
        <f t="shared" si="195"/>
        <v>0</v>
      </c>
      <c r="BK360" s="3123">
        <f t="shared" si="196"/>
        <v>0</v>
      </c>
      <c r="BL360" s="3123">
        <f t="shared" si="197"/>
        <v>0</v>
      </c>
      <c r="BM360" s="3123">
        <f t="shared" si="198"/>
        <v>0</v>
      </c>
      <c r="BN360" s="3123">
        <f t="shared" si="199"/>
        <v>0</v>
      </c>
      <c r="BO360" s="3123">
        <f t="shared" si="200"/>
        <v>0</v>
      </c>
      <c r="BP360" s="3123">
        <f t="shared" si="201"/>
        <v>0</v>
      </c>
      <c r="BQ360" s="3123">
        <f t="shared" si="202"/>
        <v>0</v>
      </c>
      <c r="BR360" s="3123">
        <f t="shared" si="203"/>
        <v>0</v>
      </c>
      <c r="BS360" s="3123">
        <f t="shared" si="204"/>
        <v>0</v>
      </c>
      <c r="BT360" s="3175">
        <f t="shared" si="205"/>
        <v>0</v>
      </c>
    </row>
    <row r="361" spans="1:72">
      <c r="A361" s="3120"/>
      <c r="B361" s="3121"/>
      <c r="C361" s="3121"/>
      <c r="D361" s="3122"/>
      <c r="E361" s="3123">
        <f t="shared" si="206"/>
        <v>0</v>
      </c>
      <c r="F361" s="3124"/>
      <c r="G361" s="3125">
        <f t="shared" si="181"/>
        <v>0</v>
      </c>
      <c r="H361" s="3126">
        <f t="shared" si="182"/>
        <v>0</v>
      </c>
      <c r="I361" s="3133"/>
      <c r="J361" s="3133"/>
      <c r="K361" s="3133"/>
      <c r="L361" s="3133"/>
      <c r="M361" s="3133"/>
      <c r="N361" s="3133"/>
      <c r="O361" s="3133"/>
      <c r="P361" s="3133"/>
      <c r="Q361" s="3133"/>
      <c r="R361" s="3133"/>
      <c r="S361" s="3133"/>
      <c r="T361" s="3133"/>
      <c r="U361" s="3133"/>
      <c r="V361" s="3133"/>
      <c r="W361" s="3133"/>
      <c r="X361" s="3133"/>
      <c r="Y361" s="3133"/>
      <c r="Z361" s="3133"/>
      <c r="AA361" s="3133"/>
      <c r="AB361" s="3133"/>
      <c r="AC361" s="3123">
        <f t="shared" si="183"/>
        <v>0</v>
      </c>
      <c r="AD361" s="3143"/>
      <c r="AE361" s="3143"/>
      <c r="AF361" s="3143"/>
      <c r="AG361" s="3143"/>
      <c r="AH361" s="3143"/>
      <c r="AI361" s="3143"/>
      <c r="AJ361" s="3143"/>
      <c r="AK361" s="3143"/>
      <c r="AL361" s="3143"/>
      <c r="AM361" s="3143"/>
      <c r="AN361" s="3143"/>
      <c r="AO361" s="3143"/>
      <c r="AP361" s="3143"/>
      <c r="AQ361" s="3143"/>
      <c r="AR361" s="3143"/>
      <c r="AS361" s="3143"/>
      <c r="AT361" s="3153"/>
      <c r="AU361" s="3154"/>
      <c r="AV361" s="270">
        <f t="shared" si="207"/>
        <v>0</v>
      </c>
      <c r="AW361" s="270">
        <f t="shared" si="208"/>
        <v>0</v>
      </c>
      <c r="AX361" s="270">
        <f t="shared" si="209"/>
        <v>0</v>
      </c>
      <c r="AY361" s="3168">
        <f t="shared" si="184"/>
        <v>0</v>
      </c>
      <c r="AZ361" s="3123">
        <f t="shared" si="185"/>
        <v>0</v>
      </c>
      <c r="BA361" s="3123">
        <f t="shared" si="186"/>
        <v>0</v>
      </c>
      <c r="BB361" s="3123">
        <f t="shared" si="187"/>
        <v>0</v>
      </c>
      <c r="BC361" s="3123">
        <f t="shared" si="188"/>
        <v>0</v>
      </c>
      <c r="BD361" s="3123">
        <f t="shared" si="189"/>
        <v>0</v>
      </c>
      <c r="BE361" s="3123">
        <f t="shared" si="190"/>
        <v>0</v>
      </c>
      <c r="BF361" s="3123">
        <f t="shared" si="191"/>
        <v>0</v>
      </c>
      <c r="BG361" s="3123">
        <f t="shared" si="192"/>
        <v>0</v>
      </c>
      <c r="BH361" s="3123">
        <f t="shared" si="193"/>
        <v>0</v>
      </c>
      <c r="BI361" s="3123">
        <f t="shared" si="194"/>
        <v>0</v>
      </c>
      <c r="BJ361" s="3123">
        <f t="shared" si="195"/>
        <v>0</v>
      </c>
      <c r="BK361" s="3123">
        <f t="shared" si="196"/>
        <v>0</v>
      </c>
      <c r="BL361" s="3123">
        <f t="shared" si="197"/>
        <v>0</v>
      </c>
      <c r="BM361" s="3123">
        <f t="shared" si="198"/>
        <v>0</v>
      </c>
      <c r="BN361" s="3123">
        <f t="shared" si="199"/>
        <v>0</v>
      </c>
      <c r="BO361" s="3123">
        <f t="shared" si="200"/>
        <v>0</v>
      </c>
      <c r="BP361" s="3123">
        <f t="shared" si="201"/>
        <v>0</v>
      </c>
      <c r="BQ361" s="3123">
        <f t="shared" si="202"/>
        <v>0</v>
      </c>
      <c r="BR361" s="3123">
        <f t="shared" si="203"/>
        <v>0</v>
      </c>
      <c r="BS361" s="3123">
        <f t="shared" si="204"/>
        <v>0</v>
      </c>
      <c r="BT361" s="3175">
        <f t="shared" si="205"/>
        <v>0</v>
      </c>
    </row>
    <row r="362" spans="1:72">
      <c r="A362" s="3120"/>
      <c r="B362" s="3121"/>
      <c r="C362" s="3121"/>
      <c r="D362" s="3122"/>
      <c r="E362" s="3123">
        <f t="shared" si="206"/>
        <v>0</v>
      </c>
      <c r="F362" s="3124"/>
      <c r="G362" s="3125">
        <f t="shared" si="181"/>
        <v>0</v>
      </c>
      <c r="H362" s="3126">
        <f t="shared" si="182"/>
        <v>0</v>
      </c>
      <c r="I362" s="3133"/>
      <c r="J362" s="3133"/>
      <c r="K362" s="3133"/>
      <c r="L362" s="3133"/>
      <c r="M362" s="3133"/>
      <c r="N362" s="3133"/>
      <c r="O362" s="3133"/>
      <c r="P362" s="3133"/>
      <c r="Q362" s="3133"/>
      <c r="R362" s="3133"/>
      <c r="S362" s="3133"/>
      <c r="T362" s="3133"/>
      <c r="U362" s="3133"/>
      <c r="V362" s="3133"/>
      <c r="W362" s="3133"/>
      <c r="X362" s="3133"/>
      <c r="Y362" s="3133"/>
      <c r="Z362" s="3133"/>
      <c r="AA362" s="3133"/>
      <c r="AB362" s="3133"/>
      <c r="AC362" s="3123">
        <f t="shared" si="183"/>
        <v>0</v>
      </c>
      <c r="AD362" s="3143"/>
      <c r="AE362" s="3143"/>
      <c r="AF362" s="3143"/>
      <c r="AG362" s="3143"/>
      <c r="AH362" s="3143"/>
      <c r="AI362" s="3143"/>
      <c r="AJ362" s="3143"/>
      <c r="AK362" s="3143"/>
      <c r="AL362" s="3143"/>
      <c r="AM362" s="3143"/>
      <c r="AN362" s="3143"/>
      <c r="AO362" s="3143"/>
      <c r="AP362" s="3143"/>
      <c r="AQ362" s="3143"/>
      <c r="AR362" s="3143"/>
      <c r="AS362" s="3143"/>
      <c r="AT362" s="3153"/>
      <c r="AU362" s="3154"/>
      <c r="AV362" s="270">
        <f t="shared" si="207"/>
        <v>0</v>
      </c>
      <c r="AW362" s="270">
        <f t="shared" si="208"/>
        <v>0</v>
      </c>
      <c r="AX362" s="270">
        <f t="shared" si="209"/>
        <v>0</v>
      </c>
      <c r="AY362" s="3168">
        <f t="shared" si="184"/>
        <v>0</v>
      </c>
      <c r="AZ362" s="3123">
        <f t="shared" si="185"/>
        <v>0</v>
      </c>
      <c r="BA362" s="3123">
        <f t="shared" si="186"/>
        <v>0</v>
      </c>
      <c r="BB362" s="3123">
        <f t="shared" si="187"/>
        <v>0</v>
      </c>
      <c r="BC362" s="3123">
        <f t="shared" si="188"/>
        <v>0</v>
      </c>
      <c r="BD362" s="3123">
        <f t="shared" si="189"/>
        <v>0</v>
      </c>
      <c r="BE362" s="3123">
        <f t="shared" si="190"/>
        <v>0</v>
      </c>
      <c r="BF362" s="3123">
        <f t="shared" si="191"/>
        <v>0</v>
      </c>
      <c r="BG362" s="3123">
        <f t="shared" si="192"/>
        <v>0</v>
      </c>
      <c r="BH362" s="3123">
        <f t="shared" si="193"/>
        <v>0</v>
      </c>
      <c r="BI362" s="3123">
        <f t="shared" si="194"/>
        <v>0</v>
      </c>
      <c r="BJ362" s="3123">
        <f t="shared" si="195"/>
        <v>0</v>
      </c>
      <c r="BK362" s="3123">
        <f t="shared" si="196"/>
        <v>0</v>
      </c>
      <c r="BL362" s="3123">
        <f t="shared" si="197"/>
        <v>0</v>
      </c>
      <c r="BM362" s="3123">
        <f t="shared" si="198"/>
        <v>0</v>
      </c>
      <c r="BN362" s="3123">
        <f t="shared" si="199"/>
        <v>0</v>
      </c>
      <c r="BO362" s="3123">
        <f t="shared" si="200"/>
        <v>0</v>
      </c>
      <c r="BP362" s="3123">
        <f t="shared" si="201"/>
        <v>0</v>
      </c>
      <c r="BQ362" s="3123">
        <f t="shared" si="202"/>
        <v>0</v>
      </c>
      <c r="BR362" s="3123">
        <f t="shared" si="203"/>
        <v>0</v>
      </c>
      <c r="BS362" s="3123">
        <f t="shared" si="204"/>
        <v>0</v>
      </c>
      <c r="BT362" s="3175">
        <f t="shared" si="205"/>
        <v>0</v>
      </c>
    </row>
    <row r="363" spans="1:72">
      <c r="A363" s="3120"/>
      <c r="B363" s="3121"/>
      <c r="C363" s="3121"/>
      <c r="D363" s="3122"/>
      <c r="E363" s="3123">
        <f t="shared" si="206"/>
        <v>0</v>
      </c>
      <c r="F363" s="3124"/>
      <c r="G363" s="3125">
        <f t="shared" si="181"/>
        <v>0</v>
      </c>
      <c r="H363" s="3126">
        <f t="shared" si="182"/>
        <v>0</v>
      </c>
      <c r="I363" s="3133"/>
      <c r="J363" s="3133"/>
      <c r="K363" s="3133"/>
      <c r="L363" s="3133"/>
      <c r="M363" s="3133"/>
      <c r="N363" s="3133"/>
      <c r="O363" s="3133"/>
      <c r="P363" s="3133"/>
      <c r="Q363" s="3133"/>
      <c r="R363" s="3133"/>
      <c r="S363" s="3133"/>
      <c r="T363" s="3133"/>
      <c r="U363" s="3133"/>
      <c r="V363" s="3133"/>
      <c r="W363" s="3133"/>
      <c r="X363" s="3133"/>
      <c r="Y363" s="3133"/>
      <c r="Z363" s="3133"/>
      <c r="AA363" s="3133"/>
      <c r="AB363" s="3133"/>
      <c r="AC363" s="3123">
        <f t="shared" si="183"/>
        <v>0</v>
      </c>
      <c r="AD363" s="3143"/>
      <c r="AE363" s="3143"/>
      <c r="AF363" s="3143"/>
      <c r="AG363" s="3143"/>
      <c r="AH363" s="3143"/>
      <c r="AI363" s="3143"/>
      <c r="AJ363" s="3143"/>
      <c r="AK363" s="3143"/>
      <c r="AL363" s="3143"/>
      <c r="AM363" s="3143"/>
      <c r="AN363" s="3143"/>
      <c r="AO363" s="3143"/>
      <c r="AP363" s="3143"/>
      <c r="AQ363" s="3143"/>
      <c r="AR363" s="3143"/>
      <c r="AS363" s="3143"/>
      <c r="AT363" s="3153"/>
      <c r="AU363" s="3154"/>
      <c r="AV363" s="270">
        <f t="shared" si="207"/>
        <v>0</v>
      </c>
      <c r="AW363" s="270">
        <f t="shared" si="208"/>
        <v>0</v>
      </c>
      <c r="AX363" s="270">
        <f t="shared" si="209"/>
        <v>0</v>
      </c>
      <c r="AY363" s="3168">
        <f t="shared" si="184"/>
        <v>0</v>
      </c>
      <c r="AZ363" s="3123">
        <f t="shared" si="185"/>
        <v>0</v>
      </c>
      <c r="BA363" s="3123">
        <f t="shared" si="186"/>
        <v>0</v>
      </c>
      <c r="BB363" s="3123">
        <f t="shared" si="187"/>
        <v>0</v>
      </c>
      <c r="BC363" s="3123">
        <f t="shared" si="188"/>
        <v>0</v>
      </c>
      <c r="BD363" s="3123">
        <f t="shared" si="189"/>
        <v>0</v>
      </c>
      <c r="BE363" s="3123">
        <f t="shared" si="190"/>
        <v>0</v>
      </c>
      <c r="BF363" s="3123">
        <f t="shared" si="191"/>
        <v>0</v>
      </c>
      <c r="BG363" s="3123">
        <f t="shared" si="192"/>
        <v>0</v>
      </c>
      <c r="BH363" s="3123">
        <f t="shared" si="193"/>
        <v>0</v>
      </c>
      <c r="BI363" s="3123">
        <f t="shared" si="194"/>
        <v>0</v>
      </c>
      <c r="BJ363" s="3123">
        <f t="shared" si="195"/>
        <v>0</v>
      </c>
      <c r="BK363" s="3123">
        <f t="shared" si="196"/>
        <v>0</v>
      </c>
      <c r="BL363" s="3123">
        <f t="shared" si="197"/>
        <v>0</v>
      </c>
      <c r="BM363" s="3123">
        <f t="shared" si="198"/>
        <v>0</v>
      </c>
      <c r="BN363" s="3123">
        <f t="shared" si="199"/>
        <v>0</v>
      </c>
      <c r="BO363" s="3123">
        <f t="shared" si="200"/>
        <v>0</v>
      </c>
      <c r="BP363" s="3123">
        <f t="shared" si="201"/>
        <v>0</v>
      </c>
      <c r="BQ363" s="3123">
        <f t="shared" si="202"/>
        <v>0</v>
      </c>
      <c r="BR363" s="3123">
        <f t="shared" si="203"/>
        <v>0</v>
      </c>
      <c r="BS363" s="3123">
        <f t="shared" si="204"/>
        <v>0</v>
      </c>
      <c r="BT363" s="3175">
        <f t="shared" si="205"/>
        <v>0</v>
      </c>
    </row>
    <row r="364" spans="1:72">
      <c r="A364" s="3120"/>
      <c r="B364" s="3121"/>
      <c r="C364" s="3121"/>
      <c r="D364" s="3122"/>
      <c r="E364" s="3123">
        <f t="shared" si="206"/>
        <v>0</v>
      </c>
      <c r="F364" s="3124"/>
      <c r="G364" s="3125">
        <f t="shared" ref="G364:G397" si="210">H364+AC364+AT364</f>
        <v>0</v>
      </c>
      <c r="H364" s="3126">
        <f t="shared" ref="H364:H397" si="211">SUMIF(I$12:AB$12,"总值",I364:AB364)</f>
        <v>0</v>
      </c>
      <c r="I364" s="3133"/>
      <c r="J364" s="3133"/>
      <c r="K364" s="3133"/>
      <c r="L364" s="3133"/>
      <c r="M364" s="3133"/>
      <c r="N364" s="3133"/>
      <c r="O364" s="3133"/>
      <c r="P364" s="3133"/>
      <c r="Q364" s="3133"/>
      <c r="R364" s="3133"/>
      <c r="S364" s="3133"/>
      <c r="T364" s="3133"/>
      <c r="U364" s="3133"/>
      <c r="V364" s="3133"/>
      <c r="W364" s="3133"/>
      <c r="X364" s="3133"/>
      <c r="Y364" s="3133"/>
      <c r="Z364" s="3133"/>
      <c r="AA364" s="3133"/>
      <c r="AB364" s="3133"/>
      <c r="AC364" s="3123">
        <f t="shared" ref="AC364:AC397" si="212">SUMIF(AD$12:AS$12,"总值",AD364:AS364)</f>
        <v>0</v>
      </c>
      <c r="AD364" s="3143"/>
      <c r="AE364" s="3143"/>
      <c r="AF364" s="3143"/>
      <c r="AG364" s="3143"/>
      <c r="AH364" s="3143"/>
      <c r="AI364" s="3143"/>
      <c r="AJ364" s="3143"/>
      <c r="AK364" s="3143"/>
      <c r="AL364" s="3143"/>
      <c r="AM364" s="3143"/>
      <c r="AN364" s="3143"/>
      <c r="AO364" s="3143"/>
      <c r="AP364" s="3143"/>
      <c r="AQ364" s="3143"/>
      <c r="AR364" s="3143"/>
      <c r="AS364" s="3143"/>
      <c r="AT364" s="3153"/>
      <c r="AU364" s="3154"/>
      <c r="AV364" s="270">
        <f t="shared" si="207"/>
        <v>0</v>
      </c>
      <c r="AW364" s="270">
        <f t="shared" si="208"/>
        <v>0</v>
      </c>
      <c r="AX364" s="270">
        <f t="shared" si="209"/>
        <v>0</v>
      </c>
      <c r="AY364" s="3168">
        <f t="shared" ref="AY364:AY397" si="213">ROUND($AY$6*AZ364/$AZ$5,2)</f>
        <v>0</v>
      </c>
      <c r="AZ364" s="3123">
        <f t="shared" ref="AZ364:AZ397" si="214">BA364+BL364</f>
        <v>0</v>
      </c>
      <c r="BA364" s="3123">
        <f t="shared" ref="BA364:BA397" si="215">SUM(BB364:BK364)</f>
        <v>0</v>
      </c>
      <c r="BB364" s="3123">
        <f t="shared" ref="BB364:BB397" si="216">IF($D364="是",I364-J364,0)</f>
        <v>0</v>
      </c>
      <c r="BC364" s="3123">
        <f t="shared" ref="BC364:BC397" si="217">IF($D364="是",K364-L364,0)</f>
        <v>0</v>
      </c>
      <c r="BD364" s="3123">
        <f t="shared" ref="BD364:BD397" si="218">IF($D364="是",M364-N364,0)</f>
        <v>0</v>
      </c>
      <c r="BE364" s="3123">
        <f t="shared" ref="BE364:BE397" si="219">IF($D364="是",O364-P364,0)</f>
        <v>0</v>
      </c>
      <c r="BF364" s="3123">
        <f t="shared" ref="BF364:BF397" si="220">IF($D364="是",Q364-R364,0)</f>
        <v>0</v>
      </c>
      <c r="BG364" s="3123">
        <f t="shared" ref="BG364:BG397" si="221">IF($D364="是",S364-T364,0)</f>
        <v>0</v>
      </c>
      <c r="BH364" s="3123">
        <f t="shared" ref="BH364:BH397" si="222">IF($D364="是",U364-V364,0)</f>
        <v>0</v>
      </c>
      <c r="BI364" s="3123">
        <f t="shared" ref="BI364:BI397" si="223">IF($D364="是",W364-X364,0)</f>
        <v>0</v>
      </c>
      <c r="BJ364" s="3123">
        <f t="shared" ref="BJ364:BJ397" si="224">IF($D364="是",Y364-Z364,0)</f>
        <v>0</v>
      </c>
      <c r="BK364" s="3123">
        <f t="shared" ref="BK364:BK397" si="225">IF($D364="是",AA364-AB364,0)</f>
        <v>0</v>
      </c>
      <c r="BL364" s="3123">
        <f t="shared" ref="BL364:BL397" si="226">SUM(BM364:BT364)</f>
        <v>0</v>
      </c>
      <c r="BM364" s="3123">
        <f t="shared" ref="BM364:BM397" si="227">IF($D364="是",AD364-AE364,0)</f>
        <v>0</v>
      </c>
      <c r="BN364" s="3123">
        <f t="shared" ref="BN364:BN397" si="228">IF($D364="是",AF364-AG364,0)</f>
        <v>0</v>
      </c>
      <c r="BO364" s="3123">
        <f t="shared" ref="BO364:BO397" si="229">IF($D364="是",AH364-AI364,0)</f>
        <v>0</v>
      </c>
      <c r="BP364" s="3123">
        <f t="shared" ref="BP364:BP397" si="230">IF($D364="是",AJ364-AK364,0)</f>
        <v>0</v>
      </c>
      <c r="BQ364" s="3123">
        <f t="shared" ref="BQ364:BQ397" si="231">IF($D364="是",AL364-AM364,0)</f>
        <v>0</v>
      </c>
      <c r="BR364" s="3123">
        <f t="shared" ref="BR364:BR397" si="232">IF($D364="是",AN364-AO364,0)</f>
        <v>0</v>
      </c>
      <c r="BS364" s="3123">
        <f t="shared" ref="BS364:BS397" si="233">IF($D364="是",AP364-AQ364,0)</f>
        <v>0</v>
      </c>
      <c r="BT364" s="3175">
        <f t="shared" ref="BT364:BT397" si="234">IF($D364="是",AR364-AS364,0)</f>
        <v>0</v>
      </c>
    </row>
    <row r="365" spans="1:72">
      <c r="A365" s="3120"/>
      <c r="B365" s="3121"/>
      <c r="C365" s="3121"/>
      <c r="D365" s="3122"/>
      <c r="E365" s="3123">
        <f t="shared" si="206"/>
        <v>0</v>
      </c>
      <c r="F365" s="3124"/>
      <c r="G365" s="3125">
        <f t="shared" si="210"/>
        <v>0</v>
      </c>
      <c r="H365" s="3126">
        <f t="shared" si="211"/>
        <v>0</v>
      </c>
      <c r="I365" s="3133"/>
      <c r="J365" s="3133"/>
      <c r="K365" s="3133"/>
      <c r="L365" s="3133"/>
      <c r="M365" s="3133"/>
      <c r="N365" s="3133"/>
      <c r="O365" s="3133"/>
      <c r="P365" s="3133"/>
      <c r="Q365" s="3133"/>
      <c r="R365" s="3133"/>
      <c r="S365" s="3133"/>
      <c r="T365" s="3133"/>
      <c r="U365" s="3133"/>
      <c r="V365" s="3133"/>
      <c r="W365" s="3133"/>
      <c r="X365" s="3133"/>
      <c r="Y365" s="3133"/>
      <c r="Z365" s="3133"/>
      <c r="AA365" s="3133"/>
      <c r="AB365" s="3133"/>
      <c r="AC365" s="3123">
        <f t="shared" si="212"/>
        <v>0</v>
      </c>
      <c r="AD365" s="3143"/>
      <c r="AE365" s="3143"/>
      <c r="AF365" s="3143"/>
      <c r="AG365" s="3143"/>
      <c r="AH365" s="3143"/>
      <c r="AI365" s="3143"/>
      <c r="AJ365" s="3143"/>
      <c r="AK365" s="3143"/>
      <c r="AL365" s="3143"/>
      <c r="AM365" s="3143"/>
      <c r="AN365" s="3143"/>
      <c r="AO365" s="3143"/>
      <c r="AP365" s="3143"/>
      <c r="AQ365" s="3143"/>
      <c r="AR365" s="3143"/>
      <c r="AS365" s="3143"/>
      <c r="AT365" s="3153"/>
      <c r="AU365" s="3154"/>
      <c r="AV365" s="270">
        <f t="shared" si="207"/>
        <v>0</v>
      </c>
      <c r="AW365" s="270">
        <f t="shared" si="208"/>
        <v>0</v>
      </c>
      <c r="AX365" s="270">
        <f t="shared" si="209"/>
        <v>0</v>
      </c>
      <c r="AY365" s="3168">
        <f t="shared" si="213"/>
        <v>0</v>
      </c>
      <c r="AZ365" s="3123">
        <f t="shared" si="214"/>
        <v>0</v>
      </c>
      <c r="BA365" s="3123">
        <f t="shared" si="215"/>
        <v>0</v>
      </c>
      <c r="BB365" s="3123">
        <f t="shared" si="216"/>
        <v>0</v>
      </c>
      <c r="BC365" s="3123">
        <f t="shared" si="217"/>
        <v>0</v>
      </c>
      <c r="BD365" s="3123">
        <f t="shared" si="218"/>
        <v>0</v>
      </c>
      <c r="BE365" s="3123">
        <f t="shared" si="219"/>
        <v>0</v>
      </c>
      <c r="BF365" s="3123">
        <f t="shared" si="220"/>
        <v>0</v>
      </c>
      <c r="BG365" s="3123">
        <f t="shared" si="221"/>
        <v>0</v>
      </c>
      <c r="BH365" s="3123">
        <f t="shared" si="222"/>
        <v>0</v>
      </c>
      <c r="BI365" s="3123">
        <f t="shared" si="223"/>
        <v>0</v>
      </c>
      <c r="BJ365" s="3123">
        <f t="shared" si="224"/>
        <v>0</v>
      </c>
      <c r="BK365" s="3123">
        <f t="shared" si="225"/>
        <v>0</v>
      </c>
      <c r="BL365" s="3123">
        <f t="shared" si="226"/>
        <v>0</v>
      </c>
      <c r="BM365" s="3123">
        <f t="shared" si="227"/>
        <v>0</v>
      </c>
      <c r="BN365" s="3123">
        <f t="shared" si="228"/>
        <v>0</v>
      </c>
      <c r="BO365" s="3123">
        <f t="shared" si="229"/>
        <v>0</v>
      </c>
      <c r="BP365" s="3123">
        <f t="shared" si="230"/>
        <v>0</v>
      </c>
      <c r="BQ365" s="3123">
        <f t="shared" si="231"/>
        <v>0</v>
      </c>
      <c r="BR365" s="3123">
        <f t="shared" si="232"/>
        <v>0</v>
      </c>
      <c r="BS365" s="3123">
        <f t="shared" si="233"/>
        <v>0</v>
      </c>
      <c r="BT365" s="3175">
        <f t="shared" si="234"/>
        <v>0</v>
      </c>
    </row>
    <row r="366" spans="1:72">
      <c r="A366" s="3120"/>
      <c r="B366" s="3121"/>
      <c r="C366" s="3121"/>
      <c r="D366" s="3122"/>
      <c r="E366" s="3123">
        <f t="shared" si="206"/>
        <v>0</v>
      </c>
      <c r="F366" s="3124"/>
      <c r="G366" s="3125">
        <f t="shared" si="210"/>
        <v>0</v>
      </c>
      <c r="H366" s="3126">
        <f t="shared" si="211"/>
        <v>0</v>
      </c>
      <c r="I366" s="3133"/>
      <c r="J366" s="3133"/>
      <c r="K366" s="3133"/>
      <c r="L366" s="3133"/>
      <c r="M366" s="3133"/>
      <c r="N366" s="3133"/>
      <c r="O366" s="3133"/>
      <c r="P366" s="3133"/>
      <c r="Q366" s="3133"/>
      <c r="R366" s="3133"/>
      <c r="S366" s="3133"/>
      <c r="T366" s="3133"/>
      <c r="U366" s="3133"/>
      <c r="V366" s="3133"/>
      <c r="W366" s="3133"/>
      <c r="X366" s="3133"/>
      <c r="Y366" s="3133"/>
      <c r="Z366" s="3133"/>
      <c r="AA366" s="3133"/>
      <c r="AB366" s="3133"/>
      <c r="AC366" s="3123">
        <f t="shared" si="212"/>
        <v>0</v>
      </c>
      <c r="AD366" s="3143"/>
      <c r="AE366" s="3143"/>
      <c r="AF366" s="3143"/>
      <c r="AG366" s="3143"/>
      <c r="AH366" s="3143"/>
      <c r="AI366" s="3143"/>
      <c r="AJ366" s="3143"/>
      <c r="AK366" s="3143"/>
      <c r="AL366" s="3143"/>
      <c r="AM366" s="3143"/>
      <c r="AN366" s="3143"/>
      <c r="AO366" s="3143"/>
      <c r="AP366" s="3143"/>
      <c r="AQ366" s="3143"/>
      <c r="AR366" s="3143"/>
      <c r="AS366" s="3143"/>
      <c r="AT366" s="3153"/>
      <c r="AU366" s="3154"/>
      <c r="AV366" s="270">
        <f t="shared" si="207"/>
        <v>0</v>
      </c>
      <c r="AW366" s="270">
        <f t="shared" si="208"/>
        <v>0</v>
      </c>
      <c r="AX366" s="270">
        <f t="shared" si="209"/>
        <v>0</v>
      </c>
      <c r="AY366" s="3168">
        <f t="shared" si="213"/>
        <v>0</v>
      </c>
      <c r="AZ366" s="3123">
        <f t="shared" si="214"/>
        <v>0</v>
      </c>
      <c r="BA366" s="3123">
        <f t="shared" si="215"/>
        <v>0</v>
      </c>
      <c r="BB366" s="3123">
        <f t="shared" si="216"/>
        <v>0</v>
      </c>
      <c r="BC366" s="3123">
        <f t="shared" si="217"/>
        <v>0</v>
      </c>
      <c r="BD366" s="3123">
        <f t="shared" si="218"/>
        <v>0</v>
      </c>
      <c r="BE366" s="3123">
        <f t="shared" si="219"/>
        <v>0</v>
      </c>
      <c r="BF366" s="3123">
        <f t="shared" si="220"/>
        <v>0</v>
      </c>
      <c r="BG366" s="3123">
        <f t="shared" si="221"/>
        <v>0</v>
      </c>
      <c r="BH366" s="3123">
        <f t="shared" si="222"/>
        <v>0</v>
      </c>
      <c r="BI366" s="3123">
        <f t="shared" si="223"/>
        <v>0</v>
      </c>
      <c r="BJ366" s="3123">
        <f t="shared" si="224"/>
        <v>0</v>
      </c>
      <c r="BK366" s="3123">
        <f t="shared" si="225"/>
        <v>0</v>
      </c>
      <c r="BL366" s="3123">
        <f t="shared" si="226"/>
        <v>0</v>
      </c>
      <c r="BM366" s="3123">
        <f t="shared" si="227"/>
        <v>0</v>
      </c>
      <c r="BN366" s="3123">
        <f t="shared" si="228"/>
        <v>0</v>
      </c>
      <c r="BO366" s="3123">
        <f t="shared" si="229"/>
        <v>0</v>
      </c>
      <c r="BP366" s="3123">
        <f t="shared" si="230"/>
        <v>0</v>
      </c>
      <c r="BQ366" s="3123">
        <f t="shared" si="231"/>
        <v>0</v>
      </c>
      <c r="BR366" s="3123">
        <f t="shared" si="232"/>
        <v>0</v>
      </c>
      <c r="BS366" s="3123">
        <f t="shared" si="233"/>
        <v>0</v>
      </c>
      <c r="BT366" s="3175">
        <f t="shared" si="234"/>
        <v>0</v>
      </c>
    </row>
    <row r="367" spans="1:72">
      <c r="A367" s="3120"/>
      <c r="B367" s="3121"/>
      <c r="C367" s="3121"/>
      <c r="D367" s="3122"/>
      <c r="E367" s="3123">
        <f t="shared" ref="E367:E397" si="235">IF($C$3="是",ROUND($A$3*G367/$B$3,2),ROUND($A$3*(G367-AT367)/$B$3,2))</f>
        <v>0</v>
      </c>
      <c r="F367" s="3124"/>
      <c r="G367" s="3125">
        <f t="shared" si="210"/>
        <v>0</v>
      </c>
      <c r="H367" s="3126">
        <f t="shared" si="211"/>
        <v>0</v>
      </c>
      <c r="I367" s="3133"/>
      <c r="J367" s="3133"/>
      <c r="K367" s="3133"/>
      <c r="L367" s="3133"/>
      <c r="M367" s="3133"/>
      <c r="N367" s="3133"/>
      <c r="O367" s="3133"/>
      <c r="P367" s="3133"/>
      <c r="Q367" s="3133"/>
      <c r="R367" s="3133"/>
      <c r="S367" s="3133"/>
      <c r="T367" s="3133"/>
      <c r="U367" s="3133"/>
      <c r="V367" s="3133"/>
      <c r="W367" s="3133"/>
      <c r="X367" s="3133"/>
      <c r="Y367" s="3133"/>
      <c r="Z367" s="3133"/>
      <c r="AA367" s="3133"/>
      <c r="AB367" s="3133"/>
      <c r="AC367" s="3123">
        <f t="shared" si="212"/>
        <v>0</v>
      </c>
      <c r="AD367" s="3143"/>
      <c r="AE367" s="3143"/>
      <c r="AF367" s="3143"/>
      <c r="AG367" s="3143"/>
      <c r="AH367" s="3143"/>
      <c r="AI367" s="3143"/>
      <c r="AJ367" s="3143"/>
      <c r="AK367" s="3143"/>
      <c r="AL367" s="3143"/>
      <c r="AM367" s="3143"/>
      <c r="AN367" s="3143"/>
      <c r="AO367" s="3143"/>
      <c r="AP367" s="3143"/>
      <c r="AQ367" s="3143"/>
      <c r="AR367" s="3143"/>
      <c r="AS367" s="3143"/>
      <c r="AT367" s="3153"/>
      <c r="AU367" s="3154"/>
      <c r="AV367" s="270">
        <f t="shared" ref="AV367:AV397" si="236">A367</f>
        <v>0</v>
      </c>
      <c r="AW367" s="270">
        <f t="shared" ref="AW367:AW397" si="237">B367</f>
        <v>0</v>
      </c>
      <c r="AX367" s="270">
        <f t="shared" ref="AX367:AX397" si="238">C367</f>
        <v>0</v>
      </c>
      <c r="AY367" s="3168">
        <f t="shared" si="213"/>
        <v>0</v>
      </c>
      <c r="AZ367" s="3123">
        <f t="shared" si="214"/>
        <v>0</v>
      </c>
      <c r="BA367" s="3123">
        <f t="shared" si="215"/>
        <v>0</v>
      </c>
      <c r="BB367" s="3123">
        <f t="shared" si="216"/>
        <v>0</v>
      </c>
      <c r="BC367" s="3123">
        <f t="shared" si="217"/>
        <v>0</v>
      </c>
      <c r="BD367" s="3123">
        <f t="shared" si="218"/>
        <v>0</v>
      </c>
      <c r="BE367" s="3123">
        <f t="shared" si="219"/>
        <v>0</v>
      </c>
      <c r="BF367" s="3123">
        <f t="shared" si="220"/>
        <v>0</v>
      </c>
      <c r="BG367" s="3123">
        <f t="shared" si="221"/>
        <v>0</v>
      </c>
      <c r="BH367" s="3123">
        <f t="shared" si="222"/>
        <v>0</v>
      </c>
      <c r="BI367" s="3123">
        <f t="shared" si="223"/>
        <v>0</v>
      </c>
      <c r="BJ367" s="3123">
        <f t="shared" si="224"/>
        <v>0</v>
      </c>
      <c r="BK367" s="3123">
        <f t="shared" si="225"/>
        <v>0</v>
      </c>
      <c r="BL367" s="3123">
        <f t="shared" si="226"/>
        <v>0</v>
      </c>
      <c r="BM367" s="3123">
        <f t="shared" si="227"/>
        <v>0</v>
      </c>
      <c r="BN367" s="3123">
        <f t="shared" si="228"/>
        <v>0</v>
      </c>
      <c r="BO367" s="3123">
        <f t="shared" si="229"/>
        <v>0</v>
      </c>
      <c r="BP367" s="3123">
        <f t="shared" si="230"/>
        <v>0</v>
      </c>
      <c r="BQ367" s="3123">
        <f t="shared" si="231"/>
        <v>0</v>
      </c>
      <c r="BR367" s="3123">
        <f t="shared" si="232"/>
        <v>0</v>
      </c>
      <c r="BS367" s="3123">
        <f t="shared" si="233"/>
        <v>0</v>
      </c>
      <c r="BT367" s="3175">
        <f t="shared" si="234"/>
        <v>0</v>
      </c>
    </row>
    <row r="368" spans="1:72">
      <c r="A368" s="3120"/>
      <c r="B368" s="3121"/>
      <c r="C368" s="3121"/>
      <c r="D368" s="3122"/>
      <c r="E368" s="3123">
        <f t="shared" si="235"/>
        <v>0</v>
      </c>
      <c r="F368" s="3124"/>
      <c r="G368" s="3125">
        <f t="shared" si="210"/>
        <v>0</v>
      </c>
      <c r="H368" s="3126">
        <f t="shared" si="211"/>
        <v>0</v>
      </c>
      <c r="I368" s="3133"/>
      <c r="J368" s="3133"/>
      <c r="K368" s="3133"/>
      <c r="L368" s="3133"/>
      <c r="M368" s="3133"/>
      <c r="N368" s="3133"/>
      <c r="O368" s="3133"/>
      <c r="P368" s="3133"/>
      <c r="Q368" s="3133"/>
      <c r="R368" s="3133"/>
      <c r="S368" s="3133"/>
      <c r="T368" s="3133"/>
      <c r="U368" s="3133"/>
      <c r="V368" s="3133"/>
      <c r="W368" s="3133"/>
      <c r="X368" s="3133"/>
      <c r="Y368" s="3133"/>
      <c r="Z368" s="3133"/>
      <c r="AA368" s="3133"/>
      <c r="AB368" s="3133"/>
      <c r="AC368" s="3123">
        <f t="shared" si="212"/>
        <v>0</v>
      </c>
      <c r="AD368" s="3143"/>
      <c r="AE368" s="3143"/>
      <c r="AF368" s="3143"/>
      <c r="AG368" s="3143"/>
      <c r="AH368" s="3143"/>
      <c r="AI368" s="3143"/>
      <c r="AJ368" s="3143"/>
      <c r="AK368" s="3143"/>
      <c r="AL368" s="3143"/>
      <c r="AM368" s="3143"/>
      <c r="AN368" s="3143"/>
      <c r="AO368" s="3143"/>
      <c r="AP368" s="3143"/>
      <c r="AQ368" s="3143"/>
      <c r="AR368" s="3143"/>
      <c r="AS368" s="3143"/>
      <c r="AT368" s="3153"/>
      <c r="AU368" s="3154"/>
      <c r="AV368" s="270">
        <f t="shared" si="236"/>
        <v>0</v>
      </c>
      <c r="AW368" s="270">
        <f t="shared" si="237"/>
        <v>0</v>
      </c>
      <c r="AX368" s="270">
        <f t="shared" si="238"/>
        <v>0</v>
      </c>
      <c r="AY368" s="3168">
        <f t="shared" si="213"/>
        <v>0</v>
      </c>
      <c r="AZ368" s="3123">
        <f t="shared" si="214"/>
        <v>0</v>
      </c>
      <c r="BA368" s="3123">
        <f t="shared" si="215"/>
        <v>0</v>
      </c>
      <c r="BB368" s="3123">
        <f t="shared" si="216"/>
        <v>0</v>
      </c>
      <c r="BC368" s="3123">
        <f t="shared" si="217"/>
        <v>0</v>
      </c>
      <c r="BD368" s="3123">
        <f t="shared" si="218"/>
        <v>0</v>
      </c>
      <c r="BE368" s="3123">
        <f t="shared" si="219"/>
        <v>0</v>
      </c>
      <c r="BF368" s="3123">
        <f t="shared" si="220"/>
        <v>0</v>
      </c>
      <c r="BG368" s="3123">
        <f t="shared" si="221"/>
        <v>0</v>
      </c>
      <c r="BH368" s="3123">
        <f t="shared" si="222"/>
        <v>0</v>
      </c>
      <c r="BI368" s="3123">
        <f t="shared" si="223"/>
        <v>0</v>
      </c>
      <c r="BJ368" s="3123">
        <f t="shared" si="224"/>
        <v>0</v>
      </c>
      <c r="BK368" s="3123">
        <f t="shared" si="225"/>
        <v>0</v>
      </c>
      <c r="BL368" s="3123">
        <f t="shared" si="226"/>
        <v>0</v>
      </c>
      <c r="BM368" s="3123">
        <f t="shared" si="227"/>
        <v>0</v>
      </c>
      <c r="BN368" s="3123">
        <f t="shared" si="228"/>
        <v>0</v>
      </c>
      <c r="BO368" s="3123">
        <f t="shared" si="229"/>
        <v>0</v>
      </c>
      <c r="BP368" s="3123">
        <f t="shared" si="230"/>
        <v>0</v>
      </c>
      <c r="BQ368" s="3123">
        <f t="shared" si="231"/>
        <v>0</v>
      </c>
      <c r="BR368" s="3123">
        <f t="shared" si="232"/>
        <v>0</v>
      </c>
      <c r="BS368" s="3123">
        <f t="shared" si="233"/>
        <v>0</v>
      </c>
      <c r="BT368" s="3175">
        <f t="shared" si="234"/>
        <v>0</v>
      </c>
    </row>
    <row r="369" spans="1:72">
      <c r="A369" s="3120"/>
      <c r="B369" s="3121"/>
      <c r="C369" s="3121"/>
      <c r="D369" s="3122"/>
      <c r="E369" s="3123">
        <f t="shared" si="235"/>
        <v>0</v>
      </c>
      <c r="F369" s="3124"/>
      <c r="G369" s="3125">
        <f t="shared" si="210"/>
        <v>0</v>
      </c>
      <c r="H369" s="3126">
        <f t="shared" si="211"/>
        <v>0</v>
      </c>
      <c r="I369" s="3133"/>
      <c r="J369" s="3133"/>
      <c r="K369" s="3133"/>
      <c r="L369" s="3133"/>
      <c r="M369" s="3133"/>
      <c r="N369" s="3133"/>
      <c r="O369" s="3133"/>
      <c r="P369" s="3133"/>
      <c r="Q369" s="3133"/>
      <c r="R369" s="3133"/>
      <c r="S369" s="3133"/>
      <c r="T369" s="3133"/>
      <c r="U369" s="3133"/>
      <c r="V369" s="3133"/>
      <c r="W369" s="3133"/>
      <c r="X369" s="3133"/>
      <c r="Y369" s="3133"/>
      <c r="Z369" s="3133"/>
      <c r="AA369" s="3133"/>
      <c r="AB369" s="3133"/>
      <c r="AC369" s="3123">
        <f t="shared" si="212"/>
        <v>0</v>
      </c>
      <c r="AD369" s="3143"/>
      <c r="AE369" s="3143"/>
      <c r="AF369" s="3143"/>
      <c r="AG369" s="3143"/>
      <c r="AH369" s="3143"/>
      <c r="AI369" s="3143"/>
      <c r="AJ369" s="3143"/>
      <c r="AK369" s="3143"/>
      <c r="AL369" s="3143"/>
      <c r="AM369" s="3143"/>
      <c r="AN369" s="3143"/>
      <c r="AO369" s="3143"/>
      <c r="AP369" s="3143"/>
      <c r="AQ369" s="3143"/>
      <c r="AR369" s="3143"/>
      <c r="AS369" s="3143"/>
      <c r="AT369" s="3153"/>
      <c r="AU369" s="3154"/>
      <c r="AV369" s="270">
        <f t="shared" si="236"/>
        <v>0</v>
      </c>
      <c r="AW369" s="270">
        <f t="shared" si="237"/>
        <v>0</v>
      </c>
      <c r="AX369" s="270">
        <f t="shared" si="238"/>
        <v>0</v>
      </c>
      <c r="AY369" s="3168">
        <f t="shared" si="213"/>
        <v>0</v>
      </c>
      <c r="AZ369" s="3123">
        <f t="shared" si="214"/>
        <v>0</v>
      </c>
      <c r="BA369" s="3123">
        <f t="shared" si="215"/>
        <v>0</v>
      </c>
      <c r="BB369" s="3123">
        <f t="shared" si="216"/>
        <v>0</v>
      </c>
      <c r="BC369" s="3123">
        <f t="shared" si="217"/>
        <v>0</v>
      </c>
      <c r="BD369" s="3123">
        <f t="shared" si="218"/>
        <v>0</v>
      </c>
      <c r="BE369" s="3123">
        <f t="shared" si="219"/>
        <v>0</v>
      </c>
      <c r="BF369" s="3123">
        <f t="shared" si="220"/>
        <v>0</v>
      </c>
      <c r="BG369" s="3123">
        <f t="shared" si="221"/>
        <v>0</v>
      </c>
      <c r="BH369" s="3123">
        <f t="shared" si="222"/>
        <v>0</v>
      </c>
      <c r="BI369" s="3123">
        <f t="shared" si="223"/>
        <v>0</v>
      </c>
      <c r="BJ369" s="3123">
        <f t="shared" si="224"/>
        <v>0</v>
      </c>
      <c r="BK369" s="3123">
        <f t="shared" si="225"/>
        <v>0</v>
      </c>
      <c r="BL369" s="3123">
        <f t="shared" si="226"/>
        <v>0</v>
      </c>
      <c r="BM369" s="3123">
        <f t="shared" si="227"/>
        <v>0</v>
      </c>
      <c r="BN369" s="3123">
        <f t="shared" si="228"/>
        <v>0</v>
      </c>
      <c r="BO369" s="3123">
        <f t="shared" si="229"/>
        <v>0</v>
      </c>
      <c r="BP369" s="3123">
        <f t="shared" si="230"/>
        <v>0</v>
      </c>
      <c r="BQ369" s="3123">
        <f t="shared" si="231"/>
        <v>0</v>
      </c>
      <c r="BR369" s="3123">
        <f t="shared" si="232"/>
        <v>0</v>
      </c>
      <c r="BS369" s="3123">
        <f t="shared" si="233"/>
        <v>0</v>
      </c>
      <c r="BT369" s="3175">
        <f t="shared" si="234"/>
        <v>0</v>
      </c>
    </row>
    <row r="370" spans="1:72">
      <c r="A370" s="3120"/>
      <c r="B370" s="3121"/>
      <c r="C370" s="3121"/>
      <c r="D370" s="3122"/>
      <c r="E370" s="3123">
        <f t="shared" si="235"/>
        <v>0</v>
      </c>
      <c r="F370" s="3124"/>
      <c r="G370" s="3125">
        <f t="shared" si="210"/>
        <v>0</v>
      </c>
      <c r="H370" s="3126">
        <f t="shared" si="211"/>
        <v>0</v>
      </c>
      <c r="I370" s="3133"/>
      <c r="J370" s="3133"/>
      <c r="K370" s="3133"/>
      <c r="L370" s="3133"/>
      <c r="M370" s="3133"/>
      <c r="N370" s="3133"/>
      <c r="O370" s="3133"/>
      <c r="P370" s="3133"/>
      <c r="Q370" s="3133"/>
      <c r="R370" s="3133"/>
      <c r="S370" s="3133"/>
      <c r="T370" s="3133"/>
      <c r="U370" s="3133"/>
      <c r="V370" s="3133"/>
      <c r="W370" s="3133"/>
      <c r="X370" s="3133"/>
      <c r="Y370" s="3133"/>
      <c r="Z370" s="3133"/>
      <c r="AA370" s="3133"/>
      <c r="AB370" s="3133"/>
      <c r="AC370" s="3123">
        <f t="shared" si="212"/>
        <v>0</v>
      </c>
      <c r="AD370" s="3143"/>
      <c r="AE370" s="3143"/>
      <c r="AF370" s="3143"/>
      <c r="AG370" s="3143"/>
      <c r="AH370" s="3143"/>
      <c r="AI370" s="3143"/>
      <c r="AJ370" s="3143"/>
      <c r="AK370" s="3143"/>
      <c r="AL370" s="3143"/>
      <c r="AM370" s="3143"/>
      <c r="AN370" s="3143"/>
      <c r="AO370" s="3143"/>
      <c r="AP370" s="3143"/>
      <c r="AQ370" s="3143"/>
      <c r="AR370" s="3143"/>
      <c r="AS370" s="3143"/>
      <c r="AT370" s="3153"/>
      <c r="AU370" s="3154"/>
      <c r="AV370" s="270">
        <f t="shared" si="236"/>
        <v>0</v>
      </c>
      <c r="AW370" s="270">
        <f t="shared" si="237"/>
        <v>0</v>
      </c>
      <c r="AX370" s="270">
        <f t="shared" si="238"/>
        <v>0</v>
      </c>
      <c r="AY370" s="3168">
        <f t="shared" si="213"/>
        <v>0</v>
      </c>
      <c r="AZ370" s="3123">
        <f t="shared" si="214"/>
        <v>0</v>
      </c>
      <c r="BA370" s="3123">
        <f t="shared" si="215"/>
        <v>0</v>
      </c>
      <c r="BB370" s="3123">
        <f t="shared" si="216"/>
        <v>0</v>
      </c>
      <c r="BC370" s="3123">
        <f t="shared" si="217"/>
        <v>0</v>
      </c>
      <c r="BD370" s="3123">
        <f t="shared" si="218"/>
        <v>0</v>
      </c>
      <c r="BE370" s="3123">
        <f t="shared" si="219"/>
        <v>0</v>
      </c>
      <c r="BF370" s="3123">
        <f t="shared" si="220"/>
        <v>0</v>
      </c>
      <c r="BG370" s="3123">
        <f t="shared" si="221"/>
        <v>0</v>
      </c>
      <c r="BH370" s="3123">
        <f t="shared" si="222"/>
        <v>0</v>
      </c>
      <c r="BI370" s="3123">
        <f t="shared" si="223"/>
        <v>0</v>
      </c>
      <c r="BJ370" s="3123">
        <f t="shared" si="224"/>
        <v>0</v>
      </c>
      <c r="BK370" s="3123">
        <f t="shared" si="225"/>
        <v>0</v>
      </c>
      <c r="BL370" s="3123">
        <f t="shared" si="226"/>
        <v>0</v>
      </c>
      <c r="BM370" s="3123">
        <f t="shared" si="227"/>
        <v>0</v>
      </c>
      <c r="BN370" s="3123">
        <f t="shared" si="228"/>
        <v>0</v>
      </c>
      <c r="BO370" s="3123">
        <f t="shared" si="229"/>
        <v>0</v>
      </c>
      <c r="BP370" s="3123">
        <f t="shared" si="230"/>
        <v>0</v>
      </c>
      <c r="BQ370" s="3123">
        <f t="shared" si="231"/>
        <v>0</v>
      </c>
      <c r="BR370" s="3123">
        <f t="shared" si="232"/>
        <v>0</v>
      </c>
      <c r="BS370" s="3123">
        <f t="shared" si="233"/>
        <v>0</v>
      </c>
      <c r="BT370" s="3175">
        <f t="shared" si="234"/>
        <v>0</v>
      </c>
    </row>
    <row r="371" spans="1:72">
      <c r="A371" s="3120"/>
      <c r="B371" s="3121"/>
      <c r="C371" s="3121"/>
      <c r="D371" s="3122"/>
      <c r="E371" s="3123">
        <f t="shared" si="235"/>
        <v>0</v>
      </c>
      <c r="F371" s="3124"/>
      <c r="G371" s="3125">
        <f t="shared" si="210"/>
        <v>0</v>
      </c>
      <c r="H371" s="3126">
        <f t="shared" si="211"/>
        <v>0</v>
      </c>
      <c r="I371" s="3133"/>
      <c r="J371" s="3133"/>
      <c r="K371" s="3133"/>
      <c r="L371" s="3133"/>
      <c r="M371" s="3133"/>
      <c r="N371" s="3133"/>
      <c r="O371" s="3133"/>
      <c r="P371" s="3133"/>
      <c r="Q371" s="3133"/>
      <c r="R371" s="3133"/>
      <c r="S371" s="3133"/>
      <c r="T371" s="3133"/>
      <c r="U371" s="3133"/>
      <c r="V371" s="3133"/>
      <c r="W371" s="3133"/>
      <c r="X371" s="3133"/>
      <c r="Y371" s="3133"/>
      <c r="Z371" s="3133"/>
      <c r="AA371" s="3133"/>
      <c r="AB371" s="3133"/>
      <c r="AC371" s="3123">
        <f t="shared" si="212"/>
        <v>0</v>
      </c>
      <c r="AD371" s="3143"/>
      <c r="AE371" s="3143"/>
      <c r="AF371" s="3143"/>
      <c r="AG371" s="3143"/>
      <c r="AH371" s="3143"/>
      <c r="AI371" s="3143"/>
      <c r="AJ371" s="3143"/>
      <c r="AK371" s="3143"/>
      <c r="AL371" s="3143"/>
      <c r="AM371" s="3143"/>
      <c r="AN371" s="3143"/>
      <c r="AO371" s="3143"/>
      <c r="AP371" s="3143"/>
      <c r="AQ371" s="3143"/>
      <c r="AR371" s="3143"/>
      <c r="AS371" s="3143"/>
      <c r="AT371" s="3153"/>
      <c r="AU371" s="3154"/>
      <c r="AV371" s="270">
        <f t="shared" si="236"/>
        <v>0</v>
      </c>
      <c r="AW371" s="270">
        <f t="shared" si="237"/>
        <v>0</v>
      </c>
      <c r="AX371" s="270">
        <f t="shared" si="238"/>
        <v>0</v>
      </c>
      <c r="AY371" s="3168">
        <f t="shared" si="213"/>
        <v>0</v>
      </c>
      <c r="AZ371" s="3123">
        <f t="shared" si="214"/>
        <v>0</v>
      </c>
      <c r="BA371" s="3123">
        <f t="shared" si="215"/>
        <v>0</v>
      </c>
      <c r="BB371" s="3123">
        <f t="shared" si="216"/>
        <v>0</v>
      </c>
      <c r="BC371" s="3123">
        <f t="shared" si="217"/>
        <v>0</v>
      </c>
      <c r="BD371" s="3123">
        <f t="shared" si="218"/>
        <v>0</v>
      </c>
      <c r="BE371" s="3123">
        <f t="shared" si="219"/>
        <v>0</v>
      </c>
      <c r="BF371" s="3123">
        <f t="shared" si="220"/>
        <v>0</v>
      </c>
      <c r="BG371" s="3123">
        <f t="shared" si="221"/>
        <v>0</v>
      </c>
      <c r="BH371" s="3123">
        <f t="shared" si="222"/>
        <v>0</v>
      </c>
      <c r="BI371" s="3123">
        <f t="shared" si="223"/>
        <v>0</v>
      </c>
      <c r="BJ371" s="3123">
        <f t="shared" si="224"/>
        <v>0</v>
      </c>
      <c r="BK371" s="3123">
        <f t="shared" si="225"/>
        <v>0</v>
      </c>
      <c r="BL371" s="3123">
        <f t="shared" si="226"/>
        <v>0</v>
      </c>
      <c r="BM371" s="3123">
        <f t="shared" si="227"/>
        <v>0</v>
      </c>
      <c r="BN371" s="3123">
        <f t="shared" si="228"/>
        <v>0</v>
      </c>
      <c r="BO371" s="3123">
        <f t="shared" si="229"/>
        <v>0</v>
      </c>
      <c r="BP371" s="3123">
        <f t="shared" si="230"/>
        <v>0</v>
      </c>
      <c r="BQ371" s="3123">
        <f t="shared" si="231"/>
        <v>0</v>
      </c>
      <c r="BR371" s="3123">
        <f t="shared" si="232"/>
        <v>0</v>
      </c>
      <c r="BS371" s="3123">
        <f t="shared" si="233"/>
        <v>0</v>
      </c>
      <c r="BT371" s="3175">
        <f t="shared" si="234"/>
        <v>0</v>
      </c>
    </row>
    <row r="372" spans="1:72">
      <c r="A372" s="3120"/>
      <c r="B372" s="3121"/>
      <c r="C372" s="3121"/>
      <c r="D372" s="3122"/>
      <c r="E372" s="3123">
        <f t="shared" si="235"/>
        <v>0</v>
      </c>
      <c r="F372" s="3124"/>
      <c r="G372" s="3125">
        <f t="shared" si="210"/>
        <v>0</v>
      </c>
      <c r="H372" s="3126">
        <f t="shared" si="211"/>
        <v>0</v>
      </c>
      <c r="I372" s="3133"/>
      <c r="J372" s="3133"/>
      <c r="K372" s="3133"/>
      <c r="L372" s="3133"/>
      <c r="M372" s="3133"/>
      <c r="N372" s="3133"/>
      <c r="O372" s="3133"/>
      <c r="P372" s="3133"/>
      <c r="Q372" s="3133"/>
      <c r="R372" s="3133"/>
      <c r="S372" s="3133"/>
      <c r="T372" s="3133"/>
      <c r="U372" s="3133"/>
      <c r="V372" s="3133"/>
      <c r="W372" s="3133"/>
      <c r="X372" s="3133"/>
      <c r="Y372" s="3133"/>
      <c r="Z372" s="3133"/>
      <c r="AA372" s="3133"/>
      <c r="AB372" s="3133"/>
      <c r="AC372" s="3123">
        <f t="shared" si="212"/>
        <v>0</v>
      </c>
      <c r="AD372" s="3143"/>
      <c r="AE372" s="3143"/>
      <c r="AF372" s="3143"/>
      <c r="AG372" s="3143"/>
      <c r="AH372" s="3143"/>
      <c r="AI372" s="3143"/>
      <c r="AJ372" s="3143"/>
      <c r="AK372" s="3143"/>
      <c r="AL372" s="3143"/>
      <c r="AM372" s="3143"/>
      <c r="AN372" s="3143"/>
      <c r="AO372" s="3143"/>
      <c r="AP372" s="3143"/>
      <c r="AQ372" s="3143"/>
      <c r="AR372" s="3143"/>
      <c r="AS372" s="3143"/>
      <c r="AT372" s="3153"/>
      <c r="AU372" s="3154"/>
      <c r="AV372" s="270">
        <f t="shared" si="236"/>
        <v>0</v>
      </c>
      <c r="AW372" s="270">
        <f t="shared" si="237"/>
        <v>0</v>
      </c>
      <c r="AX372" s="270">
        <f t="shared" si="238"/>
        <v>0</v>
      </c>
      <c r="AY372" s="3168">
        <f t="shared" si="213"/>
        <v>0</v>
      </c>
      <c r="AZ372" s="3123">
        <f t="shared" si="214"/>
        <v>0</v>
      </c>
      <c r="BA372" s="3123">
        <f t="shared" si="215"/>
        <v>0</v>
      </c>
      <c r="BB372" s="3123">
        <f t="shared" si="216"/>
        <v>0</v>
      </c>
      <c r="BC372" s="3123">
        <f t="shared" si="217"/>
        <v>0</v>
      </c>
      <c r="BD372" s="3123">
        <f t="shared" si="218"/>
        <v>0</v>
      </c>
      <c r="BE372" s="3123">
        <f t="shared" si="219"/>
        <v>0</v>
      </c>
      <c r="BF372" s="3123">
        <f t="shared" si="220"/>
        <v>0</v>
      </c>
      <c r="BG372" s="3123">
        <f t="shared" si="221"/>
        <v>0</v>
      </c>
      <c r="BH372" s="3123">
        <f t="shared" si="222"/>
        <v>0</v>
      </c>
      <c r="BI372" s="3123">
        <f t="shared" si="223"/>
        <v>0</v>
      </c>
      <c r="BJ372" s="3123">
        <f t="shared" si="224"/>
        <v>0</v>
      </c>
      <c r="BK372" s="3123">
        <f t="shared" si="225"/>
        <v>0</v>
      </c>
      <c r="BL372" s="3123">
        <f t="shared" si="226"/>
        <v>0</v>
      </c>
      <c r="BM372" s="3123">
        <f t="shared" si="227"/>
        <v>0</v>
      </c>
      <c r="BN372" s="3123">
        <f t="shared" si="228"/>
        <v>0</v>
      </c>
      <c r="BO372" s="3123">
        <f t="shared" si="229"/>
        <v>0</v>
      </c>
      <c r="BP372" s="3123">
        <f t="shared" si="230"/>
        <v>0</v>
      </c>
      <c r="BQ372" s="3123">
        <f t="shared" si="231"/>
        <v>0</v>
      </c>
      <c r="BR372" s="3123">
        <f t="shared" si="232"/>
        <v>0</v>
      </c>
      <c r="BS372" s="3123">
        <f t="shared" si="233"/>
        <v>0</v>
      </c>
      <c r="BT372" s="3175">
        <f t="shared" si="234"/>
        <v>0</v>
      </c>
    </row>
    <row r="373" spans="1:72">
      <c r="A373" s="3120"/>
      <c r="B373" s="3121"/>
      <c r="C373" s="3121"/>
      <c r="D373" s="3122"/>
      <c r="E373" s="3123">
        <f t="shared" si="235"/>
        <v>0</v>
      </c>
      <c r="F373" s="3124"/>
      <c r="G373" s="3125">
        <f t="shared" si="210"/>
        <v>0</v>
      </c>
      <c r="H373" s="3126">
        <f t="shared" si="211"/>
        <v>0</v>
      </c>
      <c r="I373" s="3133"/>
      <c r="J373" s="3133"/>
      <c r="K373" s="3133"/>
      <c r="L373" s="3133"/>
      <c r="M373" s="3133"/>
      <c r="N373" s="3133"/>
      <c r="O373" s="3133"/>
      <c r="P373" s="3133"/>
      <c r="Q373" s="3133"/>
      <c r="R373" s="3133"/>
      <c r="S373" s="3133"/>
      <c r="T373" s="3133"/>
      <c r="U373" s="3133"/>
      <c r="V373" s="3133"/>
      <c r="W373" s="3133"/>
      <c r="X373" s="3133"/>
      <c r="Y373" s="3133"/>
      <c r="Z373" s="3133"/>
      <c r="AA373" s="3133"/>
      <c r="AB373" s="3133"/>
      <c r="AC373" s="3123">
        <f t="shared" si="212"/>
        <v>0</v>
      </c>
      <c r="AD373" s="3143"/>
      <c r="AE373" s="3143"/>
      <c r="AF373" s="3143"/>
      <c r="AG373" s="3143"/>
      <c r="AH373" s="3143"/>
      <c r="AI373" s="3143"/>
      <c r="AJ373" s="3143"/>
      <c r="AK373" s="3143"/>
      <c r="AL373" s="3143"/>
      <c r="AM373" s="3143"/>
      <c r="AN373" s="3143"/>
      <c r="AO373" s="3143"/>
      <c r="AP373" s="3143"/>
      <c r="AQ373" s="3143"/>
      <c r="AR373" s="3143"/>
      <c r="AS373" s="3143"/>
      <c r="AT373" s="3153"/>
      <c r="AU373" s="3154"/>
      <c r="AV373" s="270">
        <f t="shared" si="236"/>
        <v>0</v>
      </c>
      <c r="AW373" s="270">
        <f t="shared" si="237"/>
        <v>0</v>
      </c>
      <c r="AX373" s="270">
        <f t="shared" si="238"/>
        <v>0</v>
      </c>
      <c r="AY373" s="3168">
        <f t="shared" si="213"/>
        <v>0</v>
      </c>
      <c r="AZ373" s="3123">
        <f t="shared" si="214"/>
        <v>0</v>
      </c>
      <c r="BA373" s="3123">
        <f t="shared" si="215"/>
        <v>0</v>
      </c>
      <c r="BB373" s="3123">
        <f t="shared" si="216"/>
        <v>0</v>
      </c>
      <c r="BC373" s="3123">
        <f t="shared" si="217"/>
        <v>0</v>
      </c>
      <c r="BD373" s="3123">
        <f t="shared" si="218"/>
        <v>0</v>
      </c>
      <c r="BE373" s="3123">
        <f t="shared" si="219"/>
        <v>0</v>
      </c>
      <c r="BF373" s="3123">
        <f t="shared" si="220"/>
        <v>0</v>
      </c>
      <c r="BG373" s="3123">
        <f t="shared" si="221"/>
        <v>0</v>
      </c>
      <c r="BH373" s="3123">
        <f t="shared" si="222"/>
        <v>0</v>
      </c>
      <c r="BI373" s="3123">
        <f t="shared" si="223"/>
        <v>0</v>
      </c>
      <c r="BJ373" s="3123">
        <f t="shared" si="224"/>
        <v>0</v>
      </c>
      <c r="BK373" s="3123">
        <f t="shared" si="225"/>
        <v>0</v>
      </c>
      <c r="BL373" s="3123">
        <f t="shared" si="226"/>
        <v>0</v>
      </c>
      <c r="BM373" s="3123">
        <f t="shared" si="227"/>
        <v>0</v>
      </c>
      <c r="BN373" s="3123">
        <f t="shared" si="228"/>
        <v>0</v>
      </c>
      <c r="BO373" s="3123">
        <f t="shared" si="229"/>
        <v>0</v>
      </c>
      <c r="BP373" s="3123">
        <f t="shared" si="230"/>
        <v>0</v>
      </c>
      <c r="BQ373" s="3123">
        <f t="shared" si="231"/>
        <v>0</v>
      </c>
      <c r="BR373" s="3123">
        <f t="shared" si="232"/>
        <v>0</v>
      </c>
      <c r="BS373" s="3123">
        <f t="shared" si="233"/>
        <v>0</v>
      </c>
      <c r="BT373" s="3175">
        <f t="shared" si="234"/>
        <v>0</v>
      </c>
    </row>
    <row r="374" spans="1:72">
      <c r="A374" s="3120"/>
      <c r="B374" s="3121"/>
      <c r="C374" s="3121"/>
      <c r="D374" s="3122"/>
      <c r="E374" s="3123">
        <f t="shared" si="235"/>
        <v>0</v>
      </c>
      <c r="F374" s="3124"/>
      <c r="G374" s="3125">
        <f t="shared" si="210"/>
        <v>0</v>
      </c>
      <c r="H374" s="3126">
        <f t="shared" si="211"/>
        <v>0</v>
      </c>
      <c r="I374" s="3133"/>
      <c r="J374" s="3133"/>
      <c r="K374" s="3133"/>
      <c r="L374" s="3133"/>
      <c r="M374" s="3133"/>
      <c r="N374" s="3133"/>
      <c r="O374" s="3133"/>
      <c r="P374" s="3133"/>
      <c r="Q374" s="3133"/>
      <c r="R374" s="3133"/>
      <c r="S374" s="3133"/>
      <c r="T374" s="3133"/>
      <c r="U374" s="3133"/>
      <c r="V374" s="3133"/>
      <c r="W374" s="3133"/>
      <c r="X374" s="3133"/>
      <c r="Y374" s="3133"/>
      <c r="Z374" s="3133"/>
      <c r="AA374" s="3133"/>
      <c r="AB374" s="3133"/>
      <c r="AC374" s="3123">
        <f t="shared" si="212"/>
        <v>0</v>
      </c>
      <c r="AD374" s="3143"/>
      <c r="AE374" s="3143"/>
      <c r="AF374" s="3143"/>
      <c r="AG374" s="3143"/>
      <c r="AH374" s="3143"/>
      <c r="AI374" s="3143"/>
      <c r="AJ374" s="3143"/>
      <c r="AK374" s="3143"/>
      <c r="AL374" s="3143"/>
      <c r="AM374" s="3143"/>
      <c r="AN374" s="3143"/>
      <c r="AO374" s="3143"/>
      <c r="AP374" s="3143"/>
      <c r="AQ374" s="3143"/>
      <c r="AR374" s="3143"/>
      <c r="AS374" s="3143"/>
      <c r="AT374" s="3153"/>
      <c r="AU374" s="3154"/>
      <c r="AV374" s="270">
        <f t="shared" si="236"/>
        <v>0</v>
      </c>
      <c r="AW374" s="270">
        <f t="shared" si="237"/>
        <v>0</v>
      </c>
      <c r="AX374" s="270">
        <f t="shared" si="238"/>
        <v>0</v>
      </c>
      <c r="AY374" s="3168">
        <f t="shared" si="213"/>
        <v>0</v>
      </c>
      <c r="AZ374" s="3123">
        <f t="shared" si="214"/>
        <v>0</v>
      </c>
      <c r="BA374" s="3123">
        <f t="shared" si="215"/>
        <v>0</v>
      </c>
      <c r="BB374" s="3123">
        <f t="shared" si="216"/>
        <v>0</v>
      </c>
      <c r="BC374" s="3123">
        <f t="shared" si="217"/>
        <v>0</v>
      </c>
      <c r="BD374" s="3123">
        <f t="shared" si="218"/>
        <v>0</v>
      </c>
      <c r="BE374" s="3123">
        <f t="shared" si="219"/>
        <v>0</v>
      </c>
      <c r="BF374" s="3123">
        <f t="shared" si="220"/>
        <v>0</v>
      </c>
      <c r="BG374" s="3123">
        <f t="shared" si="221"/>
        <v>0</v>
      </c>
      <c r="BH374" s="3123">
        <f t="shared" si="222"/>
        <v>0</v>
      </c>
      <c r="BI374" s="3123">
        <f t="shared" si="223"/>
        <v>0</v>
      </c>
      <c r="BJ374" s="3123">
        <f t="shared" si="224"/>
        <v>0</v>
      </c>
      <c r="BK374" s="3123">
        <f t="shared" si="225"/>
        <v>0</v>
      </c>
      <c r="BL374" s="3123">
        <f t="shared" si="226"/>
        <v>0</v>
      </c>
      <c r="BM374" s="3123">
        <f t="shared" si="227"/>
        <v>0</v>
      </c>
      <c r="BN374" s="3123">
        <f t="shared" si="228"/>
        <v>0</v>
      </c>
      <c r="BO374" s="3123">
        <f t="shared" si="229"/>
        <v>0</v>
      </c>
      <c r="BP374" s="3123">
        <f t="shared" si="230"/>
        <v>0</v>
      </c>
      <c r="BQ374" s="3123">
        <f t="shared" si="231"/>
        <v>0</v>
      </c>
      <c r="BR374" s="3123">
        <f t="shared" si="232"/>
        <v>0</v>
      </c>
      <c r="BS374" s="3123">
        <f t="shared" si="233"/>
        <v>0</v>
      </c>
      <c r="BT374" s="3175">
        <f t="shared" si="234"/>
        <v>0</v>
      </c>
    </row>
    <row r="375" spans="1:72">
      <c r="A375" s="3120"/>
      <c r="B375" s="3121"/>
      <c r="C375" s="3121"/>
      <c r="D375" s="3122"/>
      <c r="E375" s="3123">
        <f t="shared" si="235"/>
        <v>0</v>
      </c>
      <c r="F375" s="3124"/>
      <c r="G375" s="3125">
        <f t="shared" si="210"/>
        <v>0</v>
      </c>
      <c r="H375" s="3126">
        <f t="shared" si="211"/>
        <v>0</v>
      </c>
      <c r="I375" s="3133"/>
      <c r="J375" s="3133"/>
      <c r="K375" s="3133"/>
      <c r="L375" s="3133"/>
      <c r="M375" s="3133"/>
      <c r="N375" s="3133"/>
      <c r="O375" s="3133"/>
      <c r="P375" s="3133"/>
      <c r="Q375" s="3133"/>
      <c r="R375" s="3133"/>
      <c r="S375" s="3133"/>
      <c r="T375" s="3133"/>
      <c r="U375" s="3133"/>
      <c r="V375" s="3133"/>
      <c r="W375" s="3133"/>
      <c r="X375" s="3133"/>
      <c r="Y375" s="3133"/>
      <c r="Z375" s="3133"/>
      <c r="AA375" s="3133"/>
      <c r="AB375" s="3133"/>
      <c r="AC375" s="3123">
        <f t="shared" si="212"/>
        <v>0</v>
      </c>
      <c r="AD375" s="3143"/>
      <c r="AE375" s="3143"/>
      <c r="AF375" s="3143"/>
      <c r="AG375" s="3143"/>
      <c r="AH375" s="3143"/>
      <c r="AI375" s="3143"/>
      <c r="AJ375" s="3143"/>
      <c r="AK375" s="3143"/>
      <c r="AL375" s="3143"/>
      <c r="AM375" s="3143"/>
      <c r="AN375" s="3143"/>
      <c r="AO375" s="3143"/>
      <c r="AP375" s="3143"/>
      <c r="AQ375" s="3143"/>
      <c r="AR375" s="3143"/>
      <c r="AS375" s="3143"/>
      <c r="AT375" s="3153"/>
      <c r="AU375" s="3154"/>
      <c r="AV375" s="270">
        <f t="shared" si="236"/>
        <v>0</v>
      </c>
      <c r="AW375" s="270">
        <f t="shared" si="237"/>
        <v>0</v>
      </c>
      <c r="AX375" s="270">
        <f t="shared" si="238"/>
        <v>0</v>
      </c>
      <c r="AY375" s="3168">
        <f t="shared" si="213"/>
        <v>0</v>
      </c>
      <c r="AZ375" s="3123">
        <f t="shared" si="214"/>
        <v>0</v>
      </c>
      <c r="BA375" s="3123">
        <f t="shared" si="215"/>
        <v>0</v>
      </c>
      <c r="BB375" s="3123">
        <f t="shared" si="216"/>
        <v>0</v>
      </c>
      <c r="BC375" s="3123">
        <f t="shared" si="217"/>
        <v>0</v>
      </c>
      <c r="BD375" s="3123">
        <f t="shared" si="218"/>
        <v>0</v>
      </c>
      <c r="BE375" s="3123">
        <f t="shared" si="219"/>
        <v>0</v>
      </c>
      <c r="BF375" s="3123">
        <f t="shared" si="220"/>
        <v>0</v>
      </c>
      <c r="BG375" s="3123">
        <f t="shared" si="221"/>
        <v>0</v>
      </c>
      <c r="BH375" s="3123">
        <f t="shared" si="222"/>
        <v>0</v>
      </c>
      <c r="BI375" s="3123">
        <f t="shared" si="223"/>
        <v>0</v>
      </c>
      <c r="BJ375" s="3123">
        <f t="shared" si="224"/>
        <v>0</v>
      </c>
      <c r="BK375" s="3123">
        <f t="shared" si="225"/>
        <v>0</v>
      </c>
      <c r="BL375" s="3123">
        <f t="shared" si="226"/>
        <v>0</v>
      </c>
      <c r="BM375" s="3123">
        <f t="shared" si="227"/>
        <v>0</v>
      </c>
      <c r="BN375" s="3123">
        <f t="shared" si="228"/>
        <v>0</v>
      </c>
      <c r="BO375" s="3123">
        <f t="shared" si="229"/>
        <v>0</v>
      </c>
      <c r="BP375" s="3123">
        <f t="shared" si="230"/>
        <v>0</v>
      </c>
      <c r="BQ375" s="3123">
        <f t="shared" si="231"/>
        <v>0</v>
      </c>
      <c r="BR375" s="3123">
        <f t="shared" si="232"/>
        <v>0</v>
      </c>
      <c r="BS375" s="3123">
        <f t="shared" si="233"/>
        <v>0</v>
      </c>
      <c r="BT375" s="3175">
        <f t="shared" si="234"/>
        <v>0</v>
      </c>
    </row>
    <row r="376" spans="1:72">
      <c r="A376" s="3120"/>
      <c r="B376" s="3121"/>
      <c r="C376" s="3121"/>
      <c r="D376" s="3122"/>
      <c r="E376" s="3123">
        <f t="shared" si="235"/>
        <v>0</v>
      </c>
      <c r="F376" s="3124"/>
      <c r="G376" s="3125">
        <f t="shared" si="210"/>
        <v>0</v>
      </c>
      <c r="H376" s="3126">
        <f t="shared" si="211"/>
        <v>0</v>
      </c>
      <c r="I376" s="3133"/>
      <c r="J376" s="3133"/>
      <c r="K376" s="3133"/>
      <c r="L376" s="3133"/>
      <c r="M376" s="3133"/>
      <c r="N376" s="3133"/>
      <c r="O376" s="3133"/>
      <c r="P376" s="3133"/>
      <c r="Q376" s="3133"/>
      <c r="R376" s="3133"/>
      <c r="S376" s="3133"/>
      <c r="T376" s="3133"/>
      <c r="U376" s="3133"/>
      <c r="V376" s="3133"/>
      <c r="W376" s="3133"/>
      <c r="X376" s="3133"/>
      <c r="Y376" s="3133"/>
      <c r="Z376" s="3133"/>
      <c r="AA376" s="3133"/>
      <c r="AB376" s="3133"/>
      <c r="AC376" s="3123">
        <f t="shared" si="212"/>
        <v>0</v>
      </c>
      <c r="AD376" s="3143"/>
      <c r="AE376" s="3143"/>
      <c r="AF376" s="3143"/>
      <c r="AG376" s="3143"/>
      <c r="AH376" s="3143"/>
      <c r="AI376" s="3143"/>
      <c r="AJ376" s="3143"/>
      <c r="AK376" s="3143"/>
      <c r="AL376" s="3143"/>
      <c r="AM376" s="3143"/>
      <c r="AN376" s="3143"/>
      <c r="AO376" s="3143"/>
      <c r="AP376" s="3143"/>
      <c r="AQ376" s="3143"/>
      <c r="AR376" s="3143"/>
      <c r="AS376" s="3143"/>
      <c r="AT376" s="3153"/>
      <c r="AU376" s="3154"/>
      <c r="AV376" s="270">
        <f t="shared" si="236"/>
        <v>0</v>
      </c>
      <c r="AW376" s="270">
        <f t="shared" si="237"/>
        <v>0</v>
      </c>
      <c r="AX376" s="270">
        <f t="shared" si="238"/>
        <v>0</v>
      </c>
      <c r="AY376" s="3168">
        <f t="shared" si="213"/>
        <v>0</v>
      </c>
      <c r="AZ376" s="3123">
        <f t="shared" si="214"/>
        <v>0</v>
      </c>
      <c r="BA376" s="3123">
        <f t="shared" si="215"/>
        <v>0</v>
      </c>
      <c r="BB376" s="3123">
        <f t="shared" si="216"/>
        <v>0</v>
      </c>
      <c r="BC376" s="3123">
        <f t="shared" si="217"/>
        <v>0</v>
      </c>
      <c r="BD376" s="3123">
        <f t="shared" si="218"/>
        <v>0</v>
      </c>
      <c r="BE376" s="3123">
        <f t="shared" si="219"/>
        <v>0</v>
      </c>
      <c r="BF376" s="3123">
        <f t="shared" si="220"/>
        <v>0</v>
      </c>
      <c r="BG376" s="3123">
        <f t="shared" si="221"/>
        <v>0</v>
      </c>
      <c r="BH376" s="3123">
        <f t="shared" si="222"/>
        <v>0</v>
      </c>
      <c r="BI376" s="3123">
        <f t="shared" si="223"/>
        <v>0</v>
      </c>
      <c r="BJ376" s="3123">
        <f t="shared" si="224"/>
        <v>0</v>
      </c>
      <c r="BK376" s="3123">
        <f t="shared" si="225"/>
        <v>0</v>
      </c>
      <c r="BL376" s="3123">
        <f t="shared" si="226"/>
        <v>0</v>
      </c>
      <c r="BM376" s="3123">
        <f t="shared" si="227"/>
        <v>0</v>
      </c>
      <c r="BN376" s="3123">
        <f t="shared" si="228"/>
        <v>0</v>
      </c>
      <c r="BO376" s="3123">
        <f t="shared" si="229"/>
        <v>0</v>
      </c>
      <c r="BP376" s="3123">
        <f t="shared" si="230"/>
        <v>0</v>
      </c>
      <c r="BQ376" s="3123">
        <f t="shared" si="231"/>
        <v>0</v>
      </c>
      <c r="BR376" s="3123">
        <f t="shared" si="232"/>
        <v>0</v>
      </c>
      <c r="BS376" s="3123">
        <f t="shared" si="233"/>
        <v>0</v>
      </c>
      <c r="BT376" s="3175">
        <f t="shared" si="234"/>
        <v>0</v>
      </c>
    </row>
    <row r="377" spans="1:72">
      <c r="A377" s="3120"/>
      <c r="B377" s="3121"/>
      <c r="C377" s="3121"/>
      <c r="D377" s="3122"/>
      <c r="E377" s="3123">
        <f t="shared" si="235"/>
        <v>0</v>
      </c>
      <c r="F377" s="3124"/>
      <c r="G377" s="3125">
        <f t="shared" si="210"/>
        <v>0</v>
      </c>
      <c r="H377" s="3126">
        <f t="shared" si="211"/>
        <v>0</v>
      </c>
      <c r="I377" s="3133"/>
      <c r="J377" s="3133"/>
      <c r="K377" s="3133"/>
      <c r="L377" s="3133"/>
      <c r="M377" s="3133"/>
      <c r="N377" s="3133"/>
      <c r="O377" s="3133"/>
      <c r="P377" s="3133"/>
      <c r="Q377" s="3133"/>
      <c r="R377" s="3133"/>
      <c r="S377" s="3133"/>
      <c r="T377" s="3133"/>
      <c r="U377" s="3133"/>
      <c r="V377" s="3133"/>
      <c r="W377" s="3133"/>
      <c r="X377" s="3133"/>
      <c r="Y377" s="3133"/>
      <c r="Z377" s="3133"/>
      <c r="AA377" s="3133"/>
      <c r="AB377" s="3133"/>
      <c r="AC377" s="3123">
        <f t="shared" si="212"/>
        <v>0</v>
      </c>
      <c r="AD377" s="3143"/>
      <c r="AE377" s="3143"/>
      <c r="AF377" s="3143"/>
      <c r="AG377" s="3143"/>
      <c r="AH377" s="3143"/>
      <c r="AI377" s="3143"/>
      <c r="AJ377" s="3143"/>
      <c r="AK377" s="3143"/>
      <c r="AL377" s="3143"/>
      <c r="AM377" s="3143"/>
      <c r="AN377" s="3143"/>
      <c r="AO377" s="3143"/>
      <c r="AP377" s="3143"/>
      <c r="AQ377" s="3143"/>
      <c r="AR377" s="3143"/>
      <c r="AS377" s="3143"/>
      <c r="AT377" s="3153"/>
      <c r="AU377" s="3154"/>
      <c r="AV377" s="270">
        <f t="shared" si="236"/>
        <v>0</v>
      </c>
      <c r="AW377" s="270">
        <f t="shared" si="237"/>
        <v>0</v>
      </c>
      <c r="AX377" s="270">
        <f t="shared" si="238"/>
        <v>0</v>
      </c>
      <c r="AY377" s="3168">
        <f t="shared" si="213"/>
        <v>0</v>
      </c>
      <c r="AZ377" s="3123">
        <f t="shared" si="214"/>
        <v>0</v>
      </c>
      <c r="BA377" s="3123">
        <f t="shared" si="215"/>
        <v>0</v>
      </c>
      <c r="BB377" s="3123">
        <f t="shared" si="216"/>
        <v>0</v>
      </c>
      <c r="BC377" s="3123">
        <f t="shared" si="217"/>
        <v>0</v>
      </c>
      <c r="BD377" s="3123">
        <f t="shared" si="218"/>
        <v>0</v>
      </c>
      <c r="BE377" s="3123">
        <f t="shared" si="219"/>
        <v>0</v>
      </c>
      <c r="BF377" s="3123">
        <f t="shared" si="220"/>
        <v>0</v>
      </c>
      <c r="BG377" s="3123">
        <f t="shared" si="221"/>
        <v>0</v>
      </c>
      <c r="BH377" s="3123">
        <f t="shared" si="222"/>
        <v>0</v>
      </c>
      <c r="BI377" s="3123">
        <f t="shared" si="223"/>
        <v>0</v>
      </c>
      <c r="BJ377" s="3123">
        <f t="shared" si="224"/>
        <v>0</v>
      </c>
      <c r="BK377" s="3123">
        <f t="shared" si="225"/>
        <v>0</v>
      </c>
      <c r="BL377" s="3123">
        <f t="shared" si="226"/>
        <v>0</v>
      </c>
      <c r="BM377" s="3123">
        <f t="shared" si="227"/>
        <v>0</v>
      </c>
      <c r="BN377" s="3123">
        <f t="shared" si="228"/>
        <v>0</v>
      </c>
      <c r="BO377" s="3123">
        <f t="shared" si="229"/>
        <v>0</v>
      </c>
      <c r="BP377" s="3123">
        <f t="shared" si="230"/>
        <v>0</v>
      </c>
      <c r="BQ377" s="3123">
        <f t="shared" si="231"/>
        <v>0</v>
      </c>
      <c r="BR377" s="3123">
        <f t="shared" si="232"/>
        <v>0</v>
      </c>
      <c r="BS377" s="3123">
        <f t="shared" si="233"/>
        <v>0</v>
      </c>
      <c r="BT377" s="3175">
        <f t="shared" si="234"/>
        <v>0</v>
      </c>
    </row>
    <row r="378" spans="1:72">
      <c r="A378" s="3120"/>
      <c r="B378" s="3121"/>
      <c r="C378" s="3121"/>
      <c r="D378" s="3122"/>
      <c r="E378" s="3123">
        <f t="shared" si="235"/>
        <v>0</v>
      </c>
      <c r="F378" s="3124"/>
      <c r="G378" s="3125">
        <f t="shared" si="210"/>
        <v>0</v>
      </c>
      <c r="H378" s="3126">
        <f t="shared" si="211"/>
        <v>0</v>
      </c>
      <c r="I378" s="3133"/>
      <c r="J378" s="3133"/>
      <c r="K378" s="3133"/>
      <c r="L378" s="3133"/>
      <c r="M378" s="3133"/>
      <c r="N378" s="3133"/>
      <c r="O378" s="3133"/>
      <c r="P378" s="3133"/>
      <c r="Q378" s="3133"/>
      <c r="R378" s="3133"/>
      <c r="S378" s="3133"/>
      <c r="T378" s="3133"/>
      <c r="U378" s="3133"/>
      <c r="V378" s="3133"/>
      <c r="W378" s="3133"/>
      <c r="X378" s="3133"/>
      <c r="Y378" s="3133"/>
      <c r="Z378" s="3133"/>
      <c r="AA378" s="3133"/>
      <c r="AB378" s="3133"/>
      <c r="AC378" s="3123">
        <f t="shared" si="212"/>
        <v>0</v>
      </c>
      <c r="AD378" s="3143"/>
      <c r="AE378" s="3143"/>
      <c r="AF378" s="3143"/>
      <c r="AG378" s="3143"/>
      <c r="AH378" s="3143"/>
      <c r="AI378" s="3143"/>
      <c r="AJ378" s="3143"/>
      <c r="AK378" s="3143"/>
      <c r="AL378" s="3143"/>
      <c r="AM378" s="3143"/>
      <c r="AN378" s="3143"/>
      <c r="AO378" s="3143"/>
      <c r="AP378" s="3143"/>
      <c r="AQ378" s="3143"/>
      <c r="AR378" s="3143"/>
      <c r="AS378" s="3143"/>
      <c r="AT378" s="3153"/>
      <c r="AU378" s="3154"/>
      <c r="AV378" s="270">
        <f t="shared" si="236"/>
        <v>0</v>
      </c>
      <c r="AW378" s="270">
        <f t="shared" si="237"/>
        <v>0</v>
      </c>
      <c r="AX378" s="270">
        <f t="shared" si="238"/>
        <v>0</v>
      </c>
      <c r="AY378" s="3168">
        <f t="shared" si="213"/>
        <v>0</v>
      </c>
      <c r="AZ378" s="3123">
        <f t="shared" si="214"/>
        <v>0</v>
      </c>
      <c r="BA378" s="3123">
        <f t="shared" si="215"/>
        <v>0</v>
      </c>
      <c r="BB378" s="3123">
        <f t="shared" si="216"/>
        <v>0</v>
      </c>
      <c r="BC378" s="3123">
        <f t="shared" si="217"/>
        <v>0</v>
      </c>
      <c r="BD378" s="3123">
        <f t="shared" si="218"/>
        <v>0</v>
      </c>
      <c r="BE378" s="3123">
        <f t="shared" si="219"/>
        <v>0</v>
      </c>
      <c r="BF378" s="3123">
        <f t="shared" si="220"/>
        <v>0</v>
      </c>
      <c r="BG378" s="3123">
        <f t="shared" si="221"/>
        <v>0</v>
      </c>
      <c r="BH378" s="3123">
        <f t="shared" si="222"/>
        <v>0</v>
      </c>
      <c r="BI378" s="3123">
        <f t="shared" si="223"/>
        <v>0</v>
      </c>
      <c r="BJ378" s="3123">
        <f t="shared" si="224"/>
        <v>0</v>
      </c>
      <c r="BK378" s="3123">
        <f t="shared" si="225"/>
        <v>0</v>
      </c>
      <c r="BL378" s="3123">
        <f t="shared" si="226"/>
        <v>0</v>
      </c>
      <c r="BM378" s="3123">
        <f t="shared" si="227"/>
        <v>0</v>
      </c>
      <c r="BN378" s="3123">
        <f t="shared" si="228"/>
        <v>0</v>
      </c>
      <c r="BO378" s="3123">
        <f t="shared" si="229"/>
        <v>0</v>
      </c>
      <c r="BP378" s="3123">
        <f t="shared" si="230"/>
        <v>0</v>
      </c>
      <c r="BQ378" s="3123">
        <f t="shared" si="231"/>
        <v>0</v>
      </c>
      <c r="BR378" s="3123">
        <f t="shared" si="232"/>
        <v>0</v>
      </c>
      <c r="BS378" s="3123">
        <f t="shared" si="233"/>
        <v>0</v>
      </c>
      <c r="BT378" s="3175">
        <f t="shared" si="234"/>
        <v>0</v>
      </c>
    </row>
    <row r="379" spans="1:72">
      <c r="A379" s="3120"/>
      <c r="B379" s="3121"/>
      <c r="C379" s="3121"/>
      <c r="D379" s="3122"/>
      <c r="E379" s="3123">
        <f t="shared" si="235"/>
        <v>0</v>
      </c>
      <c r="F379" s="3124"/>
      <c r="G379" s="3125">
        <f t="shared" si="210"/>
        <v>0</v>
      </c>
      <c r="H379" s="3126">
        <f t="shared" si="211"/>
        <v>0</v>
      </c>
      <c r="I379" s="3133"/>
      <c r="J379" s="3133"/>
      <c r="K379" s="3133"/>
      <c r="L379" s="3133"/>
      <c r="M379" s="3133"/>
      <c r="N379" s="3133"/>
      <c r="O379" s="3133"/>
      <c r="P379" s="3133"/>
      <c r="Q379" s="3133"/>
      <c r="R379" s="3133"/>
      <c r="S379" s="3133"/>
      <c r="T379" s="3133"/>
      <c r="U379" s="3133"/>
      <c r="V379" s="3133"/>
      <c r="W379" s="3133"/>
      <c r="X379" s="3133"/>
      <c r="Y379" s="3133"/>
      <c r="Z379" s="3133"/>
      <c r="AA379" s="3133"/>
      <c r="AB379" s="3133"/>
      <c r="AC379" s="3123">
        <f t="shared" si="212"/>
        <v>0</v>
      </c>
      <c r="AD379" s="3143"/>
      <c r="AE379" s="3143"/>
      <c r="AF379" s="3143"/>
      <c r="AG379" s="3143"/>
      <c r="AH379" s="3143"/>
      <c r="AI379" s="3143"/>
      <c r="AJ379" s="3143"/>
      <c r="AK379" s="3143"/>
      <c r="AL379" s="3143"/>
      <c r="AM379" s="3143"/>
      <c r="AN379" s="3143"/>
      <c r="AO379" s="3143"/>
      <c r="AP379" s="3143"/>
      <c r="AQ379" s="3143"/>
      <c r="AR379" s="3143"/>
      <c r="AS379" s="3143"/>
      <c r="AT379" s="3153"/>
      <c r="AU379" s="3154"/>
      <c r="AV379" s="270">
        <f t="shared" si="236"/>
        <v>0</v>
      </c>
      <c r="AW379" s="270">
        <f t="shared" si="237"/>
        <v>0</v>
      </c>
      <c r="AX379" s="270">
        <f t="shared" si="238"/>
        <v>0</v>
      </c>
      <c r="AY379" s="3168">
        <f t="shared" si="213"/>
        <v>0</v>
      </c>
      <c r="AZ379" s="3123">
        <f t="shared" si="214"/>
        <v>0</v>
      </c>
      <c r="BA379" s="3123">
        <f t="shared" si="215"/>
        <v>0</v>
      </c>
      <c r="BB379" s="3123">
        <f t="shared" si="216"/>
        <v>0</v>
      </c>
      <c r="BC379" s="3123">
        <f t="shared" si="217"/>
        <v>0</v>
      </c>
      <c r="BD379" s="3123">
        <f t="shared" si="218"/>
        <v>0</v>
      </c>
      <c r="BE379" s="3123">
        <f t="shared" si="219"/>
        <v>0</v>
      </c>
      <c r="BF379" s="3123">
        <f t="shared" si="220"/>
        <v>0</v>
      </c>
      <c r="BG379" s="3123">
        <f t="shared" si="221"/>
        <v>0</v>
      </c>
      <c r="BH379" s="3123">
        <f t="shared" si="222"/>
        <v>0</v>
      </c>
      <c r="BI379" s="3123">
        <f t="shared" si="223"/>
        <v>0</v>
      </c>
      <c r="BJ379" s="3123">
        <f t="shared" si="224"/>
        <v>0</v>
      </c>
      <c r="BK379" s="3123">
        <f t="shared" si="225"/>
        <v>0</v>
      </c>
      <c r="BL379" s="3123">
        <f t="shared" si="226"/>
        <v>0</v>
      </c>
      <c r="BM379" s="3123">
        <f t="shared" si="227"/>
        <v>0</v>
      </c>
      <c r="BN379" s="3123">
        <f t="shared" si="228"/>
        <v>0</v>
      </c>
      <c r="BO379" s="3123">
        <f t="shared" si="229"/>
        <v>0</v>
      </c>
      <c r="BP379" s="3123">
        <f t="shared" si="230"/>
        <v>0</v>
      </c>
      <c r="BQ379" s="3123">
        <f t="shared" si="231"/>
        <v>0</v>
      </c>
      <c r="BR379" s="3123">
        <f t="shared" si="232"/>
        <v>0</v>
      </c>
      <c r="BS379" s="3123">
        <f t="shared" si="233"/>
        <v>0</v>
      </c>
      <c r="BT379" s="3175">
        <f t="shared" si="234"/>
        <v>0</v>
      </c>
    </row>
    <row r="380" spans="1:72">
      <c r="A380" s="3120"/>
      <c r="B380" s="3121"/>
      <c r="C380" s="3121"/>
      <c r="D380" s="3122"/>
      <c r="E380" s="3123">
        <f t="shared" si="235"/>
        <v>0</v>
      </c>
      <c r="F380" s="3124"/>
      <c r="G380" s="3125">
        <f t="shared" si="210"/>
        <v>0</v>
      </c>
      <c r="H380" s="3126">
        <f t="shared" si="211"/>
        <v>0</v>
      </c>
      <c r="I380" s="3133"/>
      <c r="J380" s="3133"/>
      <c r="K380" s="3133"/>
      <c r="L380" s="3133"/>
      <c r="M380" s="3133"/>
      <c r="N380" s="3133"/>
      <c r="O380" s="3133"/>
      <c r="P380" s="3133"/>
      <c r="Q380" s="3133"/>
      <c r="R380" s="3133"/>
      <c r="S380" s="3133"/>
      <c r="T380" s="3133"/>
      <c r="U380" s="3133"/>
      <c r="V380" s="3133"/>
      <c r="W380" s="3133"/>
      <c r="X380" s="3133"/>
      <c r="Y380" s="3133"/>
      <c r="Z380" s="3133"/>
      <c r="AA380" s="3133"/>
      <c r="AB380" s="3133"/>
      <c r="AC380" s="3123">
        <f t="shared" si="212"/>
        <v>0</v>
      </c>
      <c r="AD380" s="3143"/>
      <c r="AE380" s="3143"/>
      <c r="AF380" s="3143"/>
      <c r="AG380" s="3143"/>
      <c r="AH380" s="3143"/>
      <c r="AI380" s="3143"/>
      <c r="AJ380" s="3143"/>
      <c r="AK380" s="3143"/>
      <c r="AL380" s="3143"/>
      <c r="AM380" s="3143"/>
      <c r="AN380" s="3143"/>
      <c r="AO380" s="3143"/>
      <c r="AP380" s="3143"/>
      <c r="AQ380" s="3143"/>
      <c r="AR380" s="3143"/>
      <c r="AS380" s="3143"/>
      <c r="AT380" s="3153"/>
      <c r="AU380" s="3154"/>
      <c r="AV380" s="270">
        <f t="shared" si="236"/>
        <v>0</v>
      </c>
      <c r="AW380" s="270">
        <f t="shared" si="237"/>
        <v>0</v>
      </c>
      <c r="AX380" s="270">
        <f t="shared" si="238"/>
        <v>0</v>
      </c>
      <c r="AY380" s="3168">
        <f t="shared" si="213"/>
        <v>0</v>
      </c>
      <c r="AZ380" s="3123">
        <f t="shared" si="214"/>
        <v>0</v>
      </c>
      <c r="BA380" s="3123">
        <f t="shared" si="215"/>
        <v>0</v>
      </c>
      <c r="BB380" s="3123">
        <f t="shared" si="216"/>
        <v>0</v>
      </c>
      <c r="BC380" s="3123">
        <f t="shared" si="217"/>
        <v>0</v>
      </c>
      <c r="BD380" s="3123">
        <f t="shared" si="218"/>
        <v>0</v>
      </c>
      <c r="BE380" s="3123">
        <f t="shared" si="219"/>
        <v>0</v>
      </c>
      <c r="BF380" s="3123">
        <f t="shared" si="220"/>
        <v>0</v>
      </c>
      <c r="BG380" s="3123">
        <f t="shared" si="221"/>
        <v>0</v>
      </c>
      <c r="BH380" s="3123">
        <f t="shared" si="222"/>
        <v>0</v>
      </c>
      <c r="BI380" s="3123">
        <f t="shared" si="223"/>
        <v>0</v>
      </c>
      <c r="BJ380" s="3123">
        <f t="shared" si="224"/>
        <v>0</v>
      </c>
      <c r="BK380" s="3123">
        <f t="shared" si="225"/>
        <v>0</v>
      </c>
      <c r="BL380" s="3123">
        <f t="shared" si="226"/>
        <v>0</v>
      </c>
      <c r="BM380" s="3123">
        <f t="shared" si="227"/>
        <v>0</v>
      </c>
      <c r="BN380" s="3123">
        <f t="shared" si="228"/>
        <v>0</v>
      </c>
      <c r="BO380" s="3123">
        <f t="shared" si="229"/>
        <v>0</v>
      </c>
      <c r="BP380" s="3123">
        <f t="shared" si="230"/>
        <v>0</v>
      </c>
      <c r="BQ380" s="3123">
        <f t="shared" si="231"/>
        <v>0</v>
      </c>
      <c r="BR380" s="3123">
        <f t="shared" si="232"/>
        <v>0</v>
      </c>
      <c r="BS380" s="3123">
        <f t="shared" si="233"/>
        <v>0</v>
      </c>
      <c r="BT380" s="3175">
        <f t="shared" si="234"/>
        <v>0</v>
      </c>
    </row>
    <row r="381" spans="1:72">
      <c r="A381" s="3120"/>
      <c r="B381" s="3121"/>
      <c r="C381" s="3121"/>
      <c r="D381" s="3122"/>
      <c r="E381" s="3123">
        <f t="shared" si="235"/>
        <v>0</v>
      </c>
      <c r="F381" s="3124"/>
      <c r="G381" s="3125">
        <f t="shared" si="210"/>
        <v>0</v>
      </c>
      <c r="H381" s="3126">
        <f t="shared" si="211"/>
        <v>0</v>
      </c>
      <c r="I381" s="3133"/>
      <c r="J381" s="3133"/>
      <c r="K381" s="3133"/>
      <c r="L381" s="3133"/>
      <c r="M381" s="3133"/>
      <c r="N381" s="3133"/>
      <c r="O381" s="3133"/>
      <c r="P381" s="3133"/>
      <c r="Q381" s="3133"/>
      <c r="R381" s="3133"/>
      <c r="S381" s="3133"/>
      <c r="T381" s="3133"/>
      <c r="U381" s="3133"/>
      <c r="V381" s="3133"/>
      <c r="W381" s="3133"/>
      <c r="X381" s="3133"/>
      <c r="Y381" s="3133"/>
      <c r="Z381" s="3133"/>
      <c r="AA381" s="3133"/>
      <c r="AB381" s="3133"/>
      <c r="AC381" s="3123">
        <f t="shared" si="212"/>
        <v>0</v>
      </c>
      <c r="AD381" s="3143"/>
      <c r="AE381" s="3143"/>
      <c r="AF381" s="3143"/>
      <c r="AG381" s="3143"/>
      <c r="AH381" s="3143"/>
      <c r="AI381" s="3143"/>
      <c r="AJ381" s="3143"/>
      <c r="AK381" s="3143"/>
      <c r="AL381" s="3143"/>
      <c r="AM381" s="3143"/>
      <c r="AN381" s="3143"/>
      <c r="AO381" s="3143"/>
      <c r="AP381" s="3143"/>
      <c r="AQ381" s="3143"/>
      <c r="AR381" s="3143"/>
      <c r="AS381" s="3143"/>
      <c r="AT381" s="3153"/>
      <c r="AU381" s="3154"/>
      <c r="AV381" s="270">
        <f t="shared" si="236"/>
        <v>0</v>
      </c>
      <c r="AW381" s="270">
        <f t="shared" si="237"/>
        <v>0</v>
      </c>
      <c r="AX381" s="270">
        <f t="shared" si="238"/>
        <v>0</v>
      </c>
      <c r="AY381" s="3168">
        <f t="shared" si="213"/>
        <v>0</v>
      </c>
      <c r="AZ381" s="3123">
        <f t="shared" si="214"/>
        <v>0</v>
      </c>
      <c r="BA381" s="3123">
        <f t="shared" si="215"/>
        <v>0</v>
      </c>
      <c r="BB381" s="3123">
        <f t="shared" si="216"/>
        <v>0</v>
      </c>
      <c r="BC381" s="3123">
        <f t="shared" si="217"/>
        <v>0</v>
      </c>
      <c r="BD381" s="3123">
        <f t="shared" si="218"/>
        <v>0</v>
      </c>
      <c r="BE381" s="3123">
        <f t="shared" si="219"/>
        <v>0</v>
      </c>
      <c r="BF381" s="3123">
        <f t="shared" si="220"/>
        <v>0</v>
      </c>
      <c r="BG381" s="3123">
        <f t="shared" si="221"/>
        <v>0</v>
      </c>
      <c r="BH381" s="3123">
        <f t="shared" si="222"/>
        <v>0</v>
      </c>
      <c r="BI381" s="3123">
        <f t="shared" si="223"/>
        <v>0</v>
      </c>
      <c r="BJ381" s="3123">
        <f t="shared" si="224"/>
        <v>0</v>
      </c>
      <c r="BK381" s="3123">
        <f t="shared" si="225"/>
        <v>0</v>
      </c>
      <c r="BL381" s="3123">
        <f t="shared" si="226"/>
        <v>0</v>
      </c>
      <c r="BM381" s="3123">
        <f t="shared" si="227"/>
        <v>0</v>
      </c>
      <c r="BN381" s="3123">
        <f t="shared" si="228"/>
        <v>0</v>
      </c>
      <c r="BO381" s="3123">
        <f t="shared" si="229"/>
        <v>0</v>
      </c>
      <c r="BP381" s="3123">
        <f t="shared" si="230"/>
        <v>0</v>
      </c>
      <c r="BQ381" s="3123">
        <f t="shared" si="231"/>
        <v>0</v>
      </c>
      <c r="BR381" s="3123">
        <f t="shared" si="232"/>
        <v>0</v>
      </c>
      <c r="BS381" s="3123">
        <f t="shared" si="233"/>
        <v>0</v>
      </c>
      <c r="BT381" s="3175">
        <f t="shared" si="234"/>
        <v>0</v>
      </c>
    </row>
    <row r="382" spans="1:72">
      <c r="A382" s="3120"/>
      <c r="B382" s="3121"/>
      <c r="C382" s="3121"/>
      <c r="D382" s="3122"/>
      <c r="E382" s="3123">
        <f t="shared" si="235"/>
        <v>0</v>
      </c>
      <c r="F382" s="3124"/>
      <c r="G382" s="3125">
        <f t="shared" si="210"/>
        <v>0</v>
      </c>
      <c r="H382" s="3126">
        <f t="shared" si="211"/>
        <v>0</v>
      </c>
      <c r="I382" s="3133"/>
      <c r="J382" s="3133"/>
      <c r="K382" s="3133"/>
      <c r="L382" s="3133"/>
      <c r="M382" s="3133"/>
      <c r="N382" s="3133"/>
      <c r="O382" s="3133"/>
      <c r="P382" s="3133"/>
      <c r="Q382" s="3133"/>
      <c r="R382" s="3133"/>
      <c r="S382" s="3133"/>
      <c r="T382" s="3133"/>
      <c r="U382" s="3133"/>
      <c r="V382" s="3133"/>
      <c r="W382" s="3133"/>
      <c r="X382" s="3133"/>
      <c r="Y382" s="3133"/>
      <c r="Z382" s="3133"/>
      <c r="AA382" s="3133"/>
      <c r="AB382" s="3133"/>
      <c r="AC382" s="3123">
        <f t="shared" si="212"/>
        <v>0</v>
      </c>
      <c r="AD382" s="3143"/>
      <c r="AE382" s="3143"/>
      <c r="AF382" s="3143"/>
      <c r="AG382" s="3143"/>
      <c r="AH382" s="3143"/>
      <c r="AI382" s="3143"/>
      <c r="AJ382" s="3143"/>
      <c r="AK382" s="3143"/>
      <c r="AL382" s="3143"/>
      <c r="AM382" s="3143"/>
      <c r="AN382" s="3143"/>
      <c r="AO382" s="3143"/>
      <c r="AP382" s="3143"/>
      <c r="AQ382" s="3143"/>
      <c r="AR382" s="3143"/>
      <c r="AS382" s="3143"/>
      <c r="AT382" s="3153"/>
      <c r="AU382" s="3154"/>
      <c r="AV382" s="270">
        <f t="shared" si="236"/>
        <v>0</v>
      </c>
      <c r="AW382" s="270">
        <f t="shared" si="237"/>
        <v>0</v>
      </c>
      <c r="AX382" s="270">
        <f t="shared" si="238"/>
        <v>0</v>
      </c>
      <c r="AY382" s="3168">
        <f t="shared" si="213"/>
        <v>0</v>
      </c>
      <c r="AZ382" s="3123">
        <f t="shared" si="214"/>
        <v>0</v>
      </c>
      <c r="BA382" s="3123">
        <f t="shared" si="215"/>
        <v>0</v>
      </c>
      <c r="BB382" s="3123">
        <f t="shared" si="216"/>
        <v>0</v>
      </c>
      <c r="BC382" s="3123">
        <f t="shared" si="217"/>
        <v>0</v>
      </c>
      <c r="BD382" s="3123">
        <f t="shared" si="218"/>
        <v>0</v>
      </c>
      <c r="BE382" s="3123">
        <f t="shared" si="219"/>
        <v>0</v>
      </c>
      <c r="BF382" s="3123">
        <f t="shared" si="220"/>
        <v>0</v>
      </c>
      <c r="BG382" s="3123">
        <f t="shared" si="221"/>
        <v>0</v>
      </c>
      <c r="BH382" s="3123">
        <f t="shared" si="222"/>
        <v>0</v>
      </c>
      <c r="BI382" s="3123">
        <f t="shared" si="223"/>
        <v>0</v>
      </c>
      <c r="BJ382" s="3123">
        <f t="shared" si="224"/>
        <v>0</v>
      </c>
      <c r="BK382" s="3123">
        <f t="shared" si="225"/>
        <v>0</v>
      </c>
      <c r="BL382" s="3123">
        <f t="shared" si="226"/>
        <v>0</v>
      </c>
      <c r="BM382" s="3123">
        <f t="shared" si="227"/>
        <v>0</v>
      </c>
      <c r="BN382" s="3123">
        <f t="shared" si="228"/>
        <v>0</v>
      </c>
      <c r="BO382" s="3123">
        <f t="shared" si="229"/>
        <v>0</v>
      </c>
      <c r="BP382" s="3123">
        <f t="shared" si="230"/>
        <v>0</v>
      </c>
      <c r="BQ382" s="3123">
        <f t="shared" si="231"/>
        <v>0</v>
      </c>
      <c r="BR382" s="3123">
        <f t="shared" si="232"/>
        <v>0</v>
      </c>
      <c r="BS382" s="3123">
        <f t="shared" si="233"/>
        <v>0</v>
      </c>
      <c r="BT382" s="3175">
        <f t="shared" si="234"/>
        <v>0</v>
      </c>
    </row>
    <row r="383" spans="1:72">
      <c r="A383" s="3120"/>
      <c r="B383" s="3121"/>
      <c r="C383" s="3121"/>
      <c r="D383" s="3122"/>
      <c r="E383" s="3123">
        <f t="shared" si="235"/>
        <v>0</v>
      </c>
      <c r="F383" s="3124"/>
      <c r="G383" s="3125">
        <f t="shared" si="210"/>
        <v>0</v>
      </c>
      <c r="H383" s="3126">
        <f t="shared" si="211"/>
        <v>0</v>
      </c>
      <c r="I383" s="3133"/>
      <c r="J383" s="3133"/>
      <c r="K383" s="3133"/>
      <c r="L383" s="3133"/>
      <c r="M383" s="3133"/>
      <c r="N383" s="3133"/>
      <c r="O383" s="3133"/>
      <c r="P383" s="3133"/>
      <c r="Q383" s="3133"/>
      <c r="R383" s="3133"/>
      <c r="S383" s="3133"/>
      <c r="T383" s="3133"/>
      <c r="U383" s="3133"/>
      <c r="V383" s="3133"/>
      <c r="W383" s="3133"/>
      <c r="X383" s="3133"/>
      <c r="Y383" s="3133"/>
      <c r="Z383" s="3133"/>
      <c r="AA383" s="3133"/>
      <c r="AB383" s="3133"/>
      <c r="AC383" s="3123">
        <f t="shared" si="212"/>
        <v>0</v>
      </c>
      <c r="AD383" s="3143"/>
      <c r="AE383" s="3143"/>
      <c r="AF383" s="3143"/>
      <c r="AG383" s="3143"/>
      <c r="AH383" s="3143"/>
      <c r="AI383" s="3143"/>
      <c r="AJ383" s="3143"/>
      <c r="AK383" s="3143"/>
      <c r="AL383" s="3143"/>
      <c r="AM383" s="3143"/>
      <c r="AN383" s="3143"/>
      <c r="AO383" s="3143"/>
      <c r="AP383" s="3143"/>
      <c r="AQ383" s="3143"/>
      <c r="AR383" s="3143"/>
      <c r="AS383" s="3143"/>
      <c r="AT383" s="3153"/>
      <c r="AU383" s="3154"/>
      <c r="AV383" s="270">
        <f t="shared" si="236"/>
        <v>0</v>
      </c>
      <c r="AW383" s="270">
        <f t="shared" si="237"/>
        <v>0</v>
      </c>
      <c r="AX383" s="270">
        <f t="shared" si="238"/>
        <v>0</v>
      </c>
      <c r="AY383" s="3168">
        <f t="shared" si="213"/>
        <v>0</v>
      </c>
      <c r="AZ383" s="3123">
        <f t="shared" si="214"/>
        <v>0</v>
      </c>
      <c r="BA383" s="3123">
        <f t="shared" si="215"/>
        <v>0</v>
      </c>
      <c r="BB383" s="3123">
        <f t="shared" si="216"/>
        <v>0</v>
      </c>
      <c r="BC383" s="3123">
        <f t="shared" si="217"/>
        <v>0</v>
      </c>
      <c r="BD383" s="3123">
        <f t="shared" si="218"/>
        <v>0</v>
      </c>
      <c r="BE383" s="3123">
        <f t="shared" si="219"/>
        <v>0</v>
      </c>
      <c r="BF383" s="3123">
        <f t="shared" si="220"/>
        <v>0</v>
      </c>
      <c r="BG383" s="3123">
        <f t="shared" si="221"/>
        <v>0</v>
      </c>
      <c r="BH383" s="3123">
        <f t="shared" si="222"/>
        <v>0</v>
      </c>
      <c r="BI383" s="3123">
        <f t="shared" si="223"/>
        <v>0</v>
      </c>
      <c r="BJ383" s="3123">
        <f t="shared" si="224"/>
        <v>0</v>
      </c>
      <c r="BK383" s="3123">
        <f t="shared" si="225"/>
        <v>0</v>
      </c>
      <c r="BL383" s="3123">
        <f t="shared" si="226"/>
        <v>0</v>
      </c>
      <c r="BM383" s="3123">
        <f t="shared" si="227"/>
        <v>0</v>
      </c>
      <c r="BN383" s="3123">
        <f t="shared" si="228"/>
        <v>0</v>
      </c>
      <c r="BO383" s="3123">
        <f t="shared" si="229"/>
        <v>0</v>
      </c>
      <c r="BP383" s="3123">
        <f t="shared" si="230"/>
        <v>0</v>
      </c>
      <c r="BQ383" s="3123">
        <f t="shared" si="231"/>
        <v>0</v>
      </c>
      <c r="BR383" s="3123">
        <f t="shared" si="232"/>
        <v>0</v>
      </c>
      <c r="BS383" s="3123">
        <f t="shared" si="233"/>
        <v>0</v>
      </c>
      <c r="BT383" s="3175">
        <f t="shared" si="234"/>
        <v>0</v>
      </c>
    </row>
    <row r="384" spans="1:72">
      <c r="A384" s="3120"/>
      <c r="B384" s="3121"/>
      <c r="C384" s="3121"/>
      <c r="D384" s="3122"/>
      <c r="E384" s="3123">
        <f t="shared" si="235"/>
        <v>0</v>
      </c>
      <c r="F384" s="3124"/>
      <c r="G384" s="3125">
        <f t="shared" si="210"/>
        <v>0</v>
      </c>
      <c r="H384" s="3126">
        <f t="shared" si="211"/>
        <v>0</v>
      </c>
      <c r="I384" s="3133"/>
      <c r="J384" s="3133"/>
      <c r="K384" s="3133"/>
      <c r="L384" s="3133"/>
      <c r="M384" s="3133"/>
      <c r="N384" s="3133"/>
      <c r="O384" s="3133"/>
      <c r="P384" s="3133"/>
      <c r="Q384" s="3133"/>
      <c r="R384" s="3133"/>
      <c r="S384" s="3133"/>
      <c r="T384" s="3133"/>
      <c r="U384" s="3133"/>
      <c r="V384" s="3133"/>
      <c r="W384" s="3133"/>
      <c r="X384" s="3133"/>
      <c r="Y384" s="3133"/>
      <c r="Z384" s="3133"/>
      <c r="AA384" s="3133"/>
      <c r="AB384" s="3133"/>
      <c r="AC384" s="3123">
        <f t="shared" si="212"/>
        <v>0</v>
      </c>
      <c r="AD384" s="3143"/>
      <c r="AE384" s="3143"/>
      <c r="AF384" s="3143"/>
      <c r="AG384" s="3143"/>
      <c r="AH384" s="3143"/>
      <c r="AI384" s="3143"/>
      <c r="AJ384" s="3143"/>
      <c r="AK384" s="3143"/>
      <c r="AL384" s="3143"/>
      <c r="AM384" s="3143"/>
      <c r="AN384" s="3143"/>
      <c r="AO384" s="3143"/>
      <c r="AP384" s="3143"/>
      <c r="AQ384" s="3143"/>
      <c r="AR384" s="3143"/>
      <c r="AS384" s="3143"/>
      <c r="AT384" s="3153"/>
      <c r="AU384" s="3154"/>
      <c r="AV384" s="270">
        <f t="shared" si="236"/>
        <v>0</v>
      </c>
      <c r="AW384" s="270">
        <f t="shared" si="237"/>
        <v>0</v>
      </c>
      <c r="AX384" s="270">
        <f t="shared" si="238"/>
        <v>0</v>
      </c>
      <c r="AY384" s="3168">
        <f t="shared" si="213"/>
        <v>0</v>
      </c>
      <c r="AZ384" s="3123">
        <f t="shared" si="214"/>
        <v>0</v>
      </c>
      <c r="BA384" s="3123">
        <f t="shared" si="215"/>
        <v>0</v>
      </c>
      <c r="BB384" s="3123">
        <f t="shared" si="216"/>
        <v>0</v>
      </c>
      <c r="BC384" s="3123">
        <f t="shared" si="217"/>
        <v>0</v>
      </c>
      <c r="BD384" s="3123">
        <f t="shared" si="218"/>
        <v>0</v>
      </c>
      <c r="BE384" s="3123">
        <f t="shared" si="219"/>
        <v>0</v>
      </c>
      <c r="BF384" s="3123">
        <f t="shared" si="220"/>
        <v>0</v>
      </c>
      <c r="BG384" s="3123">
        <f t="shared" si="221"/>
        <v>0</v>
      </c>
      <c r="BH384" s="3123">
        <f t="shared" si="222"/>
        <v>0</v>
      </c>
      <c r="BI384" s="3123">
        <f t="shared" si="223"/>
        <v>0</v>
      </c>
      <c r="BJ384" s="3123">
        <f t="shared" si="224"/>
        <v>0</v>
      </c>
      <c r="BK384" s="3123">
        <f t="shared" si="225"/>
        <v>0</v>
      </c>
      <c r="BL384" s="3123">
        <f t="shared" si="226"/>
        <v>0</v>
      </c>
      <c r="BM384" s="3123">
        <f t="shared" si="227"/>
        <v>0</v>
      </c>
      <c r="BN384" s="3123">
        <f t="shared" si="228"/>
        <v>0</v>
      </c>
      <c r="BO384" s="3123">
        <f t="shared" si="229"/>
        <v>0</v>
      </c>
      <c r="BP384" s="3123">
        <f t="shared" si="230"/>
        <v>0</v>
      </c>
      <c r="BQ384" s="3123">
        <f t="shared" si="231"/>
        <v>0</v>
      </c>
      <c r="BR384" s="3123">
        <f t="shared" si="232"/>
        <v>0</v>
      </c>
      <c r="BS384" s="3123">
        <f t="shared" si="233"/>
        <v>0</v>
      </c>
      <c r="BT384" s="3175">
        <f t="shared" si="234"/>
        <v>0</v>
      </c>
    </row>
    <row r="385" spans="1:72">
      <c r="A385" s="3120"/>
      <c r="B385" s="3121"/>
      <c r="C385" s="3121"/>
      <c r="D385" s="3122"/>
      <c r="E385" s="3123">
        <f t="shared" si="235"/>
        <v>0</v>
      </c>
      <c r="F385" s="3124"/>
      <c r="G385" s="3125">
        <f t="shared" si="210"/>
        <v>0</v>
      </c>
      <c r="H385" s="3126">
        <f t="shared" si="211"/>
        <v>0</v>
      </c>
      <c r="I385" s="3133"/>
      <c r="J385" s="3133"/>
      <c r="K385" s="3133"/>
      <c r="L385" s="3133"/>
      <c r="M385" s="3133"/>
      <c r="N385" s="3133"/>
      <c r="O385" s="3133"/>
      <c r="P385" s="3133"/>
      <c r="Q385" s="3133"/>
      <c r="R385" s="3133"/>
      <c r="S385" s="3133"/>
      <c r="T385" s="3133"/>
      <c r="U385" s="3133"/>
      <c r="V385" s="3133"/>
      <c r="W385" s="3133"/>
      <c r="X385" s="3133"/>
      <c r="Y385" s="3133"/>
      <c r="Z385" s="3133"/>
      <c r="AA385" s="3133"/>
      <c r="AB385" s="3133"/>
      <c r="AC385" s="3123">
        <f t="shared" si="212"/>
        <v>0</v>
      </c>
      <c r="AD385" s="3143"/>
      <c r="AE385" s="3143"/>
      <c r="AF385" s="3143"/>
      <c r="AG385" s="3143"/>
      <c r="AH385" s="3143"/>
      <c r="AI385" s="3143"/>
      <c r="AJ385" s="3143"/>
      <c r="AK385" s="3143"/>
      <c r="AL385" s="3143"/>
      <c r="AM385" s="3143"/>
      <c r="AN385" s="3143"/>
      <c r="AO385" s="3143"/>
      <c r="AP385" s="3143"/>
      <c r="AQ385" s="3143"/>
      <c r="AR385" s="3143"/>
      <c r="AS385" s="3143"/>
      <c r="AT385" s="3153"/>
      <c r="AU385" s="3154"/>
      <c r="AV385" s="270">
        <f t="shared" si="236"/>
        <v>0</v>
      </c>
      <c r="AW385" s="270">
        <f t="shared" si="237"/>
        <v>0</v>
      </c>
      <c r="AX385" s="270">
        <f t="shared" si="238"/>
        <v>0</v>
      </c>
      <c r="AY385" s="3168">
        <f t="shared" si="213"/>
        <v>0</v>
      </c>
      <c r="AZ385" s="3123">
        <f t="shared" si="214"/>
        <v>0</v>
      </c>
      <c r="BA385" s="3123">
        <f t="shared" si="215"/>
        <v>0</v>
      </c>
      <c r="BB385" s="3123">
        <f t="shared" si="216"/>
        <v>0</v>
      </c>
      <c r="BC385" s="3123">
        <f t="shared" si="217"/>
        <v>0</v>
      </c>
      <c r="BD385" s="3123">
        <f t="shared" si="218"/>
        <v>0</v>
      </c>
      <c r="BE385" s="3123">
        <f t="shared" si="219"/>
        <v>0</v>
      </c>
      <c r="BF385" s="3123">
        <f t="shared" si="220"/>
        <v>0</v>
      </c>
      <c r="BG385" s="3123">
        <f t="shared" si="221"/>
        <v>0</v>
      </c>
      <c r="BH385" s="3123">
        <f t="shared" si="222"/>
        <v>0</v>
      </c>
      <c r="BI385" s="3123">
        <f t="shared" si="223"/>
        <v>0</v>
      </c>
      <c r="BJ385" s="3123">
        <f t="shared" si="224"/>
        <v>0</v>
      </c>
      <c r="BK385" s="3123">
        <f t="shared" si="225"/>
        <v>0</v>
      </c>
      <c r="BL385" s="3123">
        <f t="shared" si="226"/>
        <v>0</v>
      </c>
      <c r="BM385" s="3123">
        <f t="shared" si="227"/>
        <v>0</v>
      </c>
      <c r="BN385" s="3123">
        <f t="shared" si="228"/>
        <v>0</v>
      </c>
      <c r="BO385" s="3123">
        <f t="shared" si="229"/>
        <v>0</v>
      </c>
      <c r="BP385" s="3123">
        <f t="shared" si="230"/>
        <v>0</v>
      </c>
      <c r="BQ385" s="3123">
        <f t="shared" si="231"/>
        <v>0</v>
      </c>
      <c r="BR385" s="3123">
        <f t="shared" si="232"/>
        <v>0</v>
      </c>
      <c r="BS385" s="3123">
        <f t="shared" si="233"/>
        <v>0</v>
      </c>
      <c r="BT385" s="3175">
        <f t="shared" si="234"/>
        <v>0</v>
      </c>
    </row>
    <row r="386" spans="1:72">
      <c r="A386" s="3120"/>
      <c r="B386" s="3121"/>
      <c r="C386" s="3121"/>
      <c r="D386" s="3122"/>
      <c r="E386" s="3123">
        <f t="shared" si="235"/>
        <v>0</v>
      </c>
      <c r="F386" s="3124"/>
      <c r="G386" s="3125">
        <f t="shared" si="210"/>
        <v>0</v>
      </c>
      <c r="H386" s="3126">
        <f t="shared" si="211"/>
        <v>0</v>
      </c>
      <c r="I386" s="3133"/>
      <c r="J386" s="3133"/>
      <c r="K386" s="3133"/>
      <c r="L386" s="3133"/>
      <c r="M386" s="3133"/>
      <c r="N386" s="3133"/>
      <c r="O386" s="3133"/>
      <c r="P386" s="3133"/>
      <c r="Q386" s="3133"/>
      <c r="R386" s="3133"/>
      <c r="S386" s="3133"/>
      <c r="T386" s="3133"/>
      <c r="U386" s="3133"/>
      <c r="V386" s="3133"/>
      <c r="W386" s="3133"/>
      <c r="X386" s="3133"/>
      <c r="Y386" s="3133"/>
      <c r="Z386" s="3133"/>
      <c r="AA386" s="3133"/>
      <c r="AB386" s="3133"/>
      <c r="AC386" s="3123">
        <f t="shared" si="212"/>
        <v>0</v>
      </c>
      <c r="AD386" s="3143"/>
      <c r="AE386" s="3143"/>
      <c r="AF386" s="3143"/>
      <c r="AG386" s="3143"/>
      <c r="AH386" s="3143"/>
      <c r="AI386" s="3143"/>
      <c r="AJ386" s="3143"/>
      <c r="AK386" s="3143"/>
      <c r="AL386" s="3143"/>
      <c r="AM386" s="3143"/>
      <c r="AN386" s="3143"/>
      <c r="AO386" s="3143"/>
      <c r="AP386" s="3143"/>
      <c r="AQ386" s="3143"/>
      <c r="AR386" s="3143"/>
      <c r="AS386" s="3143"/>
      <c r="AT386" s="3153"/>
      <c r="AU386" s="3154"/>
      <c r="AV386" s="270">
        <f t="shared" si="236"/>
        <v>0</v>
      </c>
      <c r="AW386" s="270">
        <f t="shared" si="237"/>
        <v>0</v>
      </c>
      <c r="AX386" s="270">
        <f t="shared" si="238"/>
        <v>0</v>
      </c>
      <c r="AY386" s="3168">
        <f t="shared" si="213"/>
        <v>0</v>
      </c>
      <c r="AZ386" s="3123">
        <f t="shared" si="214"/>
        <v>0</v>
      </c>
      <c r="BA386" s="3123">
        <f t="shared" si="215"/>
        <v>0</v>
      </c>
      <c r="BB386" s="3123">
        <f t="shared" si="216"/>
        <v>0</v>
      </c>
      <c r="BC386" s="3123">
        <f t="shared" si="217"/>
        <v>0</v>
      </c>
      <c r="BD386" s="3123">
        <f t="shared" si="218"/>
        <v>0</v>
      </c>
      <c r="BE386" s="3123">
        <f t="shared" si="219"/>
        <v>0</v>
      </c>
      <c r="BF386" s="3123">
        <f t="shared" si="220"/>
        <v>0</v>
      </c>
      <c r="BG386" s="3123">
        <f t="shared" si="221"/>
        <v>0</v>
      </c>
      <c r="BH386" s="3123">
        <f t="shared" si="222"/>
        <v>0</v>
      </c>
      <c r="BI386" s="3123">
        <f t="shared" si="223"/>
        <v>0</v>
      </c>
      <c r="BJ386" s="3123">
        <f t="shared" si="224"/>
        <v>0</v>
      </c>
      <c r="BK386" s="3123">
        <f t="shared" si="225"/>
        <v>0</v>
      </c>
      <c r="BL386" s="3123">
        <f t="shared" si="226"/>
        <v>0</v>
      </c>
      <c r="BM386" s="3123">
        <f t="shared" si="227"/>
        <v>0</v>
      </c>
      <c r="BN386" s="3123">
        <f t="shared" si="228"/>
        <v>0</v>
      </c>
      <c r="BO386" s="3123">
        <f t="shared" si="229"/>
        <v>0</v>
      </c>
      <c r="BP386" s="3123">
        <f t="shared" si="230"/>
        <v>0</v>
      </c>
      <c r="BQ386" s="3123">
        <f t="shared" si="231"/>
        <v>0</v>
      </c>
      <c r="BR386" s="3123">
        <f t="shared" si="232"/>
        <v>0</v>
      </c>
      <c r="BS386" s="3123">
        <f t="shared" si="233"/>
        <v>0</v>
      </c>
      <c r="BT386" s="3175">
        <f t="shared" si="234"/>
        <v>0</v>
      </c>
    </row>
    <row r="387" spans="1:72">
      <c r="A387" s="3120"/>
      <c r="B387" s="3121"/>
      <c r="C387" s="3121"/>
      <c r="D387" s="3122"/>
      <c r="E387" s="3123">
        <f t="shared" si="235"/>
        <v>0</v>
      </c>
      <c r="F387" s="3124"/>
      <c r="G387" s="3125">
        <f t="shared" si="210"/>
        <v>0</v>
      </c>
      <c r="H387" s="3126">
        <f t="shared" si="211"/>
        <v>0</v>
      </c>
      <c r="I387" s="3133"/>
      <c r="J387" s="3133"/>
      <c r="K387" s="3133"/>
      <c r="L387" s="3133"/>
      <c r="M387" s="3133"/>
      <c r="N387" s="3133"/>
      <c r="O387" s="3133"/>
      <c r="P387" s="3133"/>
      <c r="Q387" s="3133"/>
      <c r="R387" s="3133"/>
      <c r="S387" s="3133"/>
      <c r="T387" s="3133"/>
      <c r="U387" s="3133"/>
      <c r="V387" s="3133"/>
      <c r="W387" s="3133"/>
      <c r="X387" s="3133"/>
      <c r="Y387" s="3133"/>
      <c r="Z387" s="3133"/>
      <c r="AA387" s="3133"/>
      <c r="AB387" s="3133"/>
      <c r="AC387" s="3123">
        <f t="shared" si="212"/>
        <v>0</v>
      </c>
      <c r="AD387" s="3143"/>
      <c r="AE387" s="3143"/>
      <c r="AF387" s="3143"/>
      <c r="AG387" s="3143"/>
      <c r="AH387" s="3143"/>
      <c r="AI387" s="3143"/>
      <c r="AJ387" s="3143"/>
      <c r="AK387" s="3143"/>
      <c r="AL387" s="3143"/>
      <c r="AM387" s="3143"/>
      <c r="AN387" s="3143"/>
      <c r="AO387" s="3143"/>
      <c r="AP387" s="3143"/>
      <c r="AQ387" s="3143"/>
      <c r="AR387" s="3143"/>
      <c r="AS387" s="3143"/>
      <c r="AT387" s="3153"/>
      <c r="AU387" s="3154"/>
      <c r="AV387" s="270">
        <f t="shared" si="236"/>
        <v>0</v>
      </c>
      <c r="AW387" s="270">
        <f t="shared" si="237"/>
        <v>0</v>
      </c>
      <c r="AX387" s="270">
        <f t="shared" si="238"/>
        <v>0</v>
      </c>
      <c r="AY387" s="3168">
        <f t="shared" si="213"/>
        <v>0</v>
      </c>
      <c r="AZ387" s="3123">
        <f t="shared" si="214"/>
        <v>0</v>
      </c>
      <c r="BA387" s="3123">
        <f t="shared" si="215"/>
        <v>0</v>
      </c>
      <c r="BB387" s="3123">
        <f t="shared" si="216"/>
        <v>0</v>
      </c>
      <c r="BC387" s="3123">
        <f t="shared" si="217"/>
        <v>0</v>
      </c>
      <c r="BD387" s="3123">
        <f t="shared" si="218"/>
        <v>0</v>
      </c>
      <c r="BE387" s="3123">
        <f t="shared" si="219"/>
        <v>0</v>
      </c>
      <c r="BF387" s="3123">
        <f t="shared" si="220"/>
        <v>0</v>
      </c>
      <c r="BG387" s="3123">
        <f t="shared" si="221"/>
        <v>0</v>
      </c>
      <c r="BH387" s="3123">
        <f t="shared" si="222"/>
        <v>0</v>
      </c>
      <c r="BI387" s="3123">
        <f t="shared" si="223"/>
        <v>0</v>
      </c>
      <c r="BJ387" s="3123">
        <f t="shared" si="224"/>
        <v>0</v>
      </c>
      <c r="BK387" s="3123">
        <f t="shared" si="225"/>
        <v>0</v>
      </c>
      <c r="BL387" s="3123">
        <f t="shared" si="226"/>
        <v>0</v>
      </c>
      <c r="BM387" s="3123">
        <f t="shared" si="227"/>
        <v>0</v>
      </c>
      <c r="BN387" s="3123">
        <f t="shared" si="228"/>
        <v>0</v>
      </c>
      <c r="BO387" s="3123">
        <f t="shared" si="229"/>
        <v>0</v>
      </c>
      <c r="BP387" s="3123">
        <f t="shared" si="230"/>
        <v>0</v>
      </c>
      <c r="BQ387" s="3123">
        <f t="shared" si="231"/>
        <v>0</v>
      </c>
      <c r="BR387" s="3123">
        <f t="shared" si="232"/>
        <v>0</v>
      </c>
      <c r="BS387" s="3123">
        <f t="shared" si="233"/>
        <v>0</v>
      </c>
      <c r="BT387" s="3175">
        <f t="shared" si="234"/>
        <v>0</v>
      </c>
    </row>
    <row r="388" spans="1:72">
      <c r="A388" s="3120"/>
      <c r="B388" s="3121"/>
      <c r="C388" s="3121"/>
      <c r="D388" s="3122"/>
      <c r="E388" s="3123">
        <f t="shared" si="235"/>
        <v>0</v>
      </c>
      <c r="F388" s="3124"/>
      <c r="G388" s="3125">
        <f t="shared" si="210"/>
        <v>0</v>
      </c>
      <c r="H388" s="3126">
        <f t="shared" si="211"/>
        <v>0</v>
      </c>
      <c r="I388" s="3133"/>
      <c r="J388" s="3133"/>
      <c r="K388" s="3133"/>
      <c r="L388" s="3133"/>
      <c r="M388" s="3133"/>
      <c r="N388" s="3133"/>
      <c r="O388" s="3133"/>
      <c r="P388" s="3133"/>
      <c r="Q388" s="3133"/>
      <c r="R388" s="3133"/>
      <c r="S388" s="3133"/>
      <c r="T388" s="3133"/>
      <c r="U388" s="3133"/>
      <c r="V388" s="3133"/>
      <c r="W388" s="3133"/>
      <c r="X388" s="3133"/>
      <c r="Y388" s="3133"/>
      <c r="Z388" s="3133"/>
      <c r="AA388" s="3133"/>
      <c r="AB388" s="3133"/>
      <c r="AC388" s="3123">
        <f t="shared" si="212"/>
        <v>0</v>
      </c>
      <c r="AD388" s="3143"/>
      <c r="AE388" s="3143"/>
      <c r="AF388" s="3143"/>
      <c r="AG388" s="3143"/>
      <c r="AH388" s="3143"/>
      <c r="AI388" s="3143"/>
      <c r="AJ388" s="3143"/>
      <c r="AK388" s="3143"/>
      <c r="AL388" s="3143"/>
      <c r="AM388" s="3143"/>
      <c r="AN388" s="3143"/>
      <c r="AO388" s="3143"/>
      <c r="AP388" s="3143"/>
      <c r="AQ388" s="3143"/>
      <c r="AR388" s="3143"/>
      <c r="AS388" s="3143"/>
      <c r="AT388" s="3153"/>
      <c r="AU388" s="3154"/>
      <c r="AV388" s="270">
        <f t="shared" si="236"/>
        <v>0</v>
      </c>
      <c r="AW388" s="270">
        <f t="shared" si="237"/>
        <v>0</v>
      </c>
      <c r="AX388" s="270">
        <f t="shared" si="238"/>
        <v>0</v>
      </c>
      <c r="AY388" s="3168">
        <f t="shared" si="213"/>
        <v>0</v>
      </c>
      <c r="AZ388" s="3123">
        <f t="shared" si="214"/>
        <v>0</v>
      </c>
      <c r="BA388" s="3123">
        <f t="shared" si="215"/>
        <v>0</v>
      </c>
      <c r="BB388" s="3123">
        <f t="shared" si="216"/>
        <v>0</v>
      </c>
      <c r="BC388" s="3123">
        <f t="shared" si="217"/>
        <v>0</v>
      </c>
      <c r="BD388" s="3123">
        <f t="shared" si="218"/>
        <v>0</v>
      </c>
      <c r="BE388" s="3123">
        <f t="shared" si="219"/>
        <v>0</v>
      </c>
      <c r="BF388" s="3123">
        <f t="shared" si="220"/>
        <v>0</v>
      </c>
      <c r="BG388" s="3123">
        <f t="shared" si="221"/>
        <v>0</v>
      </c>
      <c r="BH388" s="3123">
        <f t="shared" si="222"/>
        <v>0</v>
      </c>
      <c r="BI388" s="3123">
        <f t="shared" si="223"/>
        <v>0</v>
      </c>
      <c r="BJ388" s="3123">
        <f t="shared" si="224"/>
        <v>0</v>
      </c>
      <c r="BK388" s="3123">
        <f t="shared" si="225"/>
        <v>0</v>
      </c>
      <c r="BL388" s="3123">
        <f t="shared" si="226"/>
        <v>0</v>
      </c>
      <c r="BM388" s="3123">
        <f t="shared" si="227"/>
        <v>0</v>
      </c>
      <c r="BN388" s="3123">
        <f t="shared" si="228"/>
        <v>0</v>
      </c>
      <c r="BO388" s="3123">
        <f t="shared" si="229"/>
        <v>0</v>
      </c>
      <c r="BP388" s="3123">
        <f t="shared" si="230"/>
        <v>0</v>
      </c>
      <c r="BQ388" s="3123">
        <f t="shared" si="231"/>
        <v>0</v>
      </c>
      <c r="BR388" s="3123">
        <f t="shared" si="232"/>
        <v>0</v>
      </c>
      <c r="BS388" s="3123">
        <f t="shared" si="233"/>
        <v>0</v>
      </c>
      <c r="BT388" s="3175">
        <f t="shared" si="234"/>
        <v>0</v>
      </c>
    </row>
    <row r="389" spans="1:72">
      <c r="A389" s="3120"/>
      <c r="B389" s="3121"/>
      <c r="C389" s="3121"/>
      <c r="D389" s="3122"/>
      <c r="E389" s="3123">
        <f t="shared" si="235"/>
        <v>0</v>
      </c>
      <c r="F389" s="3124"/>
      <c r="G389" s="3125">
        <f t="shared" si="210"/>
        <v>0</v>
      </c>
      <c r="H389" s="3126">
        <f t="shared" si="211"/>
        <v>0</v>
      </c>
      <c r="I389" s="3133"/>
      <c r="J389" s="3133"/>
      <c r="K389" s="3133"/>
      <c r="L389" s="3133"/>
      <c r="M389" s="3133"/>
      <c r="N389" s="3133"/>
      <c r="O389" s="3133"/>
      <c r="P389" s="3133"/>
      <c r="Q389" s="3133"/>
      <c r="R389" s="3133"/>
      <c r="S389" s="3133"/>
      <c r="T389" s="3133"/>
      <c r="U389" s="3133"/>
      <c r="V389" s="3133"/>
      <c r="W389" s="3133"/>
      <c r="X389" s="3133"/>
      <c r="Y389" s="3133"/>
      <c r="Z389" s="3133"/>
      <c r="AA389" s="3133"/>
      <c r="AB389" s="3133"/>
      <c r="AC389" s="3123">
        <f t="shared" si="212"/>
        <v>0</v>
      </c>
      <c r="AD389" s="3143"/>
      <c r="AE389" s="3143"/>
      <c r="AF389" s="3143"/>
      <c r="AG389" s="3143"/>
      <c r="AH389" s="3143"/>
      <c r="AI389" s="3143"/>
      <c r="AJ389" s="3143"/>
      <c r="AK389" s="3143"/>
      <c r="AL389" s="3143"/>
      <c r="AM389" s="3143"/>
      <c r="AN389" s="3143"/>
      <c r="AO389" s="3143"/>
      <c r="AP389" s="3143"/>
      <c r="AQ389" s="3143"/>
      <c r="AR389" s="3143"/>
      <c r="AS389" s="3143"/>
      <c r="AT389" s="3153"/>
      <c r="AU389" s="3154"/>
      <c r="AV389" s="270">
        <f t="shared" si="236"/>
        <v>0</v>
      </c>
      <c r="AW389" s="270">
        <f t="shared" si="237"/>
        <v>0</v>
      </c>
      <c r="AX389" s="270">
        <f t="shared" si="238"/>
        <v>0</v>
      </c>
      <c r="AY389" s="3168">
        <f t="shared" si="213"/>
        <v>0</v>
      </c>
      <c r="AZ389" s="3123">
        <f t="shared" si="214"/>
        <v>0</v>
      </c>
      <c r="BA389" s="3123">
        <f t="shared" si="215"/>
        <v>0</v>
      </c>
      <c r="BB389" s="3123">
        <f t="shared" si="216"/>
        <v>0</v>
      </c>
      <c r="BC389" s="3123">
        <f t="shared" si="217"/>
        <v>0</v>
      </c>
      <c r="BD389" s="3123">
        <f t="shared" si="218"/>
        <v>0</v>
      </c>
      <c r="BE389" s="3123">
        <f t="shared" si="219"/>
        <v>0</v>
      </c>
      <c r="BF389" s="3123">
        <f t="shared" si="220"/>
        <v>0</v>
      </c>
      <c r="BG389" s="3123">
        <f t="shared" si="221"/>
        <v>0</v>
      </c>
      <c r="BH389" s="3123">
        <f t="shared" si="222"/>
        <v>0</v>
      </c>
      <c r="BI389" s="3123">
        <f t="shared" si="223"/>
        <v>0</v>
      </c>
      <c r="BJ389" s="3123">
        <f t="shared" si="224"/>
        <v>0</v>
      </c>
      <c r="BK389" s="3123">
        <f t="shared" si="225"/>
        <v>0</v>
      </c>
      <c r="BL389" s="3123">
        <f t="shared" si="226"/>
        <v>0</v>
      </c>
      <c r="BM389" s="3123">
        <f t="shared" si="227"/>
        <v>0</v>
      </c>
      <c r="BN389" s="3123">
        <f t="shared" si="228"/>
        <v>0</v>
      </c>
      <c r="BO389" s="3123">
        <f t="shared" si="229"/>
        <v>0</v>
      </c>
      <c r="BP389" s="3123">
        <f t="shared" si="230"/>
        <v>0</v>
      </c>
      <c r="BQ389" s="3123">
        <f t="shared" si="231"/>
        <v>0</v>
      </c>
      <c r="BR389" s="3123">
        <f t="shared" si="232"/>
        <v>0</v>
      </c>
      <c r="BS389" s="3123">
        <f t="shared" si="233"/>
        <v>0</v>
      </c>
      <c r="BT389" s="3175">
        <f t="shared" si="234"/>
        <v>0</v>
      </c>
    </row>
    <row r="390" spans="1:72">
      <c r="A390" s="3120"/>
      <c r="B390" s="3121"/>
      <c r="C390" s="3121"/>
      <c r="D390" s="3122"/>
      <c r="E390" s="3123">
        <f t="shared" si="235"/>
        <v>0</v>
      </c>
      <c r="F390" s="3124"/>
      <c r="G390" s="3125">
        <f t="shared" si="210"/>
        <v>0</v>
      </c>
      <c r="H390" s="3126">
        <f t="shared" si="211"/>
        <v>0</v>
      </c>
      <c r="I390" s="3133"/>
      <c r="J390" s="3133"/>
      <c r="K390" s="3133"/>
      <c r="L390" s="3133"/>
      <c r="M390" s="3133"/>
      <c r="N390" s="3133"/>
      <c r="O390" s="3133"/>
      <c r="P390" s="3133"/>
      <c r="Q390" s="3133"/>
      <c r="R390" s="3133"/>
      <c r="S390" s="3133"/>
      <c r="T390" s="3133"/>
      <c r="U390" s="3133"/>
      <c r="V390" s="3133"/>
      <c r="W390" s="3133"/>
      <c r="X390" s="3133"/>
      <c r="Y390" s="3133"/>
      <c r="Z390" s="3133"/>
      <c r="AA390" s="3133"/>
      <c r="AB390" s="3133"/>
      <c r="AC390" s="3123">
        <f t="shared" si="212"/>
        <v>0</v>
      </c>
      <c r="AD390" s="3143"/>
      <c r="AE390" s="3143"/>
      <c r="AF390" s="3143"/>
      <c r="AG390" s="3143"/>
      <c r="AH390" s="3143"/>
      <c r="AI390" s="3143"/>
      <c r="AJ390" s="3143"/>
      <c r="AK390" s="3143"/>
      <c r="AL390" s="3143"/>
      <c r="AM390" s="3143"/>
      <c r="AN390" s="3143"/>
      <c r="AO390" s="3143"/>
      <c r="AP390" s="3143"/>
      <c r="AQ390" s="3143"/>
      <c r="AR390" s="3143"/>
      <c r="AS390" s="3143"/>
      <c r="AT390" s="3153"/>
      <c r="AU390" s="3154"/>
      <c r="AV390" s="270">
        <f t="shared" si="236"/>
        <v>0</v>
      </c>
      <c r="AW390" s="270">
        <f t="shared" si="237"/>
        <v>0</v>
      </c>
      <c r="AX390" s="270">
        <f t="shared" si="238"/>
        <v>0</v>
      </c>
      <c r="AY390" s="3168">
        <f t="shared" si="213"/>
        <v>0</v>
      </c>
      <c r="AZ390" s="3123">
        <f t="shared" si="214"/>
        <v>0</v>
      </c>
      <c r="BA390" s="3123">
        <f t="shared" si="215"/>
        <v>0</v>
      </c>
      <c r="BB390" s="3123">
        <f t="shared" si="216"/>
        <v>0</v>
      </c>
      <c r="BC390" s="3123">
        <f t="shared" si="217"/>
        <v>0</v>
      </c>
      <c r="BD390" s="3123">
        <f t="shared" si="218"/>
        <v>0</v>
      </c>
      <c r="BE390" s="3123">
        <f t="shared" si="219"/>
        <v>0</v>
      </c>
      <c r="BF390" s="3123">
        <f t="shared" si="220"/>
        <v>0</v>
      </c>
      <c r="BG390" s="3123">
        <f t="shared" si="221"/>
        <v>0</v>
      </c>
      <c r="BH390" s="3123">
        <f t="shared" si="222"/>
        <v>0</v>
      </c>
      <c r="BI390" s="3123">
        <f t="shared" si="223"/>
        <v>0</v>
      </c>
      <c r="BJ390" s="3123">
        <f t="shared" si="224"/>
        <v>0</v>
      </c>
      <c r="BK390" s="3123">
        <f t="shared" si="225"/>
        <v>0</v>
      </c>
      <c r="BL390" s="3123">
        <f t="shared" si="226"/>
        <v>0</v>
      </c>
      <c r="BM390" s="3123">
        <f t="shared" si="227"/>
        <v>0</v>
      </c>
      <c r="BN390" s="3123">
        <f t="shared" si="228"/>
        <v>0</v>
      </c>
      <c r="BO390" s="3123">
        <f t="shared" si="229"/>
        <v>0</v>
      </c>
      <c r="BP390" s="3123">
        <f t="shared" si="230"/>
        <v>0</v>
      </c>
      <c r="BQ390" s="3123">
        <f t="shared" si="231"/>
        <v>0</v>
      </c>
      <c r="BR390" s="3123">
        <f t="shared" si="232"/>
        <v>0</v>
      </c>
      <c r="BS390" s="3123">
        <f t="shared" si="233"/>
        <v>0</v>
      </c>
      <c r="BT390" s="3175">
        <f t="shared" si="234"/>
        <v>0</v>
      </c>
    </row>
    <row r="391" spans="1:72">
      <c r="A391" s="3120"/>
      <c r="B391" s="3121"/>
      <c r="C391" s="3121"/>
      <c r="D391" s="3122"/>
      <c r="E391" s="3123">
        <f t="shared" si="235"/>
        <v>0</v>
      </c>
      <c r="F391" s="3124"/>
      <c r="G391" s="3125">
        <f t="shared" si="210"/>
        <v>0</v>
      </c>
      <c r="H391" s="3126">
        <f t="shared" si="211"/>
        <v>0</v>
      </c>
      <c r="I391" s="3133"/>
      <c r="J391" s="3133"/>
      <c r="K391" s="3133"/>
      <c r="L391" s="3133"/>
      <c r="M391" s="3133"/>
      <c r="N391" s="3133"/>
      <c r="O391" s="3133"/>
      <c r="P391" s="3133"/>
      <c r="Q391" s="3133"/>
      <c r="R391" s="3133"/>
      <c r="S391" s="3133"/>
      <c r="T391" s="3133"/>
      <c r="U391" s="3133"/>
      <c r="V391" s="3133"/>
      <c r="W391" s="3133"/>
      <c r="X391" s="3133"/>
      <c r="Y391" s="3133"/>
      <c r="Z391" s="3133"/>
      <c r="AA391" s="3133"/>
      <c r="AB391" s="3133"/>
      <c r="AC391" s="3123">
        <f t="shared" si="212"/>
        <v>0</v>
      </c>
      <c r="AD391" s="3143"/>
      <c r="AE391" s="3143"/>
      <c r="AF391" s="3143"/>
      <c r="AG391" s="3143"/>
      <c r="AH391" s="3143"/>
      <c r="AI391" s="3143"/>
      <c r="AJ391" s="3143"/>
      <c r="AK391" s="3143"/>
      <c r="AL391" s="3143"/>
      <c r="AM391" s="3143"/>
      <c r="AN391" s="3143"/>
      <c r="AO391" s="3143"/>
      <c r="AP391" s="3143"/>
      <c r="AQ391" s="3143"/>
      <c r="AR391" s="3143"/>
      <c r="AS391" s="3143"/>
      <c r="AT391" s="3153"/>
      <c r="AU391" s="3154"/>
      <c r="AV391" s="270">
        <f t="shared" si="236"/>
        <v>0</v>
      </c>
      <c r="AW391" s="270">
        <f t="shared" si="237"/>
        <v>0</v>
      </c>
      <c r="AX391" s="270">
        <f t="shared" si="238"/>
        <v>0</v>
      </c>
      <c r="AY391" s="3168">
        <f t="shared" si="213"/>
        <v>0</v>
      </c>
      <c r="AZ391" s="3123">
        <f t="shared" si="214"/>
        <v>0</v>
      </c>
      <c r="BA391" s="3123">
        <f t="shared" si="215"/>
        <v>0</v>
      </c>
      <c r="BB391" s="3123">
        <f t="shared" si="216"/>
        <v>0</v>
      </c>
      <c r="BC391" s="3123">
        <f t="shared" si="217"/>
        <v>0</v>
      </c>
      <c r="BD391" s="3123">
        <f t="shared" si="218"/>
        <v>0</v>
      </c>
      <c r="BE391" s="3123">
        <f t="shared" si="219"/>
        <v>0</v>
      </c>
      <c r="BF391" s="3123">
        <f t="shared" si="220"/>
        <v>0</v>
      </c>
      <c r="BG391" s="3123">
        <f t="shared" si="221"/>
        <v>0</v>
      </c>
      <c r="BH391" s="3123">
        <f t="shared" si="222"/>
        <v>0</v>
      </c>
      <c r="BI391" s="3123">
        <f t="shared" si="223"/>
        <v>0</v>
      </c>
      <c r="BJ391" s="3123">
        <f t="shared" si="224"/>
        <v>0</v>
      </c>
      <c r="BK391" s="3123">
        <f t="shared" si="225"/>
        <v>0</v>
      </c>
      <c r="BL391" s="3123">
        <f t="shared" si="226"/>
        <v>0</v>
      </c>
      <c r="BM391" s="3123">
        <f t="shared" si="227"/>
        <v>0</v>
      </c>
      <c r="BN391" s="3123">
        <f t="shared" si="228"/>
        <v>0</v>
      </c>
      <c r="BO391" s="3123">
        <f t="shared" si="229"/>
        <v>0</v>
      </c>
      <c r="BP391" s="3123">
        <f t="shared" si="230"/>
        <v>0</v>
      </c>
      <c r="BQ391" s="3123">
        <f t="shared" si="231"/>
        <v>0</v>
      </c>
      <c r="BR391" s="3123">
        <f t="shared" si="232"/>
        <v>0</v>
      </c>
      <c r="BS391" s="3123">
        <f t="shared" si="233"/>
        <v>0</v>
      </c>
      <c r="BT391" s="3175">
        <f t="shared" si="234"/>
        <v>0</v>
      </c>
    </row>
    <row r="392" spans="1:72">
      <c r="A392" s="3120"/>
      <c r="B392" s="3121"/>
      <c r="C392" s="3121"/>
      <c r="D392" s="3122"/>
      <c r="E392" s="3123">
        <f t="shared" si="235"/>
        <v>0</v>
      </c>
      <c r="F392" s="3124"/>
      <c r="G392" s="3125">
        <f t="shared" si="210"/>
        <v>0</v>
      </c>
      <c r="H392" s="3126">
        <f t="shared" si="211"/>
        <v>0</v>
      </c>
      <c r="I392" s="3133"/>
      <c r="J392" s="3133"/>
      <c r="K392" s="3133"/>
      <c r="L392" s="3133"/>
      <c r="M392" s="3133"/>
      <c r="N392" s="3133"/>
      <c r="O392" s="3133"/>
      <c r="P392" s="3133"/>
      <c r="Q392" s="3133"/>
      <c r="R392" s="3133"/>
      <c r="S392" s="3133"/>
      <c r="T392" s="3133"/>
      <c r="U392" s="3133"/>
      <c r="V392" s="3133"/>
      <c r="W392" s="3133"/>
      <c r="X392" s="3133"/>
      <c r="Y392" s="3133"/>
      <c r="Z392" s="3133"/>
      <c r="AA392" s="3133"/>
      <c r="AB392" s="3133"/>
      <c r="AC392" s="3123">
        <f t="shared" si="212"/>
        <v>0</v>
      </c>
      <c r="AD392" s="3143"/>
      <c r="AE392" s="3143"/>
      <c r="AF392" s="3143"/>
      <c r="AG392" s="3143"/>
      <c r="AH392" s="3143"/>
      <c r="AI392" s="3143"/>
      <c r="AJ392" s="3143"/>
      <c r="AK392" s="3143"/>
      <c r="AL392" s="3143"/>
      <c r="AM392" s="3143"/>
      <c r="AN392" s="3143"/>
      <c r="AO392" s="3143"/>
      <c r="AP392" s="3143"/>
      <c r="AQ392" s="3143"/>
      <c r="AR392" s="3143"/>
      <c r="AS392" s="3143"/>
      <c r="AT392" s="3153"/>
      <c r="AU392" s="3154"/>
      <c r="AV392" s="270">
        <f t="shared" si="236"/>
        <v>0</v>
      </c>
      <c r="AW392" s="270">
        <f t="shared" si="237"/>
        <v>0</v>
      </c>
      <c r="AX392" s="270">
        <f t="shared" si="238"/>
        <v>0</v>
      </c>
      <c r="AY392" s="3168">
        <f t="shared" si="213"/>
        <v>0</v>
      </c>
      <c r="AZ392" s="3123">
        <f t="shared" si="214"/>
        <v>0</v>
      </c>
      <c r="BA392" s="3123">
        <f t="shared" si="215"/>
        <v>0</v>
      </c>
      <c r="BB392" s="3123">
        <f t="shared" si="216"/>
        <v>0</v>
      </c>
      <c r="BC392" s="3123">
        <f t="shared" si="217"/>
        <v>0</v>
      </c>
      <c r="BD392" s="3123">
        <f t="shared" si="218"/>
        <v>0</v>
      </c>
      <c r="BE392" s="3123">
        <f t="shared" si="219"/>
        <v>0</v>
      </c>
      <c r="BF392" s="3123">
        <f t="shared" si="220"/>
        <v>0</v>
      </c>
      <c r="BG392" s="3123">
        <f t="shared" si="221"/>
        <v>0</v>
      </c>
      <c r="BH392" s="3123">
        <f t="shared" si="222"/>
        <v>0</v>
      </c>
      <c r="BI392" s="3123">
        <f t="shared" si="223"/>
        <v>0</v>
      </c>
      <c r="BJ392" s="3123">
        <f t="shared" si="224"/>
        <v>0</v>
      </c>
      <c r="BK392" s="3123">
        <f t="shared" si="225"/>
        <v>0</v>
      </c>
      <c r="BL392" s="3123">
        <f t="shared" si="226"/>
        <v>0</v>
      </c>
      <c r="BM392" s="3123">
        <f t="shared" si="227"/>
        <v>0</v>
      </c>
      <c r="BN392" s="3123">
        <f t="shared" si="228"/>
        <v>0</v>
      </c>
      <c r="BO392" s="3123">
        <f t="shared" si="229"/>
        <v>0</v>
      </c>
      <c r="BP392" s="3123">
        <f t="shared" si="230"/>
        <v>0</v>
      </c>
      <c r="BQ392" s="3123">
        <f t="shared" si="231"/>
        <v>0</v>
      </c>
      <c r="BR392" s="3123">
        <f t="shared" si="232"/>
        <v>0</v>
      </c>
      <c r="BS392" s="3123">
        <f t="shared" si="233"/>
        <v>0</v>
      </c>
      <c r="BT392" s="3175">
        <f t="shared" si="234"/>
        <v>0</v>
      </c>
    </row>
    <row r="393" spans="1:72">
      <c r="A393" s="3120"/>
      <c r="B393" s="3121"/>
      <c r="C393" s="3121"/>
      <c r="D393" s="3122"/>
      <c r="E393" s="3123">
        <f t="shared" si="235"/>
        <v>0</v>
      </c>
      <c r="F393" s="3124"/>
      <c r="G393" s="3125">
        <f t="shared" si="210"/>
        <v>0</v>
      </c>
      <c r="H393" s="3126">
        <f t="shared" si="211"/>
        <v>0</v>
      </c>
      <c r="I393" s="3133"/>
      <c r="J393" s="3133"/>
      <c r="K393" s="3133"/>
      <c r="L393" s="3133"/>
      <c r="M393" s="3133"/>
      <c r="N393" s="3133"/>
      <c r="O393" s="3133"/>
      <c r="P393" s="3133"/>
      <c r="Q393" s="3133"/>
      <c r="R393" s="3133"/>
      <c r="S393" s="3133"/>
      <c r="T393" s="3133"/>
      <c r="U393" s="3133"/>
      <c r="V393" s="3133"/>
      <c r="W393" s="3133"/>
      <c r="X393" s="3133"/>
      <c r="Y393" s="3133"/>
      <c r="Z393" s="3133"/>
      <c r="AA393" s="3133"/>
      <c r="AB393" s="3133"/>
      <c r="AC393" s="3123">
        <f t="shared" si="212"/>
        <v>0</v>
      </c>
      <c r="AD393" s="3143"/>
      <c r="AE393" s="3143"/>
      <c r="AF393" s="3143"/>
      <c r="AG393" s="3143"/>
      <c r="AH393" s="3143"/>
      <c r="AI393" s="3143"/>
      <c r="AJ393" s="3143"/>
      <c r="AK393" s="3143"/>
      <c r="AL393" s="3143"/>
      <c r="AM393" s="3143"/>
      <c r="AN393" s="3143"/>
      <c r="AO393" s="3143"/>
      <c r="AP393" s="3143"/>
      <c r="AQ393" s="3143"/>
      <c r="AR393" s="3143"/>
      <c r="AS393" s="3143"/>
      <c r="AT393" s="3153"/>
      <c r="AU393" s="3154"/>
      <c r="AV393" s="270">
        <f t="shared" si="236"/>
        <v>0</v>
      </c>
      <c r="AW393" s="270">
        <f t="shared" si="237"/>
        <v>0</v>
      </c>
      <c r="AX393" s="270">
        <f t="shared" si="238"/>
        <v>0</v>
      </c>
      <c r="AY393" s="3168">
        <f t="shared" si="213"/>
        <v>0</v>
      </c>
      <c r="AZ393" s="3123">
        <f t="shared" si="214"/>
        <v>0</v>
      </c>
      <c r="BA393" s="3123">
        <f t="shared" si="215"/>
        <v>0</v>
      </c>
      <c r="BB393" s="3123">
        <f t="shared" si="216"/>
        <v>0</v>
      </c>
      <c r="BC393" s="3123">
        <f t="shared" si="217"/>
        <v>0</v>
      </c>
      <c r="BD393" s="3123">
        <f t="shared" si="218"/>
        <v>0</v>
      </c>
      <c r="BE393" s="3123">
        <f t="shared" si="219"/>
        <v>0</v>
      </c>
      <c r="BF393" s="3123">
        <f t="shared" si="220"/>
        <v>0</v>
      </c>
      <c r="BG393" s="3123">
        <f t="shared" si="221"/>
        <v>0</v>
      </c>
      <c r="BH393" s="3123">
        <f t="shared" si="222"/>
        <v>0</v>
      </c>
      <c r="BI393" s="3123">
        <f t="shared" si="223"/>
        <v>0</v>
      </c>
      <c r="BJ393" s="3123">
        <f t="shared" si="224"/>
        <v>0</v>
      </c>
      <c r="BK393" s="3123">
        <f t="shared" si="225"/>
        <v>0</v>
      </c>
      <c r="BL393" s="3123">
        <f t="shared" si="226"/>
        <v>0</v>
      </c>
      <c r="BM393" s="3123">
        <f t="shared" si="227"/>
        <v>0</v>
      </c>
      <c r="BN393" s="3123">
        <f t="shared" si="228"/>
        <v>0</v>
      </c>
      <c r="BO393" s="3123">
        <f t="shared" si="229"/>
        <v>0</v>
      </c>
      <c r="BP393" s="3123">
        <f t="shared" si="230"/>
        <v>0</v>
      </c>
      <c r="BQ393" s="3123">
        <f t="shared" si="231"/>
        <v>0</v>
      </c>
      <c r="BR393" s="3123">
        <f t="shared" si="232"/>
        <v>0</v>
      </c>
      <c r="BS393" s="3123">
        <f t="shared" si="233"/>
        <v>0</v>
      </c>
      <c r="BT393" s="3175">
        <f t="shared" si="234"/>
        <v>0</v>
      </c>
    </row>
    <row r="394" spans="1:72">
      <c r="A394" s="3120"/>
      <c r="B394" s="3121"/>
      <c r="C394" s="3121"/>
      <c r="D394" s="3122"/>
      <c r="E394" s="3123">
        <f t="shared" si="235"/>
        <v>0</v>
      </c>
      <c r="F394" s="3124"/>
      <c r="G394" s="3125">
        <f t="shared" si="210"/>
        <v>0</v>
      </c>
      <c r="H394" s="3126">
        <f t="shared" si="211"/>
        <v>0</v>
      </c>
      <c r="I394" s="3133"/>
      <c r="J394" s="3133"/>
      <c r="K394" s="3133"/>
      <c r="L394" s="3133"/>
      <c r="M394" s="3133"/>
      <c r="N394" s="3133"/>
      <c r="O394" s="3133"/>
      <c r="P394" s="3133"/>
      <c r="Q394" s="3133"/>
      <c r="R394" s="3133"/>
      <c r="S394" s="3133"/>
      <c r="T394" s="3133"/>
      <c r="U394" s="3133"/>
      <c r="V394" s="3133"/>
      <c r="W394" s="3133"/>
      <c r="X394" s="3133"/>
      <c r="Y394" s="3133"/>
      <c r="Z394" s="3133"/>
      <c r="AA394" s="3133"/>
      <c r="AB394" s="3133"/>
      <c r="AC394" s="3123">
        <f t="shared" si="212"/>
        <v>0</v>
      </c>
      <c r="AD394" s="3143"/>
      <c r="AE394" s="3143"/>
      <c r="AF394" s="3143"/>
      <c r="AG394" s="3143"/>
      <c r="AH394" s="3143"/>
      <c r="AI394" s="3143"/>
      <c r="AJ394" s="3143"/>
      <c r="AK394" s="3143"/>
      <c r="AL394" s="3143"/>
      <c r="AM394" s="3143"/>
      <c r="AN394" s="3143"/>
      <c r="AO394" s="3143"/>
      <c r="AP394" s="3143"/>
      <c r="AQ394" s="3143"/>
      <c r="AR394" s="3143"/>
      <c r="AS394" s="3143"/>
      <c r="AT394" s="3153"/>
      <c r="AU394" s="3154"/>
      <c r="AV394" s="270">
        <f t="shared" si="236"/>
        <v>0</v>
      </c>
      <c r="AW394" s="270">
        <f t="shared" si="237"/>
        <v>0</v>
      </c>
      <c r="AX394" s="270">
        <f t="shared" si="238"/>
        <v>0</v>
      </c>
      <c r="AY394" s="3168">
        <f t="shared" si="213"/>
        <v>0</v>
      </c>
      <c r="AZ394" s="3123">
        <f t="shared" si="214"/>
        <v>0</v>
      </c>
      <c r="BA394" s="3123">
        <f t="shared" si="215"/>
        <v>0</v>
      </c>
      <c r="BB394" s="3123">
        <f t="shared" si="216"/>
        <v>0</v>
      </c>
      <c r="BC394" s="3123">
        <f t="shared" si="217"/>
        <v>0</v>
      </c>
      <c r="BD394" s="3123">
        <f t="shared" si="218"/>
        <v>0</v>
      </c>
      <c r="BE394" s="3123">
        <f t="shared" si="219"/>
        <v>0</v>
      </c>
      <c r="BF394" s="3123">
        <f t="shared" si="220"/>
        <v>0</v>
      </c>
      <c r="BG394" s="3123">
        <f t="shared" si="221"/>
        <v>0</v>
      </c>
      <c r="BH394" s="3123">
        <f t="shared" si="222"/>
        <v>0</v>
      </c>
      <c r="BI394" s="3123">
        <f t="shared" si="223"/>
        <v>0</v>
      </c>
      <c r="BJ394" s="3123">
        <f t="shared" si="224"/>
        <v>0</v>
      </c>
      <c r="BK394" s="3123">
        <f t="shared" si="225"/>
        <v>0</v>
      </c>
      <c r="BL394" s="3123">
        <f t="shared" si="226"/>
        <v>0</v>
      </c>
      <c r="BM394" s="3123">
        <f t="shared" si="227"/>
        <v>0</v>
      </c>
      <c r="BN394" s="3123">
        <f t="shared" si="228"/>
        <v>0</v>
      </c>
      <c r="BO394" s="3123">
        <f t="shared" si="229"/>
        <v>0</v>
      </c>
      <c r="BP394" s="3123">
        <f t="shared" si="230"/>
        <v>0</v>
      </c>
      <c r="BQ394" s="3123">
        <f t="shared" si="231"/>
        <v>0</v>
      </c>
      <c r="BR394" s="3123">
        <f t="shared" si="232"/>
        <v>0</v>
      </c>
      <c r="BS394" s="3123">
        <f t="shared" si="233"/>
        <v>0</v>
      </c>
      <c r="BT394" s="3175">
        <f t="shared" si="234"/>
        <v>0</v>
      </c>
    </row>
    <row r="395" spans="1:72">
      <c r="A395" s="3120"/>
      <c r="B395" s="3120"/>
      <c r="C395" s="3120"/>
      <c r="D395" s="3122"/>
      <c r="E395" s="3123">
        <f t="shared" si="235"/>
        <v>0</v>
      </c>
      <c r="F395" s="3176"/>
      <c r="G395" s="3125">
        <f t="shared" si="210"/>
        <v>0</v>
      </c>
      <c r="H395" s="3126">
        <f t="shared" si="211"/>
        <v>0</v>
      </c>
      <c r="I395" s="3177"/>
      <c r="J395" s="3177"/>
      <c r="K395" s="3133"/>
      <c r="L395" s="3133"/>
      <c r="M395" s="3133"/>
      <c r="N395" s="3133"/>
      <c r="O395" s="3133"/>
      <c r="P395" s="3133"/>
      <c r="Q395" s="3133"/>
      <c r="R395" s="3133"/>
      <c r="S395" s="3133"/>
      <c r="T395" s="3133"/>
      <c r="U395" s="3133"/>
      <c r="V395" s="3133"/>
      <c r="W395" s="3133"/>
      <c r="X395" s="3133"/>
      <c r="Y395" s="3133"/>
      <c r="Z395" s="3133"/>
      <c r="AA395" s="3133"/>
      <c r="AB395" s="3133"/>
      <c r="AC395" s="3123">
        <f t="shared" si="212"/>
        <v>0</v>
      </c>
      <c r="AD395" s="3143"/>
      <c r="AE395" s="3143"/>
      <c r="AF395" s="3143"/>
      <c r="AG395" s="3143"/>
      <c r="AH395" s="3143"/>
      <c r="AI395" s="3143"/>
      <c r="AJ395" s="3143"/>
      <c r="AK395" s="3143"/>
      <c r="AL395" s="3143"/>
      <c r="AM395" s="3143"/>
      <c r="AN395" s="3143"/>
      <c r="AO395" s="3143"/>
      <c r="AP395" s="3143"/>
      <c r="AQ395" s="3143"/>
      <c r="AR395" s="3143"/>
      <c r="AS395" s="3143"/>
      <c r="AT395" s="3143"/>
      <c r="AU395" s="3178"/>
      <c r="AV395" s="270">
        <f t="shared" si="236"/>
        <v>0</v>
      </c>
      <c r="AW395" s="270">
        <f t="shared" si="237"/>
        <v>0</v>
      </c>
      <c r="AX395" s="270">
        <f t="shared" si="238"/>
        <v>0</v>
      </c>
      <c r="AY395" s="3168">
        <f t="shared" si="213"/>
        <v>0</v>
      </c>
      <c r="AZ395" s="3123">
        <f t="shared" si="214"/>
        <v>0</v>
      </c>
      <c r="BA395" s="3123">
        <f t="shared" si="215"/>
        <v>0</v>
      </c>
      <c r="BB395" s="3123">
        <f t="shared" si="216"/>
        <v>0</v>
      </c>
      <c r="BC395" s="3123">
        <f t="shared" si="217"/>
        <v>0</v>
      </c>
      <c r="BD395" s="3123">
        <f t="shared" si="218"/>
        <v>0</v>
      </c>
      <c r="BE395" s="3123">
        <f t="shared" si="219"/>
        <v>0</v>
      </c>
      <c r="BF395" s="3123">
        <f t="shared" si="220"/>
        <v>0</v>
      </c>
      <c r="BG395" s="3123">
        <f t="shared" si="221"/>
        <v>0</v>
      </c>
      <c r="BH395" s="3123">
        <f t="shared" si="222"/>
        <v>0</v>
      </c>
      <c r="BI395" s="3123">
        <f t="shared" si="223"/>
        <v>0</v>
      </c>
      <c r="BJ395" s="3123">
        <f t="shared" si="224"/>
        <v>0</v>
      </c>
      <c r="BK395" s="3123">
        <f t="shared" si="225"/>
        <v>0</v>
      </c>
      <c r="BL395" s="3123">
        <f t="shared" si="226"/>
        <v>0</v>
      </c>
      <c r="BM395" s="3123">
        <f t="shared" si="227"/>
        <v>0</v>
      </c>
      <c r="BN395" s="3123">
        <f t="shared" si="228"/>
        <v>0</v>
      </c>
      <c r="BO395" s="3123">
        <f t="shared" si="229"/>
        <v>0</v>
      </c>
      <c r="BP395" s="3123">
        <f t="shared" si="230"/>
        <v>0</v>
      </c>
      <c r="BQ395" s="3123">
        <f t="shared" si="231"/>
        <v>0</v>
      </c>
      <c r="BR395" s="3123">
        <f t="shared" si="232"/>
        <v>0</v>
      </c>
      <c r="BS395" s="3123">
        <f t="shared" si="233"/>
        <v>0</v>
      </c>
      <c r="BT395" s="3175">
        <f t="shared" si="234"/>
        <v>0</v>
      </c>
    </row>
    <row r="396" spans="1:72">
      <c r="A396" s="3120"/>
      <c r="B396" s="3120"/>
      <c r="C396" s="3120"/>
      <c r="D396" s="3122"/>
      <c r="E396" s="3123">
        <f t="shared" si="235"/>
        <v>0</v>
      </c>
      <c r="F396" s="3176"/>
      <c r="G396" s="3125">
        <f t="shared" si="210"/>
        <v>0</v>
      </c>
      <c r="H396" s="3126">
        <f t="shared" si="211"/>
        <v>0</v>
      </c>
      <c r="I396" s="3133"/>
      <c r="J396" s="3133"/>
      <c r="K396" s="3133"/>
      <c r="L396" s="3133"/>
      <c r="M396" s="3133"/>
      <c r="N396" s="3133"/>
      <c r="O396" s="3133"/>
      <c r="P396" s="3133"/>
      <c r="Q396" s="3133"/>
      <c r="R396" s="3133"/>
      <c r="S396" s="3133"/>
      <c r="T396" s="3133"/>
      <c r="U396" s="3133"/>
      <c r="V396" s="3133"/>
      <c r="W396" s="3133"/>
      <c r="X396" s="3133"/>
      <c r="Y396" s="3133"/>
      <c r="Z396" s="3133"/>
      <c r="AA396" s="3133"/>
      <c r="AB396" s="3133"/>
      <c r="AC396" s="3123">
        <f t="shared" si="212"/>
        <v>0</v>
      </c>
      <c r="AD396" s="3143"/>
      <c r="AE396" s="3143"/>
      <c r="AF396" s="3143"/>
      <c r="AG396" s="3143"/>
      <c r="AH396" s="3143"/>
      <c r="AI396" s="3143"/>
      <c r="AJ396" s="3143"/>
      <c r="AK396" s="3143"/>
      <c r="AL396" s="3143"/>
      <c r="AM396" s="3143"/>
      <c r="AN396" s="3143"/>
      <c r="AO396" s="3143"/>
      <c r="AP396" s="3143"/>
      <c r="AQ396" s="3143"/>
      <c r="AR396" s="3143"/>
      <c r="AS396" s="3143"/>
      <c r="AT396" s="3143"/>
      <c r="AU396" s="3178"/>
      <c r="AV396" s="270">
        <f t="shared" si="236"/>
        <v>0</v>
      </c>
      <c r="AW396" s="270">
        <f t="shared" si="237"/>
        <v>0</v>
      </c>
      <c r="AX396" s="270">
        <f t="shared" si="238"/>
        <v>0</v>
      </c>
      <c r="AY396" s="3168">
        <f t="shared" si="213"/>
        <v>0</v>
      </c>
      <c r="AZ396" s="3123">
        <f t="shared" si="214"/>
        <v>0</v>
      </c>
      <c r="BA396" s="3123">
        <f t="shared" si="215"/>
        <v>0</v>
      </c>
      <c r="BB396" s="3123">
        <f t="shared" si="216"/>
        <v>0</v>
      </c>
      <c r="BC396" s="3123">
        <f t="shared" si="217"/>
        <v>0</v>
      </c>
      <c r="BD396" s="3123">
        <f t="shared" si="218"/>
        <v>0</v>
      </c>
      <c r="BE396" s="3123">
        <f t="shared" si="219"/>
        <v>0</v>
      </c>
      <c r="BF396" s="3123">
        <f t="shared" si="220"/>
        <v>0</v>
      </c>
      <c r="BG396" s="3123">
        <f t="shared" si="221"/>
        <v>0</v>
      </c>
      <c r="BH396" s="3123">
        <f t="shared" si="222"/>
        <v>0</v>
      </c>
      <c r="BI396" s="3123">
        <f t="shared" si="223"/>
        <v>0</v>
      </c>
      <c r="BJ396" s="3123">
        <f t="shared" si="224"/>
        <v>0</v>
      </c>
      <c r="BK396" s="3123">
        <f t="shared" si="225"/>
        <v>0</v>
      </c>
      <c r="BL396" s="3123">
        <f t="shared" si="226"/>
        <v>0</v>
      </c>
      <c r="BM396" s="3123">
        <f t="shared" si="227"/>
        <v>0</v>
      </c>
      <c r="BN396" s="3123">
        <f t="shared" si="228"/>
        <v>0</v>
      </c>
      <c r="BO396" s="3123">
        <f t="shared" si="229"/>
        <v>0</v>
      </c>
      <c r="BP396" s="3123">
        <f t="shared" si="230"/>
        <v>0</v>
      </c>
      <c r="BQ396" s="3123">
        <f t="shared" si="231"/>
        <v>0</v>
      </c>
      <c r="BR396" s="3123">
        <f t="shared" si="232"/>
        <v>0</v>
      </c>
      <c r="BS396" s="3123">
        <f t="shared" si="233"/>
        <v>0</v>
      </c>
      <c r="BT396" s="3175">
        <f t="shared" si="234"/>
        <v>0</v>
      </c>
    </row>
    <row r="397" spans="1:72">
      <c r="A397" s="3120"/>
      <c r="B397" s="3120"/>
      <c r="C397" s="3120"/>
      <c r="D397" s="3122"/>
      <c r="E397" s="3123">
        <f t="shared" si="235"/>
        <v>0</v>
      </c>
      <c r="F397" s="3176"/>
      <c r="G397" s="3125">
        <f t="shared" si="210"/>
        <v>0</v>
      </c>
      <c r="H397" s="3126">
        <f t="shared" si="211"/>
        <v>0</v>
      </c>
      <c r="I397" s="3133"/>
      <c r="J397" s="3133"/>
      <c r="K397" s="3133"/>
      <c r="L397" s="3133"/>
      <c r="M397" s="3133"/>
      <c r="N397" s="3133"/>
      <c r="O397" s="3133"/>
      <c r="P397" s="3133"/>
      <c r="Q397" s="3133"/>
      <c r="R397" s="3133"/>
      <c r="S397" s="3133"/>
      <c r="T397" s="3133"/>
      <c r="U397" s="3133"/>
      <c r="V397" s="3133"/>
      <c r="W397" s="3133"/>
      <c r="X397" s="3133"/>
      <c r="Y397" s="3133"/>
      <c r="Z397" s="3133"/>
      <c r="AA397" s="3133"/>
      <c r="AB397" s="3133"/>
      <c r="AC397" s="3123">
        <f t="shared" si="212"/>
        <v>0</v>
      </c>
      <c r="AD397" s="3143"/>
      <c r="AE397" s="3143"/>
      <c r="AF397" s="3143"/>
      <c r="AG397" s="3143"/>
      <c r="AH397" s="3143"/>
      <c r="AI397" s="3143"/>
      <c r="AJ397" s="3143"/>
      <c r="AK397" s="3143"/>
      <c r="AL397" s="3143"/>
      <c r="AM397" s="3143"/>
      <c r="AN397" s="3143"/>
      <c r="AO397" s="3143"/>
      <c r="AP397" s="3143"/>
      <c r="AQ397" s="3143"/>
      <c r="AR397" s="3143"/>
      <c r="AS397" s="3143"/>
      <c r="AT397" s="3143"/>
      <c r="AU397" s="3178"/>
      <c r="AV397" s="270">
        <f t="shared" si="236"/>
        <v>0</v>
      </c>
      <c r="AW397" s="270">
        <f t="shared" si="237"/>
        <v>0</v>
      </c>
      <c r="AX397" s="270">
        <f t="shared" si="238"/>
        <v>0</v>
      </c>
      <c r="AY397" s="3168">
        <f t="shared" si="213"/>
        <v>0</v>
      </c>
      <c r="AZ397" s="3123">
        <f t="shared" si="214"/>
        <v>0</v>
      </c>
      <c r="BA397" s="3123">
        <f t="shared" si="215"/>
        <v>0</v>
      </c>
      <c r="BB397" s="3123">
        <f t="shared" si="216"/>
        <v>0</v>
      </c>
      <c r="BC397" s="3123">
        <f t="shared" si="217"/>
        <v>0</v>
      </c>
      <c r="BD397" s="3123">
        <f t="shared" si="218"/>
        <v>0</v>
      </c>
      <c r="BE397" s="3123">
        <f t="shared" si="219"/>
        <v>0</v>
      </c>
      <c r="BF397" s="3123">
        <f t="shared" si="220"/>
        <v>0</v>
      </c>
      <c r="BG397" s="3123">
        <f t="shared" si="221"/>
        <v>0</v>
      </c>
      <c r="BH397" s="3123">
        <f t="shared" si="222"/>
        <v>0</v>
      </c>
      <c r="BI397" s="3123">
        <f t="shared" si="223"/>
        <v>0</v>
      </c>
      <c r="BJ397" s="3123">
        <f t="shared" si="224"/>
        <v>0</v>
      </c>
      <c r="BK397" s="3123">
        <f t="shared" si="225"/>
        <v>0</v>
      </c>
      <c r="BL397" s="3123">
        <f t="shared" si="226"/>
        <v>0</v>
      </c>
      <c r="BM397" s="3123">
        <f t="shared" si="227"/>
        <v>0</v>
      </c>
      <c r="BN397" s="3123">
        <f t="shared" si="228"/>
        <v>0</v>
      </c>
      <c r="BO397" s="3123">
        <f t="shared" si="229"/>
        <v>0</v>
      </c>
      <c r="BP397" s="3123">
        <f t="shared" si="230"/>
        <v>0</v>
      </c>
      <c r="BQ397" s="3123">
        <f t="shared" si="231"/>
        <v>0</v>
      </c>
      <c r="BR397" s="3123">
        <f t="shared" si="232"/>
        <v>0</v>
      </c>
      <c r="BS397" s="3123">
        <f t="shared" si="233"/>
        <v>0</v>
      </c>
      <c r="BT397" s="3175">
        <f t="shared" si="234"/>
        <v>0</v>
      </c>
    </row>
    <row r="398" spans="1:72">
      <c r="A398" s="3120"/>
      <c r="B398" s="3121"/>
      <c r="C398" s="3121"/>
      <c r="D398" s="3122"/>
      <c r="E398" s="3123">
        <f t="shared" ref="E398:E492" si="239">IF($C$3="是",ROUND($A$3*G398/$B$3,2),ROUND($A$3*(G398-AT398)/$B$3,2))</f>
        <v>0</v>
      </c>
      <c r="F398" s="3124"/>
      <c r="G398" s="3125">
        <f t="shared" ref="G398:G489" si="240">H398+AC398+AT398</f>
        <v>0</v>
      </c>
      <c r="H398" s="3126">
        <f t="shared" ref="H398:H489" si="241">SUMIF(I$12:AB$12,"总值",I398:AB398)</f>
        <v>0</v>
      </c>
      <c r="I398" s="3133"/>
      <c r="J398" s="3133"/>
      <c r="K398" s="3133"/>
      <c r="L398" s="3133"/>
      <c r="M398" s="3133"/>
      <c r="N398" s="3133"/>
      <c r="O398" s="3133"/>
      <c r="P398" s="3133"/>
      <c r="Q398" s="3133"/>
      <c r="R398" s="3133"/>
      <c r="S398" s="3133"/>
      <c r="T398" s="3133"/>
      <c r="U398" s="3133"/>
      <c r="V398" s="3133"/>
      <c r="W398" s="3133"/>
      <c r="X398" s="3133"/>
      <c r="Y398" s="3133"/>
      <c r="Z398" s="3133"/>
      <c r="AA398" s="3133"/>
      <c r="AB398" s="3133"/>
      <c r="AC398" s="3123">
        <f t="shared" ref="AC398:AC489" si="242">SUMIF(AD$12:AS$12,"总值",AD398:AS398)</f>
        <v>0</v>
      </c>
      <c r="AD398" s="3143"/>
      <c r="AE398" s="3143"/>
      <c r="AF398" s="3143"/>
      <c r="AG398" s="3143"/>
      <c r="AH398" s="3143"/>
      <c r="AI398" s="3143"/>
      <c r="AJ398" s="3143"/>
      <c r="AK398" s="3143"/>
      <c r="AL398" s="3143"/>
      <c r="AM398" s="3143"/>
      <c r="AN398" s="3143"/>
      <c r="AO398" s="3143"/>
      <c r="AP398" s="3143"/>
      <c r="AQ398" s="3143"/>
      <c r="AR398" s="3143"/>
      <c r="AS398" s="3143"/>
      <c r="AT398" s="3153"/>
      <c r="AU398" s="3154"/>
      <c r="AV398" s="270">
        <f t="shared" ref="AV398:AV492" si="243">A398</f>
        <v>0</v>
      </c>
      <c r="AW398" s="270">
        <f t="shared" ref="AW398:AW492" si="244">B398</f>
        <v>0</v>
      </c>
      <c r="AX398" s="270">
        <f t="shared" ref="AX398:AX492" si="245">C398</f>
        <v>0</v>
      </c>
      <c r="AY398" s="3168">
        <f t="shared" ref="AY398:AY489" si="246">ROUND($AY$6*AZ398/$AZ$5,2)</f>
        <v>0</v>
      </c>
      <c r="AZ398" s="3123">
        <f t="shared" ref="AZ398:AZ489" si="247">BA398+BL398</f>
        <v>0</v>
      </c>
      <c r="BA398" s="3123">
        <f t="shared" ref="BA398:BA489" si="248">SUM(BB398:BK398)</f>
        <v>0</v>
      </c>
      <c r="BB398" s="3123">
        <f t="shared" ref="BB398:BB489" si="249">IF($D398="是",I398-J398,0)</f>
        <v>0</v>
      </c>
      <c r="BC398" s="3123">
        <f t="shared" ref="BC398:BC489" si="250">IF($D398="是",K398-L398,0)</f>
        <v>0</v>
      </c>
      <c r="BD398" s="3123">
        <f t="shared" ref="BD398:BD489" si="251">IF($D398="是",M398-N398,0)</f>
        <v>0</v>
      </c>
      <c r="BE398" s="3123">
        <f t="shared" ref="BE398:BE489" si="252">IF($D398="是",O398-P398,0)</f>
        <v>0</v>
      </c>
      <c r="BF398" s="3123">
        <f t="shared" ref="BF398:BF489" si="253">IF($D398="是",Q398-R398,0)</f>
        <v>0</v>
      </c>
      <c r="BG398" s="3123">
        <f t="shared" ref="BG398:BG489" si="254">IF($D398="是",S398-T398,0)</f>
        <v>0</v>
      </c>
      <c r="BH398" s="3123">
        <f t="shared" ref="BH398:BH489" si="255">IF($D398="是",U398-V398,0)</f>
        <v>0</v>
      </c>
      <c r="BI398" s="3123">
        <f t="shared" ref="BI398:BI489" si="256">IF($D398="是",W398-X398,0)</f>
        <v>0</v>
      </c>
      <c r="BJ398" s="3123">
        <f t="shared" ref="BJ398:BJ489" si="257">IF($D398="是",Y398-Z398,0)</f>
        <v>0</v>
      </c>
      <c r="BK398" s="3123">
        <f t="shared" ref="BK398:BK489" si="258">IF($D398="是",AA398-AB398,0)</f>
        <v>0</v>
      </c>
      <c r="BL398" s="3123">
        <f t="shared" ref="BL398:BL489" si="259">SUM(BM398:BT398)</f>
        <v>0</v>
      </c>
      <c r="BM398" s="3123">
        <f t="shared" ref="BM398:BM489" si="260">IF($D398="是",AD398-AE398,0)</f>
        <v>0</v>
      </c>
      <c r="BN398" s="3123">
        <f t="shared" ref="BN398:BN489" si="261">IF($D398="是",AF398-AG398,0)</f>
        <v>0</v>
      </c>
      <c r="BO398" s="3123">
        <f t="shared" ref="BO398:BO489" si="262">IF($D398="是",AH398-AI398,0)</f>
        <v>0</v>
      </c>
      <c r="BP398" s="3123">
        <f t="shared" ref="BP398:BP489" si="263">IF($D398="是",AJ398-AK398,0)</f>
        <v>0</v>
      </c>
      <c r="BQ398" s="3123">
        <f t="shared" ref="BQ398:BQ489" si="264">IF($D398="是",AL398-AM398,0)</f>
        <v>0</v>
      </c>
      <c r="BR398" s="3123">
        <f t="shared" ref="BR398:BR489" si="265">IF($D398="是",AN398-AO398,0)</f>
        <v>0</v>
      </c>
      <c r="BS398" s="3123">
        <f t="shared" ref="BS398:BS489" si="266">IF($D398="是",AP398-AQ398,0)</f>
        <v>0</v>
      </c>
      <c r="BT398" s="3175">
        <f t="shared" ref="BT398:BT489" si="267">IF($D398="是",AR398-AS398,0)</f>
        <v>0</v>
      </c>
    </row>
    <row r="399" spans="1:72">
      <c r="A399" s="3120"/>
      <c r="B399" s="3121"/>
      <c r="C399" s="3121"/>
      <c r="D399" s="3122"/>
      <c r="E399" s="3123">
        <f t="shared" si="239"/>
        <v>0</v>
      </c>
      <c r="F399" s="3124"/>
      <c r="G399" s="3125">
        <f t="shared" si="240"/>
        <v>0</v>
      </c>
      <c r="H399" s="3126">
        <f t="shared" si="241"/>
        <v>0</v>
      </c>
      <c r="I399" s="3133"/>
      <c r="J399" s="3133"/>
      <c r="K399" s="3133"/>
      <c r="L399" s="3133"/>
      <c r="M399" s="3133"/>
      <c r="N399" s="3133"/>
      <c r="O399" s="3133"/>
      <c r="P399" s="3133"/>
      <c r="Q399" s="3133"/>
      <c r="R399" s="3133"/>
      <c r="S399" s="3133"/>
      <c r="T399" s="3133"/>
      <c r="U399" s="3133"/>
      <c r="V399" s="3133"/>
      <c r="W399" s="3133"/>
      <c r="X399" s="3133"/>
      <c r="Y399" s="3133"/>
      <c r="Z399" s="3133"/>
      <c r="AA399" s="3133"/>
      <c r="AB399" s="3133"/>
      <c r="AC399" s="3123">
        <f t="shared" si="242"/>
        <v>0</v>
      </c>
      <c r="AD399" s="3143"/>
      <c r="AE399" s="3143"/>
      <c r="AF399" s="3143"/>
      <c r="AG399" s="3143"/>
      <c r="AH399" s="3143"/>
      <c r="AI399" s="3143"/>
      <c r="AJ399" s="3143"/>
      <c r="AK399" s="3143"/>
      <c r="AL399" s="3143"/>
      <c r="AM399" s="3143"/>
      <c r="AN399" s="3143"/>
      <c r="AO399" s="3143"/>
      <c r="AP399" s="3143"/>
      <c r="AQ399" s="3143"/>
      <c r="AR399" s="3143"/>
      <c r="AS399" s="3143"/>
      <c r="AT399" s="3153"/>
      <c r="AU399" s="3154"/>
      <c r="AV399" s="270">
        <f t="shared" si="243"/>
        <v>0</v>
      </c>
      <c r="AW399" s="270">
        <f t="shared" si="244"/>
        <v>0</v>
      </c>
      <c r="AX399" s="270">
        <f t="shared" si="245"/>
        <v>0</v>
      </c>
      <c r="AY399" s="3168">
        <f t="shared" si="246"/>
        <v>0</v>
      </c>
      <c r="AZ399" s="3123">
        <f t="shared" si="247"/>
        <v>0</v>
      </c>
      <c r="BA399" s="3123">
        <f t="shared" si="248"/>
        <v>0</v>
      </c>
      <c r="BB399" s="3123">
        <f t="shared" si="249"/>
        <v>0</v>
      </c>
      <c r="BC399" s="3123">
        <f t="shared" si="250"/>
        <v>0</v>
      </c>
      <c r="BD399" s="3123">
        <f t="shared" si="251"/>
        <v>0</v>
      </c>
      <c r="BE399" s="3123">
        <f t="shared" si="252"/>
        <v>0</v>
      </c>
      <c r="BF399" s="3123">
        <f t="shared" si="253"/>
        <v>0</v>
      </c>
      <c r="BG399" s="3123">
        <f t="shared" si="254"/>
        <v>0</v>
      </c>
      <c r="BH399" s="3123">
        <f t="shared" si="255"/>
        <v>0</v>
      </c>
      <c r="BI399" s="3123">
        <f t="shared" si="256"/>
        <v>0</v>
      </c>
      <c r="BJ399" s="3123">
        <f t="shared" si="257"/>
        <v>0</v>
      </c>
      <c r="BK399" s="3123">
        <f t="shared" si="258"/>
        <v>0</v>
      </c>
      <c r="BL399" s="3123">
        <f t="shared" si="259"/>
        <v>0</v>
      </c>
      <c r="BM399" s="3123">
        <f t="shared" si="260"/>
        <v>0</v>
      </c>
      <c r="BN399" s="3123">
        <f t="shared" si="261"/>
        <v>0</v>
      </c>
      <c r="BO399" s="3123">
        <f t="shared" si="262"/>
        <v>0</v>
      </c>
      <c r="BP399" s="3123">
        <f t="shared" si="263"/>
        <v>0</v>
      </c>
      <c r="BQ399" s="3123">
        <f t="shared" si="264"/>
        <v>0</v>
      </c>
      <c r="BR399" s="3123">
        <f t="shared" si="265"/>
        <v>0</v>
      </c>
      <c r="BS399" s="3123">
        <f t="shared" si="266"/>
        <v>0</v>
      </c>
      <c r="BT399" s="3175">
        <f t="shared" si="267"/>
        <v>0</v>
      </c>
    </row>
    <row r="400" spans="1:72">
      <c r="A400" s="3120"/>
      <c r="B400" s="3121"/>
      <c r="C400" s="3121"/>
      <c r="D400" s="3122"/>
      <c r="E400" s="3123">
        <f t="shared" si="239"/>
        <v>0</v>
      </c>
      <c r="F400" s="3124"/>
      <c r="G400" s="3125">
        <f t="shared" si="240"/>
        <v>0</v>
      </c>
      <c r="H400" s="3126">
        <f t="shared" si="241"/>
        <v>0</v>
      </c>
      <c r="I400" s="3133"/>
      <c r="J400" s="3133"/>
      <c r="K400" s="3133"/>
      <c r="L400" s="3133"/>
      <c r="M400" s="3133"/>
      <c r="N400" s="3133"/>
      <c r="O400" s="3133"/>
      <c r="P400" s="3133"/>
      <c r="Q400" s="3133"/>
      <c r="R400" s="3133"/>
      <c r="S400" s="3133"/>
      <c r="T400" s="3133"/>
      <c r="U400" s="3133"/>
      <c r="V400" s="3133"/>
      <c r="W400" s="3133"/>
      <c r="X400" s="3133"/>
      <c r="Y400" s="3133"/>
      <c r="Z400" s="3133"/>
      <c r="AA400" s="3133"/>
      <c r="AB400" s="3133"/>
      <c r="AC400" s="3123">
        <f t="shared" si="242"/>
        <v>0</v>
      </c>
      <c r="AD400" s="3143"/>
      <c r="AE400" s="3143"/>
      <c r="AF400" s="3143"/>
      <c r="AG400" s="3143"/>
      <c r="AH400" s="3143"/>
      <c r="AI400" s="3143"/>
      <c r="AJ400" s="3143"/>
      <c r="AK400" s="3143"/>
      <c r="AL400" s="3143"/>
      <c r="AM400" s="3143"/>
      <c r="AN400" s="3143"/>
      <c r="AO400" s="3143"/>
      <c r="AP400" s="3143"/>
      <c r="AQ400" s="3143"/>
      <c r="AR400" s="3143"/>
      <c r="AS400" s="3143"/>
      <c r="AT400" s="3153"/>
      <c r="AU400" s="3154"/>
      <c r="AV400" s="270">
        <f t="shared" si="243"/>
        <v>0</v>
      </c>
      <c r="AW400" s="270">
        <f t="shared" si="244"/>
        <v>0</v>
      </c>
      <c r="AX400" s="270">
        <f t="shared" si="245"/>
        <v>0</v>
      </c>
      <c r="AY400" s="3168">
        <f t="shared" si="246"/>
        <v>0</v>
      </c>
      <c r="AZ400" s="3123">
        <f t="shared" si="247"/>
        <v>0</v>
      </c>
      <c r="BA400" s="3123">
        <f t="shared" si="248"/>
        <v>0</v>
      </c>
      <c r="BB400" s="3123">
        <f t="shared" si="249"/>
        <v>0</v>
      </c>
      <c r="BC400" s="3123">
        <f t="shared" si="250"/>
        <v>0</v>
      </c>
      <c r="BD400" s="3123">
        <f t="shared" si="251"/>
        <v>0</v>
      </c>
      <c r="BE400" s="3123">
        <f t="shared" si="252"/>
        <v>0</v>
      </c>
      <c r="BF400" s="3123">
        <f t="shared" si="253"/>
        <v>0</v>
      </c>
      <c r="BG400" s="3123">
        <f t="shared" si="254"/>
        <v>0</v>
      </c>
      <c r="BH400" s="3123">
        <f t="shared" si="255"/>
        <v>0</v>
      </c>
      <c r="BI400" s="3123">
        <f t="shared" si="256"/>
        <v>0</v>
      </c>
      <c r="BJ400" s="3123">
        <f t="shared" si="257"/>
        <v>0</v>
      </c>
      <c r="BK400" s="3123">
        <f t="shared" si="258"/>
        <v>0</v>
      </c>
      <c r="BL400" s="3123">
        <f t="shared" si="259"/>
        <v>0</v>
      </c>
      <c r="BM400" s="3123">
        <f t="shared" si="260"/>
        <v>0</v>
      </c>
      <c r="BN400" s="3123">
        <f t="shared" si="261"/>
        <v>0</v>
      </c>
      <c r="BO400" s="3123">
        <f t="shared" si="262"/>
        <v>0</v>
      </c>
      <c r="BP400" s="3123">
        <f t="shared" si="263"/>
        <v>0</v>
      </c>
      <c r="BQ400" s="3123">
        <f t="shared" si="264"/>
        <v>0</v>
      </c>
      <c r="BR400" s="3123">
        <f t="shared" si="265"/>
        <v>0</v>
      </c>
      <c r="BS400" s="3123">
        <f t="shared" si="266"/>
        <v>0</v>
      </c>
      <c r="BT400" s="3175">
        <f t="shared" si="267"/>
        <v>0</v>
      </c>
    </row>
    <row r="401" spans="1:72">
      <c r="A401" s="3120"/>
      <c r="B401" s="3121"/>
      <c r="C401" s="3121"/>
      <c r="D401" s="3122"/>
      <c r="E401" s="3123">
        <f t="shared" si="239"/>
        <v>0</v>
      </c>
      <c r="F401" s="3124"/>
      <c r="G401" s="3125">
        <f t="shared" si="240"/>
        <v>0</v>
      </c>
      <c r="H401" s="3126">
        <f t="shared" si="241"/>
        <v>0</v>
      </c>
      <c r="I401" s="3133"/>
      <c r="J401" s="3133"/>
      <c r="K401" s="3133"/>
      <c r="L401" s="3133"/>
      <c r="M401" s="3133"/>
      <c r="N401" s="3133"/>
      <c r="O401" s="3133"/>
      <c r="P401" s="3133"/>
      <c r="Q401" s="3133"/>
      <c r="R401" s="3133"/>
      <c r="S401" s="3133"/>
      <c r="T401" s="3133"/>
      <c r="U401" s="3133"/>
      <c r="V401" s="3133"/>
      <c r="W401" s="3133"/>
      <c r="X401" s="3133"/>
      <c r="Y401" s="3133"/>
      <c r="Z401" s="3133"/>
      <c r="AA401" s="3133"/>
      <c r="AB401" s="3133"/>
      <c r="AC401" s="3123">
        <f t="shared" si="242"/>
        <v>0</v>
      </c>
      <c r="AD401" s="3143"/>
      <c r="AE401" s="3143"/>
      <c r="AF401" s="3143"/>
      <c r="AG401" s="3143"/>
      <c r="AH401" s="3143"/>
      <c r="AI401" s="3143"/>
      <c r="AJ401" s="3143"/>
      <c r="AK401" s="3143"/>
      <c r="AL401" s="3143"/>
      <c r="AM401" s="3143"/>
      <c r="AN401" s="3143"/>
      <c r="AO401" s="3143"/>
      <c r="AP401" s="3143"/>
      <c r="AQ401" s="3143"/>
      <c r="AR401" s="3143"/>
      <c r="AS401" s="3143"/>
      <c r="AT401" s="3153"/>
      <c r="AU401" s="3154"/>
      <c r="AV401" s="270">
        <f t="shared" si="243"/>
        <v>0</v>
      </c>
      <c r="AW401" s="270">
        <f t="shared" si="244"/>
        <v>0</v>
      </c>
      <c r="AX401" s="270">
        <f t="shared" si="245"/>
        <v>0</v>
      </c>
      <c r="AY401" s="3168">
        <f t="shared" si="246"/>
        <v>0</v>
      </c>
      <c r="AZ401" s="3123">
        <f t="shared" si="247"/>
        <v>0</v>
      </c>
      <c r="BA401" s="3123">
        <f t="shared" si="248"/>
        <v>0</v>
      </c>
      <c r="BB401" s="3123">
        <f t="shared" si="249"/>
        <v>0</v>
      </c>
      <c r="BC401" s="3123">
        <f t="shared" si="250"/>
        <v>0</v>
      </c>
      <c r="BD401" s="3123">
        <f t="shared" si="251"/>
        <v>0</v>
      </c>
      <c r="BE401" s="3123">
        <f t="shared" si="252"/>
        <v>0</v>
      </c>
      <c r="BF401" s="3123">
        <f t="shared" si="253"/>
        <v>0</v>
      </c>
      <c r="BG401" s="3123">
        <f t="shared" si="254"/>
        <v>0</v>
      </c>
      <c r="BH401" s="3123">
        <f t="shared" si="255"/>
        <v>0</v>
      </c>
      <c r="BI401" s="3123">
        <f t="shared" si="256"/>
        <v>0</v>
      </c>
      <c r="BJ401" s="3123">
        <f t="shared" si="257"/>
        <v>0</v>
      </c>
      <c r="BK401" s="3123">
        <f t="shared" si="258"/>
        <v>0</v>
      </c>
      <c r="BL401" s="3123">
        <f t="shared" si="259"/>
        <v>0</v>
      </c>
      <c r="BM401" s="3123">
        <f t="shared" si="260"/>
        <v>0</v>
      </c>
      <c r="BN401" s="3123">
        <f t="shared" si="261"/>
        <v>0</v>
      </c>
      <c r="BO401" s="3123">
        <f t="shared" si="262"/>
        <v>0</v>
      </c>
      <c r="BP401" s="3123">
        <f t="shared" si="263"/>
        <v>0</v>
      </c>
      <c r="BQ401" s="3123">
        <f t="shared" si="264"/>
        <v>0</v>
      </c>
      <c r="BR401" s="3123">
        <f t="shared" si="265"/>
        <v>0</v>
      </c>
      <c r="BS401" s="3123">
        <f t="shared" si="266"/>
        <v>0</v>
      </c>
      <c r="BT401" s="3175">
        <f t="shared" si="267"/>
        <v>0</v>
      </c>
    </row>
    <row r="402" spans="1:72">
      <c r="A402" s="3120"/>
      <c r="B402" s="3121"/>
      <c r="C402" s="3121"/>
      <c r="D402" s="3122"/>
      <c r="E402" s="3123">
        <f t="shared" si="239"/>
        <v>0</v>
      </c>
      <c r="F402" s="3124"/>
      <c r="G402" s="3125">
        <f t="shared" si="240"/>
        <v>0</v>
      </c>
      <c r="H402" s="3126">
        <f t="shared" si="241"/>
        <v>0</v>
      </c>
      <c r="I402" s="3133"/>
      <c r="J402" s="3133"/>
      <c r="K402" s="3133"/>
      <c r="L402" s="3133"/>
      <c r="M402" s="3133"/>
      <c r="N402" s="3133"/>
      <c r="O402" s="3133"/>
      <c r="P402" s="3133"/>
      <c r="Q402" s="3133"/>
      <c r="R402" s="3133"/>
      <c r="S402" s="3133"/>
      <c r="T402" s="3133"/>
      <c r="U402" s="3133"/>
      <c r="V402" s="3133"/>
      <c r="W402" s="3133"/>
      <c r="X402" s="3133"/>
      <c r="Y402" s="3133"/>
      <c r="Z402" s="3133"/>
      <c r="AA402" s="3133"/>
      <c r="AB402" s="3133"/>
      <c r="AC402" s="3123">
        <f t="shared" si="242"/>
        <v>0</v>
      </c>
      <c r="AD402" s="3143"/>
      <c r="AE402" s="3143"/>
      <c r="AF402" s="3143"/>
      <c r="AG402" s="3143"/>
      <c r="AH402" s="3143"/>
      <c r="AI402" s="3143"/>
      <c r="AJ402" s="3143"/>
      <c r="AK402" s="3143"/>
      <c r="AL402" s="3143"/>
      <c r="AM402" s="3143"/>
      <c r="AN402" s="3143"/>
      <c r="AO402" s="3143"/>
      <c r="AP402" s="3143"/>
      <c r="AQ402" s="3143"/>
      <c r="AR402" s="3143"/>
      <c r="AS402" s="3143"/>
      <c r="AT402" s="3153"/>
      <c r="AU402" s="3154"/>
      <c r="AV402" s="270">
        <f t="shared" si="243"/>
        <v>0</v>
      </c>
      <c r="AW402" s="270">
        <f t="shared" si="244"/>
        <v>0</v>
      </c>
      <c r="AX402" s="270">
        <f t="shared" si="245"/>
        <v>0</v>
      </c>
      <c r="AY402" s="3168">
        <f t="shared" si="246"/>
        <v>0</v>
      </c>
      <c r="AZ402" s="3123">
        <f t="shared" si="247"/>
        <v>0</v>
      </c>
      <c r="BA402" s="3123">
        <f t="shared" si="248"/>
        <v>0</v>
      </c>
      <c r="BB402" s="3123">
        <f t="shared" si="249"/>
        <v>0</v>
      </c>
      <c r="BC402" s="3123">
        <f t="shared" si="250"/>
        <v>0</v>
      </c>
      <c r="BD402" s="3123">
        <f t="shared" si="251"/>
        <v>0</v>
      </c>
      <c r="BE402" s="3123">
        <f t="shared" si="252"/>
        <v>0</v>
      </c>
      <c r="BF402" s="3123">
        <f t="shared" si="253"/>
        <v>0</v>
      </c>
      <c r="BG402" s="3123">
        <f t="shared" si="254"/>
        <v>0</v>
      </c>
      <c r="BH402" s="3123">
        <f t="shared" si="255"/>
        <v>0</v>
      </c>
      <c r="BI402" s="3123">
        <f t="shared" si="256"/>
        <v>0</v>
      </c>
      <c r="BJ402" s="3123">
        <f t="shared" si="257"/>
        <v>0</v>
      </c>
      <c r="BK402" s="3123">
        <f t="shared" si="258"/>
        <v>0</v>
      </c>
      <c r="BL402" s="3123">
        <f t="shared" si="259"/>
        <v>0</v>
      </c>
      <c r="BM402" s="3123">
        <f t="shared" si="260"/>
        <v>0</v>
      </c>
      <c r="BN402" s="3123">
        <f t="shared" si="261"/>
        <v>0</v>
      </c>
      <c r="BO402" s="3123">
        <f t="shared" si="262"/>
        <v>0</v>
      </c>
      <c r="BP402" s="3123">
        <f t="shared" si="263"/>
        <v>0</v>
      </c>
      <c r="BQ402" s="3123">
        <f t="shared" si="264"/>
        <v>0</v>
      </c>
      <c r="BR402" s="3123">
        <f t="shared" si="265"/>
        <v>0</v>
      </c>
      <c r="BS402" s="3123">
        <f t="shared" si="266"/>
        <v>0</v>
      </c>
      <c r="BT402" s="3175">
        <f t="shared" si="267"/>
        <v>0</v>
      </c>
    </row>
    <row r="403" spans="1:72">
      <c r="A403" s="3120"/>
      <c r="B403" s="3121"/>
      <c r="C403" s="3121"/>
      <c r="D403" s="3122"/>
      <c r="E403" s="3123">
        <f t="shared" si="239"/>
        <v>0</v>
      </c>
      <c r="F403" s="3124"/>
      <c r="G403" s="3125">
        <f t="shared" si="240"/>
        <v>0</v>
      </c>
      <c r="H403" s="3126">
        <f t="shared" si="241"/>
        <v>0</v>
      </c>
      <c r="I403" s="3133"/>
      <c r="J403" s="3133"/>
      <c r="K403" s="3133"/>
      <c r="L403" s="3133"/>
      <c r="M403" s="3133"/>
      <c r="N403" s="3133"/>
      <c r="O403" s="3133"/>
      <c r="P403" s="3133"/>
      <c r="Q403" s="3133"/>
      <c r="R403" s="3133"/>
      <c r="S403" s="3133"/>
      <c r="T403" s="3133"/>
      <c r="U403" s="3133"/>
      <c r="V403" s="3133"/>
      <c r="W403" s="3133"/>
      <c r="X403" s="3133"/>
      <c r="Y403" s="3133"/>
      <c r="Z403" s="3133"/>
      <c r="AA403" s="3133"/>
      <c r="AB403" s="3133"/>
      <c r="AC403" s="3123">
        <f t="shared" si="242"/>
        <v>0</v>
      </c>
      <c r="AD403" s="3143"/>
      <c r="AE403" s="3143"/>
      <c r="AF403" s="3143"/>
      <c r="AG403" s="3143"/>
      <c r="AH403" s="3143"/>
      <c r="AI403" s="3143"/>
      <c r="AJ403" s="3143"/>
      <c r="AK403" s="3143"/>
      <c r="AL403" s="3143"/>
      <c r="AM403" s="3143"/>
      <c r="AN403" s="3143"/>
      <c r="AO403" s="3143"/>
      <c r="AP403" s="3143"/>
      <c r="AQ403" s="3143"/>
      <c r="AR403" s="3143"/>
      <c r="AS403" s="3143"/>
      <c r="AT403" s="3153"/>
      <c r="AU403" s="3154"/>
      <c r="AV403" s="270">
        <f t="shared" si="243"/>
        <v>0</v>
      </c>
      <c r="AW403" s="270">
        <f t="shared" si="244"/>
        <v>0</v>
      </c>
      <c r="AX403" s="270">
        <f t="shared" si="245"/>
        <v>0</v>
      </c>
      <c r="AY403" s="3168">
        <f t="shared" si="246"/>
        <v>0</v>
      </c>
      <c r="AZ403" s="3123">
        <f t="shared" si="247"/>
        <v>0</v>
      </c>
      <c r="BA403" s="3123">
        <f t="shared" si="248"/>
        <v>0</v>
      </c>
      <c r="BB403" s="3123">
        <f t="shared" si="249"/>
        <v>0</v>
      </c>
      <c r="BC403" s="3123">
        <f t="shared" si="250"/>
        <v>0</v>
      </c>
      <c r="BD403" s="3123">
        <f t="shared" si="251"/>
        <v>0</v>
      </c>
      <c r="BE403" s="3123">
        <f t="shared" si="252"/>
        <v>0</v>
      </c>
      <c r="BF403" s="3123">
        <f t="shared" si="253"/>
        <v>0</v>
      </c>
      <c r="BG403" s="3123">
        <f t="shared" si="254"/>
        <v>0</v>
      </c>
      <c r="BH403" s="3123">
        <f t="shared" si="255"/>
        <v>0</v>
      </c>
      <c r="BI403" s="3123">
        <f t="shared" si="256"/>
        <v>0</v>
      </c>
      <c r="BJ403" s="3123">
        <f t="shared" si="257"/>
        <v>0</v>
      </c>
      <c r="BK403" s="3123">
        <f t="shared" si="258"/>
        <v>0</v>
      </c>
      <c r="BL403" s="3123">
        <f t="shared" si="259"/>
        <v>0</v>
      </c>
      <c r="BM403" s="3123">
        <f t="shared" si="260"/>
        <v>0</v>
      </c>
      <c r="BN403" s="3123">
        <f t="shared" si="261"/>
        <v>0</v>
      </c>
      <c r="BO403" s="3123">
        <f t="shared" si="262"/>
        <v>0</v>
      </c>
      <c r="BP403" s="3123">
        <f t="shared" si="263"/>
        <v>0</v>
      </c>
      <c r="BQ403" s="3123">
        <f t="shared" si="264"/>
        <v>0</v>
      </c>
      <c r="BR403" s="3123">
        <f t="shared" si="265"/>
        <v>0</v>
      </c>
      <c r="BS403" s="3123">
        <f t="shared" si="266"/>
        <v>0</v>
      </c>
      <c r="BT403" s="3175">
        <f t="shared" si="267"/>
        <v>0</v>
      </c>
    </row>
    <row r="404" spans="1:72">
      <c r="A404" s="3120"/>
      <c r="B404" s="3121"/>
      <c r="C404" s="3121"/>
      <c r="D404" s="3122"/>
      <c r="E404" s="3123">
        <f t="shared" si="239"/>
        <v>0</v>
      </c>
      <c r="F404" s="3124"/>
      <c r="G404" s="3125">
        <f t="shared" si="240"/>
        <v>0</v>
      </c>
      <c r="H404" s="3126">
        <f t="shared" si="241"/>
        <v>0</v>
      </c>
      <c r="I404" s="3133"/>
      <c r="J404" s="3133"/>
      <c r="K404" s="3133"/>
      <c r="L404" s="3133"/>
      <c r="M404" s="3133"/>
      <c r="N404" s="3133"/>
      <c r="O404" s="3133"/>
      <c r="P404" s="3133"/>
      <c r="Q404" s="3133"/>
      <c r="R404" s="3133"/>
      <c r="S404" s="3133"/>
      <c r="T404" s="3133"/>
      <c r="U404" s="3133"/>
      <c r="V404" s="3133"/>
      <c r="W404" s="3133"/>
      <c r="X404" s="3133"/>
      <c r="Y404" s="3133"/>
      <c r="Z404" s="3133"/>
      <c r="AA404" s="3133"/>
      <c r="AB404" s="3133"/>
      <c r="AC404" s="3123">
        <f t="shared" si="242"/>
        <v>0</v>
      </c>
      <c r="AD404" s="3143"/>
      <c r="AE404" s="3143"/>
      <c r="AF404" s="3143"/>
      <c r="AG404" s="3143"/>
      <c r="AH404" s="3143"/>
      <c r="AI404" s="3143"/>
      <c r="AJ404" s="3143"/>
      <c r="AK404" s="3143"/>
      <c r="AL404" s="3143"/>
      <c r="AM404" s="3143"/>
      <c r="AN404" s="3143"/>
      <c r="AO404" s="3143"/>
      <c r="AP404" s="3143"/>
      <c r="AQ404" s="3143"/>
      <c r="AR404" s="3143"/>
      <c r="AS404" s="3143"/>
      <c r="AT404" s="3153"/>
      <c r="AU404" s="3154"/>
      <c r="AV404" s="270">
        <f t="shared" si="243"/>
        <v>0</v>
      </c>
      <c r="AW404" s="270">
        <f t="shared" si="244"/>
        <v>0</v>
      </c>
      <c r="AX404" s="270">
        <f t="shared" si="245"/>
        <v>0</v>
      </c>
      <c r="AY404" s="3168">
        <f t="shared" si="246"/>
        <v>0</v>
      </c>
      <c r="AZ404" s="3123">
        <f t="shared" si="247"/>
        <v>0</v>
      </c>
      <c r="BA404" s="3123">
        <f t="shared" si="248"/>
        <v>0</v>
      </c>
      <c r="BB404" s="3123">
        <f t="shared" si="249"/>
        <v>0</v>
      </c>
      <c r="BC404" s="3123">
        <f t="shared" si="250"/>
        <v>0</v>
      </c>
      <c r="BD404" s="3123">
        <f t="shared" si="251"/>
        <v>0</v>
      </c>
      <c r="BE404" s="3123">
        <f t="shared" si="252"/>
        <v>0</v>
      </c>
      <c r="BF404" s="3123">
        <f t="shared" si="253"/>
        <v>0</v>
      </c>
      <c r="BG404" s="3123">
        <f t="shared" si="254"/>
        <v>0</v>
      </c>
      <c r="BH404" s="3123">
        <f t="shared" si="255"/>
        <v>0</v>
      </c>
      <c r="BI404" s="3123">
        <f t="shared" si="256"/>
        <v>0</v>
      </c>
      <c r="BJ404" s="3123">
        <f t="shared" si="257"/>
        <v>0</v>
      </c>
      <c r="BK404" s="3123">
        <f t="shared" si="258"/>
        <v>0</v>
      </c>
      <c r="BL404" s="3123">
        <f t="shared" si="259"/>
        <v>0</v>
      </c>
      <c r="BM404" s="3123">
        <f t="shared" si="260"/>
        <v>0</v>
      </c>
      <c r="BN404" s="3123">
        <f t="shared" si="261"/>
        <v>0</v>
      </c>
      <c r="BO404" s="3123">
        <f t="shared" si="262"/>
        <v>0</v>
      </c>
      <c r="BP404" s="3123">
        <f t="shared" si="263"/>
        <v>0</v>
      </c>
      <c r="BQ404" s="3123">
        <f t="shared" si="264"/>
        <v>0</v>
      </c>
      <c r="BR404" s="3123">
        <f t="shared" si="265"/>
        <v>0</v>
      </c>
      <c r="BS404" s="3123">
        <f t="shared" si="266"/>
        <v>0</v>
      </c>
      <c r="BT404" s="3175">
        <f t="shared" si="267"/>
        <v>0</v>
      </c>
    </row>
    <row r="405" spans="1:72">
      <c r="A405" s="3120"/>
      <c r="B405" s="3121"/>
      <c r="C405" s="3121"/>
      <c r="D405" s="3122"/>
      <c r="E405" s="3123">
        <f t="shared" si="239"/>
        <v>0</v>
      </c>
      <c r="F405" s="3124"/>
      <c r="G405" s="3125">
        <f t="shared" si="240"/>
        <v>0</v>
      </c>
      <c r="H405" s="3126">
        <f t="shared" si="241"/>
        <v>0</v>
      </c>
      <c r="I405" s="3133"/>
      <c r="J405" s="3133"/>
      <c r="K405" s="3133"/>
      <c r="L405" s="3133"/>
      <c r="M405" s="3133"/>
      <c r="N405" s="3133"/>
      <c r="O405" s="3133"/>
      <c r="P405" s="3133"/>
      <c r="Q405" s="3133"/>
      <c r="R405" s="3133"/>
      <c r="S405" s="3133"/>
      <c r="T405" s="3133"/>
      <c r="U405" s="3133"/>
      <c r="V405" s="3133"/>
      <c r="W405" s="3133"/>
      <c r="X405" s="3133"/>
      <c r="Y405" s="3133"/>
      <c r="Z405" s="3133"/>
      <c r="AA405" s="3133"/>
      <c r="AB405" s="3133"/>
      <c r="AC405" s="3123">
        <f t="shared" si="242"/>
        <v>0</v>
      </c>
      <c r="AD405" s="3143"/>
      <c r="AE405" s="3143"/>
      <c r="AF405" s="3143"/>
      <c r="AG405" s="3143"/>
      <c r="AH405" s="3143"/>
      <c r="AI405" s="3143"/>
      <c r="AJ405" s="3143"/>
      <c r="AK405" s="3143"/>
      <c r="AL405" s="3143"/>
      <c r="AM405" s="3143"/>
      <c r="AN405" s="3143"/>
      <c r="AO405" s="3143"/>
      <c r="AP405" s="3143"/>
      <c r="AQ405" s="3143"/>
      <c r="AR405" s="3143"/>
      <c r="AS405" s="3143"/>
      <c r="AT405" s="3153"/>
      <c r="AU405" s="3154"/>
      <c r="AV405" s="270">
        <f t="shared" si="243"/>
        <v>0</v>
      </c>
      <c r="AW405" s="270">
        <f t="shared" si="244"/>
        <v>0</v>
      </c>
      <c r="AX405" s="270">
        <f t="shared" si="245"/>
        <v>0</v>
      </c>
      <c r="AY405" s="3168">
        <f t="shared" si="246"/>
        <v>0</v>
      </c>
      <c r="AZ405" s="3123">
        <f t="shared" si="247"/>
        <v>0</v>
      </c>
      <c r="BA405" s="3123">
        <f t="shared" si="248"/>
        <v>0</v>
      </c>
      <c r="BB405" s="3123">
        <f t="shared" si="249"/>
        <v>0</v>
      </c>
      <c r="BC405" s="3123">
        <f t="shared" si="250"/>
        <v>0</v>
      </c>
      <c r="BD405" s="3123">
        <f t="shared" si="251"/>
        <v>0</v>
      </c>
      <c r="BE405" s="3123">
        <f t="shared" si="252"/>
        <v>0</v>
      </c>
      <c r="BF405" s="3123">
        <f t="shared" si="253"/>
        <v>0</v>
      </c>
      <c r="BG405" s="3123">
        <f t="shared" si="254"/>
        <v>0</v>
      </c>
      <c r="BH405" s="3123">
        <f t="shared" si="255"/>
        <v>0</v>
      </c>
      <c r="BI405" s="3123">
        <f t="shared" si="256"/>
        <v>0</v>
      </c>
      <c r="BJ405" s="3123">
        <f t="shared" si="257"/>
        <v>0</v>
      </c>
      <c r="BK405" s="3123">
        <f t="shared" si="258"/>
        <v>0</v>
      </c>
      <c r="BL405" s="3123">
        <f t="shared" si="259"/>
        <v>0</v>
      </c>
      <c r="BM405" s="3123">
        <f t="shared" si="260"/>
        <v>0</v>
      </c>
      <c r="BN405" s="3123">
        <f t="shared" si="261"/>
        <v>0</v>
      </c>
      <c r="BO405" s="3123">
        <f t="shared" si="262"/>
        <v>0</v>
      </c>
      <c r="BP405" s="3123">
        <f t="shared" si="263"/>
        <v>0</v>
      </c>
      <c r="BQ405" s="3123">
        <f t="shared" si="264"/>
        <v>0</v>
      </c>
      <c r="BR405" s="3123">
        <f t="shared" si="265"/>
        <v>0</v>
      </c>
      <c r="BS405" s="3123">
        <f t="shared" si="266"/>
        <v>0</v>
      </c>
      <c r="BT405" s="3175">
        <f t="shared" si="267"/>
        <v>0</v>
      </c>
    </row>
    <row r="406" spans="1:72">
      <c r="A406" s="3120"/>
      <c r="B406" s="3121"/>
      <c r="C406" s="3121"/>
      <c r="D406" s="3122"/>
      <c r="E406" s="3123">
        <f t="shared" si="239"/>
        <v>0</v>
      </c>
      <c r="F406" s="3124"/>
      <c r="G406" s="3125">
        <f t="shared" si="240"/>
        <v>0</v>
      </c>
      <c r="H406" s="3126">
        <f t="shared" si="241"/>
        <v>0</v>
      </c>
      <c r="I406" s="3133"/>
      <c r="J406" s="3133"/>
      <c r="K406" s="3133"/>
      <c r="L406" s="3133"/>
      <c r="M406" s="3133"/>
      <c r="N406" s="3133"/>
      <c r="O406" s="3133"/>
      <c r="P406" s="3133"/>
      <c r="Q406" s="3133"/>
      <c r="R406" s="3133"/>
      <c r="S406" s="3133"/>
      <c r="T406" s="3133"/>
      <c r="U406" s="3133"/>
      <c r="V406" s="3133"/>
      <c r="W406" s="3133"/>
      <c r="X406" s="3133"/>
      <c r="Y406" s="3133"/>
      <c r="Z406" s="3133"/>
      <c r="AA406" s="3133"/>
      <c r="AB406" s="3133"/>
      <c r="AC406" s="3123">
        <f t="shared" si="242"/>
        <v>0</v>
      </c>
      <c r="AD406" s="3143"/>
      <c r="AE406" s="3143"/>
      <c r="AF406" s="3143"/>
      <c r="AG406" s="3143"/>
      <c r="AH406" s="3143"/>
      <c r="AI406" s="3143"/>
      <c r="AJ406" s="3143"/>
      <c r="AK406" s="3143"/>
      <c r="AL406" s="3143"/>
      <c r="AM406" s="3143"/>
      <c r="AN406" s="3143"/>
      <c r="AO406" s="3143"/>
      <c r="AP406" s="3143"/>
      <c r="AQ406" s="3143"/>
      <c r="AR406" s="3143"/>
      <c r="AS406" s="3143"/>
      <c r="AT406" s="3153"/>
      <c r="AU406" s="3154"/>
      <c r="AV406" s="270">
        <f t="shared" si="243"/>
        <v>0</v>
      </c>
      <c r="AW406" s="270">
        <f t="shared" si="244"/>
        <v>0</v>
      </c>
      <c r="AX406" s="270">
        <f t="shared" si="245"/>
        <v>0</v>
      </c>
      <c r="AY406" s="3168">
        <f t="shared" si="246"/>
        <v>0</v>
      </c>
      <c r="AZ406" s="3123">
        <f t="shared" si="247"/>
        <v>0</v>
      </c>
      <c r="BA406" s="3123">
        <f t="shared" si="248"/>
        <v>0</v>
      </c>
      <c r="BB406" s="3123">
        <f t="shared" si="249"/>
        <v>0</v>
      </c>
      <c r="BC406" s="3123">
        <f t="shared" si="250"/>
        <v>0</v>
      </c>
      <c r="BD406" s="3123">
        <f t="shared" si="251"/>
        <v>0</v>
      </c>
      <c r="BE406" s="3123">
        <f t="shared" si="252"/>
        <v>0</v>
      </c>
      <c r="BF406" s="3123">
        <f t="shared" si="253"/>
        <v>0</v>
      </c>
      <c r="BG406" s="3123">
        <f t="shared" si="254"/>
        <v>0</v>
      </c>
      <c r="BH406" s="3123">
        <f t="shared" si="255"/>
        <v>0</v>
      </c>
      <c r="BI406" s="3123">
        <f t="shared" si="256"/>
        <v>0</v>
      </c>
      <c r="BJ406" s="3123">
        <f t="shared" si="257"/>
        <v>0</v>
      </c>
      <c r="BK406" s="3123">
        <f t="shared" si="258"/>
        <v>0</v>
      </c>
      <c r="BL406" s="3123">
        <f t="shared" si="259"/>
        <v>0</v>
      </c>
      <c r="BM406" s="3123">
        <f t="shared" si="260"/>
        <v>0</v>
      </c>
      <c r="BN406" s="3123">
        <f t="shared" si="261"/>
        <v>0</v>
      </c>
      <c r="BO406" s="3123">
        <f t="shared" si="262"/>
        <v>0</v>
      </c>
      <c r="BP406" s="3123">
        <f t="shared" si="263"/>
        <v>0</v>
      </c>
      <c r="BQ406" s="3123">
        <f t="shared" si="264"/>
        <v>0</v>
      </c>
      <c r="BR406" s="3123">
        <f t="shared" si="265"/>
        <v>0</v>
      </c>
      <c r="BS406" s="3123">
        <f t="shared" si="266"/>
        <v>0</v>
      </c>
      <c r="BT406" s="3175">
        <f t="shared" si="267"/>
        <v>0</v>
      </c>
    </row>
    <row r="407" spans="1:72">
      <c r="A407" s="3120"/>
      <c r="B407" s="3121"/>
      <c r="C407" s="3121"/>
      <c r="D407" s="3122"/>
      <c r="E407" s="3123">
        <f t="shared" si="239"/>
        <v>0</v>
      </c>
      <c r="F407" s="3124"/>
      <c r="G407" s="3125">
        <f t="shared" si="240"/>
        <v>0</v>
      </c>
      <c r="H407" s="3126">
        <f t="shared" si="241"/>
        <v>0</v>
      </c>
      <c r="I407" s="3133"/>
      <c r="J407" s="3133"/>
      <c r="K407" s="3133"/>
      <c r="L407" s="3133"/>
      <c r="M407" s="3133"/>
      <c r="N407" s="3133"/>
      <c r="O407" s="3133"/>
      <c r="P407" s="3133"/>
      <c r="Q407" s="3133"/>
      <c r="R407" s="3133"/>
      <c r="S407" s="3133"/>
      <c r="T407" s="3133"/>
      <c r="U407" s="3133"/>
      <c r="V407" s="3133"/>
      <c r="W407" s="3133"/>
      <c r="X407" s="3133"/>
      <c r="Y407" s="3133"/>
      <c r="Z407" s="3133"/>
      <c r="AA407" s="3133"/>
      <c r="AB407" s="3133"/>
      <c r="AC407" s="3123">
        <f t="shared" si="242"/>
        <v>0</v>
      </c>
      <c r="AD407" s="3143"/>
      <c r="AE407" s="3143"/>
      <c r="AF407" s="3143"/>
      <c r="AG407" s="3143"/>
      <c r="AH407" s="3143"/>
      <c r="AI407" s="3143"/>
      <c r="AJ407" s="3143"/>
      <c r="AK407" s="3143"/>
      <c r="AL407" s="3143"/>
      <c r="AM407" s="3143"/>
      <c r="AN407" s="3143"/>
      <c r="AO407" s="3143"/>
      <c r="AP407" s="3143"/>
      <c r="AQ407" s="3143"/>
      <c r="AR407" s="3143"/>
      <c r="AS407" s="3143"/>
      <c r="AT407" s="3153"/>
      <c r="AU407" s="3154"/>
      <c r="AV407" s="270">
        <f t="shared" si="243"/>
        <v>0</v>
      </c>
      <c r="AW407" s="270">
        <f t="shared" si="244"/>
        <v>0</v>
      </c>
      <c r="AX407" s="270">
        <f t="shared" si="245"/>
        <v>0</v>
      </c>
      <c r="AY407" s="3168">
        <f t="shared" si="246"/>
        <v>0</v>
      </c>
      <c r="AZ407" s="3123">
        <f t="shared" si="247"/>
        <v>0</v>
      </c>
      <c r="BA407" s="3123">
        <f t="shared" si="248"/>
        <v>0</v>
      </c>
      <c r="BB407" s="3123">
        <f t="shared" si="249"/>
        <v>0</v>
      </c>
      <c r="BC407" s="3123">
        <f t="shared" si="250"/>
        <v>0</v>
      </c>
      <c r="BD407" s="3123">
        <f t="shared" si="251"/>
        <v>0</v>
      </c>
      <c r="BE407" s="3123">
        <f t="shared" si="252"/>
        <v>0</v>
      </c>
      <c r="BF407" s="3123">
        <f t="shared" si="253"/>
        <v>0</v>
      </c>
      <c r="BG407" s="3123">
        <f t="shared" si="254"/>
        <v>0</v>
      </c>
      <c r="BH407" s="3123">
        <f t="shared" si="255"/>
        <v>0</v>
      </c>
      <c r="BI407" s="3123">
        <f t="shared" si="256"/>
        <v>0</v>
      </c>
      <c r="BJ407" s="3123">
        <f t="shared" si="257"/>
        <v>0</v>
      </c>
      <c r="BK407" s="3123">
        <f t="shared" si="258"/>
        <v>0</v>
      </c>
      <c r="BL407" s="3123">
        <f t="shared" si="259"/>
        <v>0</v>
      </c>
      <c r="BM407" s="3123">
        <f t="shared" si="260"/>
        <v>0</v>
      </c>
      <c r="BN407" s="3123">
        <f t="shared" si="261"/>
        <v>0</v>
      </c>
      <c r="BO407" s="3123">
        <f t="shared" si="262"/>
        <v>0</v>
      </c>
      <c r="BP407" s="3123">
        <f t="shared" si="263"/>
        <v>0</v>
      </c>
      <c r="BQ407" s="3123">
        <f t="shared" si="264"/>
        <v>0</v>
      </c>
      <c r="BR407" s="3123">
        <f t="shared" si="265"/>
        <v>0</v>
      </c>
      <c r="BS407" s="3123">
        <f t="shared" si="266"/>
        <v>0</v>
      </c>
      <c r="BT407" s="3175">
        <f t="shared" si="267"/>
        <v>0</v>
      </c>
    </row>
    <row r="408" spans="1:72">
      <c r="A408" s="3120"/>
      <c r="B408" s="3121"/>
      <c r="C408" s="3121"/>
      <c r="D408" s="3122"/>
      <c r="E408" s="3123">
        <f t="shared" si="239"/>
        <v>0</v>
      </c>
      <c r="F408" s="3124"/>
      <c r="G408" s="3125">
        <f t="shared" si="240"/>
        <v>0</v>
      </c>
      <c r="H408" s="3126">
        <f t="shared" si="241"/>
        <v>0</v>
      </c>
      <c r="I408" s="3133"/>
      <c r="J408" s="3133"/>
      <c r="K408" s="3133"/>
      <c r="L408" s="3133"/>
      <c r="M408" s="3133"/>
      <c r="N408" s="3133"/>
      <c r="O408" s="3133"/>
      <c r="P408" s="3133"/>
      <c r="Q408" s="3133"/>
      <c r="R408" s="3133"/>
      <c r="S408" s="3133"/>
      <c r="T408" s="3133"/>
      <c r="U408" s="3133"/>
      <c r="V408" s="3133"/>
      <c r="W408" s="3133"/>
      <c r="X408" s="3133"/>
      <c r="Y408" s="3133"/>
      <c r="Z408" s="3133"/>
      <c r="AA408" s="3133"/>
      <c r="AB408" s="3133"/>
      <c r="AC408" s="3123">
        <f t="shared" si="242"/>
        <v>0</v>
      </c>
      <c r="AD408" s="3143"/>
      <c r="AE408" s="3143"/>
      <c r="AF408" s="3143"/>
      <c r="AG408" s="3143"/>
      <c r="AH408" s="3143"/>
      <c r="AI408" s="3143"/>
      <c r="AJ408" s="3143"/>
      <c r="AK408" s="3143"/>
      <c r="AL408" s="3143"/>
      <c r="AM408" s="3143"/>
      <c r="AN408" s="3143"/>
      <c r="AO408" s="3143"/>
      <c r="AP408" s="3143"/>
      <c r="AQ408" s="3143"/>
      <c r="AR408" s="3143"/>
      <c r="AS408" s="3143"/>
      <c r="AT408" s="3153"/>
      <c r="AU408" s="3154"/>
      <c r="AV408" s="270">
        <f t="shared" si="243"/>
        <v>0</v>
      </c>
      <c r="AW408" s="270">
        <f t="shared" si="244"/>
        <v>0</v>
      </c>
      <c r="AX408" s="270">
        <f t="shared" si="245"/>
        <v>0</v>
      </c>
      <c r="AY408" s="3168">
        <f t="shared" si="246"/>
        <v>0</v>
      </c>
      <c r="AZ408" s="3123">
        <f t="shared" si="247"/>
        <v>0</v>
      </c>
      <c r="BA408" s="3123">
        <f t="shared" si="248"/>
        <v>0</v>
      </c>
      <c r="BB408" s="3123">
        <f t="shared" si="249"/>
        <v>0</v>
      </c>
      <c r="BC408" s="3123">
        <f t="shared" si="250"/>
        <v>0</v>
      </c>
      <c r="BD408" s="3123">
        <f t="shared" si="251"/>
        <v>0</v>
      </c>
      <c r="BE408" s="3123">
        <f t="shared" si="252"/>
        <v>0</v>
      </c>
      <c r="BF408" s="3123">
        <f t="shared" si="253"/>
        <v>0</v>
      </c>
      <c r="BG408" s="3123">
        <f t="shared" si="254"/>
        <v>0</v>
      </c>
      <c r="BH408" s="3123">
        <f t="shared" si="255"/>
        <v>0</v>
      </c>
      <c r="BI408" s="3123">
        <f t="shared" si="256"/>
        <v>0</v>
      </c>
      <c r="BJ408" s="3123">
        <f t="shared" si="257"/>
        <v>0</v>
      </c>
      <c r="BK408" s="3123">
        <f t="shared" si="258"/>
        <v>0</v>
      </c>
      <c r="BL408" s="3123">
        <f t="shared" si="259"/>
        <v>0</v>
      </c>
      <c r="BM408" s="3123">
        <f t="shared" si="260"/>
        <v>0</v>
      </c>
      <c r="BN408" s="3123">
        <f t="shared" si="261"/>
        <v>0</v>
      </c>
      <c r="BO408" s="3123">
        <f t="shared" si="262"/>
        <v>0</v>
      </c>
      <c r="BP408" s="3123">
        <f t="shared" si="263"/>
        <v>0</v>
      </c>
      <c r="BQ408" s="3123">
        <f t="shared" si="264"/>
        <v>0</v>
      </c>
      <c r="BR408" s="3123">
        <f t="shared" si="265"/>
        <v>0</v>
      </c>
      <c r="BS408" s="3123">
        <f t="shared" si="266"/>
        <v>0</v>
      </c>
      <c r="BT408" s="3175">
        <f t="shared" si="267"/>
        <v>0</v>
      </c>
    </row>
    <row r="409" spans="1:72">
      <c r="A409" s="3120"/>
      <c r="B409" s="3121"/>
      <c r="C409" s="3121"/>
      <c r="D409" s="3122"/>
      <c r="E409" s="3123">
        <f t="shared" si="239"/>
        <v>0</v>
      </c>
      <c r="F409" s="3124"/>
      <c r="G409" s="3125">
        <f t="shared" si="240"/>
        <v>0</v>
      </c>
      <c r="H409" s="3126">
        <f t="shared" si="241"/>
        <v>0</v>
      </c>
      <c r="I409" s="3133"/>
      <c r="J409" s="3133"/>
      <c r="K409" s="3133"/>
      <c r="L409" s="3133"/>
      <c r="M409" s="3133"/>
      <c r="N409" s="3133"/>
      <c r="O409" s="3133"/>
      <c r="P409" s="3133"/>
      <c r="Q409" s="3133"/>
      <c r="R409" s="3133"/>
      <c r="S409" s="3133"/>
      <c r="T409" s="3133"/>
      <c r="U409" s="3133"/>
      <c r="V409" s="3133"/>
      <c r="W409" s="3133"/>
      <c r="X409" s="3133"/>
      <c r="Y409" s="3133"/>
      <c r="Z409" s="3133"/>
      <c r="AA409" s="3133"/>
      <c r="AB409" s="3133"/>
      <c r="AC409" s="3123">
        <f t="shared" si="242"/>
        <v>0</v>
      </c>
      <c r="AD409" s="3143"/>
      <c r="AE409" s="3143"/>
      <c r="AF409" s="3143"/>
      <c r="AG409" s="3143"/>
      <c r="AH409" s="3143"/>
      <c r="AI409" s="3143"/>
      <c r="AJ409" s="3143"/>
      <c r="AK409" s="3143"/>
      <c r="AL409" s="3143"/>
      <c r="AM409" s="3143"/>
      <c r="AN409" s="3143"/>
      <c r="AO409" s="3143"/>
      <c r="AP409" s="3143"/>
      <c r="AQ409" s="3143"/>
      <c r="AR409" s="3143"/>
      <c r="AS409" s="3143"/>
      <c r="AT409" s="3153"/>
      <c r="AU409" s="3154"/>
      <c r="AV409" s="270">
        <f t="shared" si="243"/>
        <v>0</v>
      </c>
      <c r="AW409" s="270">
        <f t="shared" si="244"/>
        <v>0</v>
      </c>
      <c r="AX409" s="270">
        <f t="shared" si="245"/>
        <v>0</v>
      </c>
      <c r="AY409" s="3168">
        <f t="shared" si="246"/>
        <v>0</v>
      </c>
      <c r="AZ409" s="3123">
        <f t="shared" si="247"/>
        <v>0</v>
      </c>
      <c r="BA409" s="3123">
        <f t="shared" si="248"/>
        <v>0</v>
      </c>
      <c r="BB409" s="3123">
        <f t="shared" si="249"/>
        <v>0</v>
      </c>
      <c r="BC409" s="3123">
        <f t="shared" si="250"/>
        <v>0</v>
      </c>
      <c r="BD409" s="3123">
        <f t="shared" si="251"/>
        <v>0</v>
      </c>
      <c r="BE409" s="3123">
        <f t="shared" si="252"/>
        <v>0</v>
      </c>
      <c r="BF409" s="3123">
        <f t="shared" si="253"/>
        <v>0</v>
      </c>
      <c r="BG409" s="3123">
        <f t="shared" si="254"/>
        <v>0</v>
      </c>
      <c r="BH409" s="3123">
        <f t="shared" si="255"/>
        <v>0</v>
      </c>
      <c r="BI409" s="3123">
        <f t="shared" si="256"/>
        <v>0</v>
      </c>
      <c r="BJ409" s="3123">
        <f t="shared" si="257"/>
        <v>0</v>
      </c>
      <c r="BK409" s="3123">
        <f t="shared" si="258"/>
        <v>0</v>
      </c>
      <c r="BL409" s="3123">
        <f t="shared" si="259"/>
        <v>0</v>
      </c>
      <c r="BM409" s="3123">
        <f t="shared" si="260"/>
        <v>0</v>
      </c>
      <c r="BN409" s="3123">
        <f t="shared" si="261"/>
        <v>0</v>
      </c>
      <c r="BO409" s="3123">
        <f t="shared" si="262"/>
        <v>0</v>
      </c>
      <c r="BP409" s="3123">
        <f t="shared" si="263"/>
        <v>0</v>
      </c>
      <c r="BQ409" s="3123">
        <f t="shared" si="264"/>
        <v>0</v>
      </c>
      <c r="BR409" s="3123">
        <f t="shared" si="265"/>
        <v>0</v>
      </c>
      <c r="BS409" s="3123">
        <f t="shared" si="266"/>
        <v>0</v>
      </c>
      <c r="BT409" s="3175">
        <f t="shared" si="267"/>
        <v>0</v>
      </c>
    </row>
    <row r="410" spans="1:72">
      <c r="A410" s="3120"/>
      <c r="B410" s="3121"/>
      <c r="C410" s="3121"/>
      <c r="D410" s="3122"/>
      <c r="E410" s="3123">
        <f t="shared" si="239"/>
        <v>0</v>
      </c>
      <c r="F410" s="3124"/>
      <c r="G410" s="3125">
        <f t="shared" si="240"/>
        <v>0</v>
      </c>
      <c r="H410" s="3126">
        <f t="shared" si="241"/>
        <v>0</v>
      </c>
      <c r="I410" s="3133"/>
      <c r="J410" s="3133"/>
      <c r="K410" s="3133"/>
      <c r="L410" s="3133"/>
      <c r="M410" s="3133"/>
      <c r="N410" s="3133"/>
      <c r="O410" s="3133"/>
      <c r="P410" s="3133"/>
      <c r="Q410" s="3133"/>
      <c r="R410" s="3133"/>
      <c r="S410" s="3133"/>
      <c r="T410" s="3133"/>
      <c r="U410" s="3133"/>
      <c r="V410" s="3133"/>
      <c r="W410" s="3133"/>
      <c r="X410" s="3133"/>
      <c r="Y410" s="3133"/>
      <c r="Z410" s="3133"/>
      <c r="AA410" s="3133"/>
      <c r="AB410" s="3133"/>
      <c r="AC410" s="3123">
        <f t="shared" si="242"/>
        <v>0</v>
      </c>
      <c r="AD410" s="3143"/>
      <c r="AE410" s="3143"/>
      <c r="AF410" s="3143"/>
      <c r="AG410" s="3143"/>
      <c r="AH410" s="3143"/>
      <c r="AI410" s="3143"/>
      <c r="AJ410" s="3143"/>
      <c r="AK410" s="3143"/>
      <c r="AL410" s="3143"/>
      <c r="AM410" s="3143"/>
      <c r="AN410" s="3143"/>
      <c r="AO410" s="3143"/>
      <c r="AP410" s="3143"/>
      <c r="AQ410" s="3143"/>
      <c r="AR410" s="3143"/>
      <c r="AS410" s="3143"/>
      <c r="AT410" s="3153"/>
      <c r="AU410" s="3154"/>
      <c r="AV410" s="270">
        <f t="shared" si="243"/>
        <v>0</v>
      </c>
      <c r="AW410" s="270">
        <f t="shared" si="244"/>
        <v>0</v>
      </c>
      <c r="AX410" s="270">
        <f t="shared" si="245"/>
        <v>0</v>
      </c>
      <c r="AY410" s="3168">
        <f t="shared" si="246"/>
        <v>0</v>
      </c>
      <c r="AZ410" s="3123">
        <f t="shared" si="247"/>
        <v>0</v>
      </c>
      <c r="BA410" s="3123">
        <f t="shared" si="248"/>
        <v>0</v>
      </c>
      <c r="BB410" s="3123">
        <f t="shared" si="249"/>
        <v>0</v>
      </c>
      <c r="BC410" s="3123">
        <f t="shared" si="250"/>
        <v>0</v>
      </c>
      <c r="BD410" s="3123">
        <f t="shared" si="251"/>
        <v>0</v>
      </c>
      <c r="BE410" s="3123">
        <f t="shared" si="252"/>
        <v>0</v>
      </c>
      <c r="BF410" s="3123">
        <f t="shared" si="253"/>
        <v>0</v>
      </c>
      <c r="BG410" s="3123">
        <f t="shared" si="254"/>
        <v>0</v>
      </c>
      <c r="BH410" s="3123">
        <f t="shared" si="255"/>
        <v>0</v>
      </c>
      <c r="BI410" s="3123">
        <f t="shared" si="256"/>
        <v>0</v>
      </c>
      <c r="BJ410" s="3123">
        <f t="shared" si="257"/>
        <v>0</v>
      </c>
      <c r="BK410" s="3123">
        <f t="shared" si="258"/>
        <v>0</v>
      </c>
      <c r="BL410" s="3123">
        <f t="shared" si="259"/>
        <v>0</v>
      </c>
      <c r="BM410" s="3123">
        <f t="shared" si="260"/>
        <v>0</v>
      </c>
      <c r="BN410" s="3123">
        <f t="shared" si="261"/>
        <v>0</v>
      </c>
      <c r="BO410" s="3123">
        <f t="shared" si="262"/>
        <v>0</v>
      </c>
      <c r="BP410" s="3123">
        <f t="shared" si="263"/>
        <v>0</v>
      </c>
      <c r="BQ410" s="3123">
        <f t="shared" si="264"/>
        <v>0</v>
      </c>
      <c r="BR410" s="3123">
        <f t="shared" si="265"/>
        <v>0</v>
      </c>
      <c r="BS410" s="3123">
        <f t="shared" si="266"/>
        <v>0</v>
      </c>
      <c r="BT410" s="3175">
        <f t="shared" si="267"/>
        <v>0</v>
      </c>
    </row>
    <row r="411" spans="1:72">
      <c r="A411" s="3120"/>
      <c r="B411" s="3121"/>
      <c r="C411" s="3121"/>
      <c r="D411" s="3122"/>
      <c r="E411" s="3123">
        <f t="shared" si="239"/>
        <v>0</v>
      </c>
      <c r="F411" s="3124"/>
      <c r="G411" s="3125">
        <f t="shared" si="240"/>
        <v>0</v>
      </c>
      <c r="H411" s="3126">
        <f t="shared" si="241"/>
        <v>0</v>
      </c>
      <c r="I411" s="3133"/>
      <c r="J411" s="3133"/>
      <c r="K411" s="3133"/>
      <c r="L411" s="3133"/>
      <c r="M411" s="3133"/>
      <c r="N411" s="3133"/>
      <c r="O411" s="3133"/>
      <c r="P411" s="3133"/>
      <c r="Q411" s="3133"/>
      <c r="R411" s="3133"/>
      <c r="S411" s="3133"/>
      <c r="T411" s="3133"/>
      <c r="U411" s="3133"/>
      <c r="V411" s="3133"/>
      <c r="W411" s="3133"/>
      <c r="X411" s="3133"/>
      <c r="Y411" s="3133"/>
      <c r="Z411" s="3133"/>
      <c r="AA411" s="3133"/>
      <c r="AB411" s="3133"/>
      <c r="AC411" s="3123">
        <f t="shared" si="242"/>
        <v>0</v>
      </c>
      <c r="AD411" s="3143"/>
      <c r="AE411" s="3143"/>
      <c r="AF411" s="3143"/>
      <c r="AG411" s="3143"/>
      <c r="AH411" s="3143"/>
      <c r="AI411" s="3143"/>
      <c r="AJ411" s="3143"/>
      <c r="AK411" s="3143"/>
      <c r="AL411" s="3143"/>
      <c r="AM411" s="3143"/>
      <c r="AN411" s="3143"/>
      <c r="AO411" s="3143"/>
      <c r="AP411" s="3143"/>
      <c r="AQ411" s="3143"/>
      <c r="AR411" s="3143"/>
      <c r="AS411" s="3143"/>
      <c r="AT411" s="3153"/>
      <c r="AU411" s="3154"/>
      <c r="AV411" s="270">
        <f t="shared" si="243"/>
        <v>0</v>
      </c>
      <c r="AW411" s="270">
        <f t="shared" si="244"/>
        <v>0</v>
      </c>
      <c r="AX411" s="270">
        <f t="shared" si="245"/>
        <v>0</v>
      </c>
      <c r="AY411" s="3168">
        <f t="shared" si="246"/>
        <v>0</v>
      </c>
      <c r="AZ411" s="3123">
        <f t="shared" si="247"/>
        <v>0</v>
      </c>
      <c r="BA411" s="3123">
        <f t="shared" si="248"/>
        <v>0</v>
      </c>
      <c r="BB411" s="3123">
        <f t="shared" si="249"/>
        <v>0</v>
      </c>
      <c r="BC411" s="3123">
        <f t="shared" si="250"/>
        <v>0</v>
      </c>
      <c r="BD411" s="3123">
        <f t="shared" si="251"/>
        <v>0</v>
      </c>
      <c r="BE411" s="3123">
        <f t="shared" si="252"/>
        <v>0</v>
      </c>
      <c r="BF411" s="3123">
        <f t="shared" si="253"/>
        <v>0</v>
      </c>
      <c r="BG411" s="3123">
        <f t="shared" si="254"/>
        <v>0</v>
      </c>
      <c r="BH411" s="3123">
        <f t="shared" si="255"/>
        <v>0</v>
      </c>
      <c r="BI411" s="3123">
        <f t="shared" si="256"/>
        <v>0</v>
      </c>
      <c r="BJ411" s="3123">
        <f t="shared" si="257"/>
        <v>0</v>
      </c>
      <c r="BK411" s="3123">
        <f t="shared" si="258"/>
        <v>0</v>
      </c>
      <c r="BL411" s="3123">
        <f t="shared" si="259"/>
        <v>0</v>
      </c>
      <c r="BM411" s="3123">
        <f t="shared" si="260"/>
        <v>0</v>
      </c>
      <c r="BN411" s="3123">
        <f t="shared" si="261"/>
        <v>0</v>
      </c>
      <c r="BO411" s="3123">
        <f t="shared" si="262"/>
        <v>0</v>
      </c>
      <c r="BP411" s="3123">
        <f t="shared" si="263"/>
        <v>0</v>
      </c>
      <c r="BQ411" s="3123">
        <f t="shared" si="264"/>
        <v>0</v>
      </c>
      <c r="BR411" s="3123">
        <f t="shared" si="265"/>
        <v>0</v>
      </c>
      <c r="BS411" s="3123">
        <f t="shared" si="266"/>
        <v>0</v>
      </c>
      <c r="BT411" s="3175">
        <f t="shared" si="267"/>
        <v>0</v>
      </c>
    </row>
    <row r="412" spans="1:72">
      <c r="A412" s="3120"/>
      <c r="B412" s="3121"/>
      <c r="C412" s="3121"/>
      <c r="D412" s="3122"/>
      <c r="E412" s="3123">
        <f t="shared" si="239"/>
        <v>0</v>
      </c>
      <c r="F412" s="3124"/>
      <c r="G412" s="3125">
        <f t="shared" si="240"/>
        <v>0</v>
      </c>
      <c r="H412" s="3126">
        <f t="shared" si="241"/>
        <v>0</v>
      </c>
      <c r="I412" s="3133"/>
      <c r="J412" s="3133"/>
      <c r="K412" s="3133"/>
      <c r="L412" s="3133"/>
      <c r="M412" s="3133"/>
      <c r="N412" s="3133"/>
      <c r="O412" s="3133"/>
      <c r="P412" s="3133"/>
      <c r="Q412" s="3133"/>
      <c r="R412" s="3133"/>
      <c r="S412" s="3133"/>
      <c r="T412" s="3133"/>
      <c r="U412" s="3133"/>
      <c r="V412" s="3133"/>
      <c r="W412" s="3133"/>
      <c r="X412" s="3133"/>
      <c r="Y412" s="3133"/>
      <c r="Z412" s="3133"/>
      <c r="AA412" s="3133"/>
      <c r="AB412" s="3133"/>
      <c r="AC412" s="3123">
        <f t="shared" si="242"/>
        <v>0</v>
      </c>
      <c r="AD412" s="3143"/>
      <c r="AE412" s="3143"/>
      <c r="AF412" s="3143"/>
      <c r="AG412" s="3143"/>
      <c r="AH412" s="3143"/>
      <c r="AI412" s="3143"/>
      <c r="AJ412" s="3143"/>
      <c r="AK412" s="3143"/>
      <c r="AL412" s="3143"/>
      <c r="AM412" s="3143"/>
      <c r="AN412" s="3143"/>
      <c r="AO412" s="3143"/>
      <c r="AP412" s="3143"/>
      <c r="AQ412" s="3143"/>
      <c r="AR412" s="3143"/>
      <c r="AS412" s="3143"/>
      <c r="AT412" s="3153"/>
      <c r="AU412" s="3154"/>
      <c r="AV412" s="270">
        <f t="shared" si="243"/>
        <v>0</v>
      </c>
      <c r="AW412" s="270">
        <f t="shared" si="244"/>
        <v>0</v>
      </c>
      <c r="AX412" s="270">
        <f t="shared" si="245"/>
        <v>0</v>
      </c>
      <c r="AY412" s="3168">
        <f t="shared" si="246"/>
        <v>0</v>
      </c>
      <c r="AZ412" s="3123">
        <f t="shared" si="247"/>
        <v>0</v>
      </c>
      <c r="BA412" s="3123">
        <f t="shared" si="248"/>
        <v>0</v>
      </c>
      <c r="BB412" s="3123">
        <f t="shared" si="249"/>
        <v>0</v>
      </c>
      <c r="BC412" s="3123">
        <f t="shared" si="250"/>
        <v>0</v>
      </c>
      <c r="BD412" s="3123">
        <f t="shared" si="251"/>
        <v>0</v>
      </c>
      <c r="BE412" s="3123">
        <f t="shared" si="252"/>
        <v>0</v>
      </c>
      <c r="BF412" s="3123">
        <f t="shared" si="253"/>
        <v>0</v>
      </c>
      <c r="BG412" s="3123">
        <f t="shared" si="254"/>
        <v>0</v>
      </c>
      <c r="BH412" s="3123">
        <f t="shared" si="255"/>
        <v>0</v>
      </c>
      <c r="BI412" s="3123">
        <f t="shared" si="256"/>
        <v>0</v>
      </c>
      <c r="BJ412" s="3123">
        <f t="shared" si="257"/>
        <v>0</v>
      </c>
      <c r="BK412" s="3123">
        <f t="shared" si="258"/>
        <v>0</v>
      </c>
      <c r="BL412" s="3123">
        <f t="shared" si="259"/>
        <v>0</v>
      </c>
      <c r="BM412" s="3123">
        <f t="shared" si="260"/>
        <v>0</v>
      </c>
      <c r="BN412" s="3123">
        <f t="shared" si="261"/>
        <v>0</v>
      </c>
      <c r="BO412" s="3123">
        <f t="shared" si="262"/>
        <v>0</v>
      </c>
      <c r="BP412" s="3123">
        <f t="shared" si="263"/>
        <v>0</v>
      </c>
      <c r="BQ412" s="3123">
        <f t="shared" si="264"/>
        <v>0</v>
      </c>
      <c r="BR412" s="3123">
        <f t="shared" si="265"/>
        <v>0</v>
      </c>
      <c r="BS412" s="3123">
        <f t="shared" si="266"/>
        <v>0</v>
      </c>
      <c r="BT412" s="3175">
        <f t="shared" si="267"/>
        <v>0</v>
      </c>
    </row>
    <row r="413" spans="1:72">
      <c r="A413" s="3120"/>
      <c r="B413" s="3121"/>
      <c r="C413" s="3121"/>
      <c r="D413" s="3122"/>
      <c r="E413" s="3123">
        <f t="shared" si="239"/>
        <v>0</v>
      </c>
      <c r="F413" s="3124"/>
      <c r="G413" s="3125">
        <f t="shared" si="240"/>
        <v>0</v>
      </c>
      <c r="H413" s="3126">
        <f t="shared" si="241"/>
        <v>0</v>
      </c>
      <c r="I413" s="3133"/>
      <c r="J413" s="3133"/>
      <c r="K413" s="3133"/>
      <c r="L413" s="3133"/>
      <c r="M413" s="3133"/>
      <c r="N413" s="3133"/>
      <c r="O413" s="3133"/>
      <c r="P413" s="3133"/>
      <c r="Q413" s="3133"/>
      <c r="R413" s="3133"/>
      <c r="S413" s="3133"/>
      <c r="T413" s="3133"/>
      <c r="U413" s="3133"/>
      <c r="V413" s="3133"/>
      <c r="W413" s="3133"/>
      <c r="X413" s="3133"/>
      <c r="Y413" s="3133"/>
      <c r="Z413" s="3133"/>
      <c r="AA413" s="3133"/>
      <c r="AB413" s="3133"/>
      <c r="AC413" s="3123">
        <f t="shared" si="242"/>
        <v>0</v>
      </c>
      <c r="AD413" s="3143"/>
      <c r="AE413" s="3143"/>
      <c r="AF413" s="3143"/>
      <c r="AG413" s="3143"/>
      <c r="AH413" s="3143"/>
      <c r="AI413" s="3143"/>
      <c r="AJ413" s="3143"/>
      <c r="AK413" s="3143"/>
      <c r="AL413" s="3143"/>
      <c r="AM413" s="3143"/>
      <c r="AN413" s="3143"/>
      <c r="AO413" s="3143"/>
      <c r="AP413" s="3143"/>
      <c r="AQ413" s="3143"/>
      <c r="AR413" s="3143"/>
      <c r="AS413" s="3143"/>
      <c r="AT413" s="3153"/>
      <c r="AU413" s="3154"/>
      <c r="AV413" s="270">
        <f t="shared" si="243"/>
        <v>0</v>
      </c>
      <c r="AW413" s="270">
        <f t="shared" si="244"/>
        <v>0</v>
      </c>
      <c r="AX413" s="270">
        <f t="shared" si="245"/>
        <v>0</v>
      </c>
      <c r="AY413" s="3168">
        <f t="shared" si="246"/>
        <v>0</v>
      </c>
      <c r="AZ413" s="3123">
        <f t="shared" si="247"/>
        <v>0</v>
      </c>
      <c r="BA413" s="3123">
        <f t="shared" si="248"/>
        <v>0</v>
      </c>
      <c r="BB413" s="3123">
        <f t="shared" si="249"/>
        <v>0</v>
      </c>
      <c r="BC413" s="3123">
        <f t="shared" si="250"/>
        <v>0</v>
      </c>
      <c r="BD413" s="3123">
        <f t="shared" si="251"/>
        <v>0</v>
      </c>
      <c r="BE413" s="3123">
        <f t="shared" si="252"/>
        <v>0</v>
      </c>
      <c r="BF413" s="3123">
        <f t="shared" si="253"/>
        <v>0</v>
      </c>
      <c r="BG413" s="3123">
        <f t="shared" si="254"/>
        <v>0</v>
      </c>
      <c r="BH413" s="3123">
        <f t="shared" si="255"/>
        <v>0</v>
      </c>
      <c r="BI413" s="3123">
        <f t="shared" si="256"/>
        <v>0</v>
      </c>
      <c r="BJ413" s="3123">
        <f t="shared" si="257"/>
        <v>0</v>
      </c>
      <c r="BK413" s="3123">
        <f t="shared" si="258"/>
        <v>0</v>
      </c>
      <c r="BL413" s="3123">
        <f t="shared" si="259"/>
        <v>0</v>
      </c>
      <c r="BM413" s="3123">
        <f t="shared" si="260"/>
        <v>0</v>
      </c>
      <c r="BN413" s="3123">
        <f t="shared" si="261"/>
        <v>0</v>
      </c>
      <c r="BO413" s="3123">
        <f t="shared" si="262"/>
        <v>0</v>
      </c>
      <c r="BP413" s="3123">
        <f t="shared" si="263"/>
        <v>0</v>
      </c>
      <c r="BQ413" s="3123">
        <f t="shared" si="264"/>
        <v>0</v>
      </c>
      <c r="BR413" s="3123">
        <f t="shared" si="265"/>
        <v>0</v>
      </c>
      <c r="BS413" s="3123">
        <f t="shared" si="266"/>
        <v>0</v>
      </c>
      <c r="BT413" s="3175">
        <f t="shared" si="267"/>
        <v>0</v>
      </c>
    </row>
    <row r="414" spans="1:72">
      <c r="A414" s="3120"/>
      <c r="B414" s="3121"/>
      <c r="C414" s="3121"/>
      <c r="D414" s="3122"/>
      <c r="E414" s="3123">
        <f t="shared" si="239"/>
        <v>0</v>
      </c>
      <c r="F414" s="3124"/>
      <c r="G414" s="3125">
        <f t="shared" si="240"/>
        <v>0</v>
      </c>
      <c r="H414" s="3126">
        <f t="shared" si="241"/>
        <v>0</v>
      </c>
      <c r="I414" s="3133"/>
      <c r="J414" s="3133"/>
      <c r="K414" s="3133"/>
      <c r="L414" s="3133"/>
      <c r="M414" s="3133"/>
      <c r="N414" s="3133"/>
      <c r="O414" s="3133"/>
      <c r="P414" s="3133"/>
      <c r="Q414" s="3133"/>
      <c r="R414" s="3133"/>
      <c r="S414" s="3133"/>
      <c r="T414" s="3133"/>
      <c r="U414" s="3133"/>
      <c r="V414" s="3133"/>
      <c r="W414" s="3133"/>
      <c r="X414" s="3133"/>
      <c r="Y414" s="3133"/>
      <c r="Z414" s="3133"/>
      <c r="AA414" s="3133"/>
      <c r="AB414" s="3133"/>
      <c r="AC414" s="3123">
        <f t="shared" si="242"/>
        <v>0</v>
      </c>
      <c r="AD414" s="3143"/>
      <c r="AE414" s="3143"/>
      <c r="AF414" s="3143"/>
      <c r="AG414" s="3143"/>
      <c r="AH414" s="3143"/>
      <c r="AI414" s="3143"/>
      <c r="AJ414" s="3143"/>
      <c r="AK414" s="3143"/>
      <c r="AL414" s="3143"/>
      <c r="AM414" s="3143"/>
      <c r="AN414" s="3143"/>
      <c r="AO414" s="3143"/>
      <c r="AP414" s="3143"/>
      <c r="AQ414" s="3143"/>
      <c r="AR414" s="3143"/>
      <c r="AS414" s="3143"/>
      <c r="AT414" s="3153"/>
      <c r="AU414" s="3154"/>
      <c r="AV414" s="270">
        <f t="shared" si="243"/>
        <v>0</v>
      </c>
      <c r="AW414" s="270">
        <f t="shared" si="244"/>
        <v>0</v>
      </c>
      <c r="AX414" s="270">
        <f t="shared" si="245"/>
        <v>0</v>
      </c>
      <c r="AY414" s="3168">
        <f t="shared" si="246"/>
        <v>0</v>
      </c>
      <c r="AZ414" s="3123">
        <f t="shared" si="247"/>
        <v>0</v>
      </c>
      <c r="BA414" s="3123">
        <f t="shared" si="248"/>
        <v>0</v>
      </c>
      <c r="BB414" s="3123">
        <f t="shared" si="249"/>
        <v>0</v>
      </c>
      <c r="BC414" s="3123">
        <f t="shared" si="250"/>
        <v>0</v>
      </c>
      <c r="BD414" s="3123">
        <f t="shared" si="251"/>
        <v>0</v>
      </c>
      <c r="BE414" s="3123">
        <f t="shared" si="252"/>
        <v>0</v>
      </c>
      <c r="BF414" s="3123">
        <f t="shared" si="253"/>
        <v>0</v>
      </c>
      <c r="BG414" s="3123">
        <f t="shared" si="254"/>
        <v>0</v>
      </c>
      <c r="BH414" s="3123">
        <f t="shared" si="255"/>
        <v>0</v>
      </c>
      <c r="BI414" s="3123">
        <f t="shared" si="256"/>
        <v>0</v>
      </c>
      <c r="BJ414" s="3123">
        <f t="shared" si="257"/>
        <v>0</v>
      </c>
      <c r="BK414" s="3123">
        <f t="shared" si="258"/>
        <v>0</v>
      </c>
      <c r="BL414" s="3123">
        <f t="shared" si="259"/>
        <v>0</v>
      </c>
      <c r="BM414" s="3123">
        <f t="shared" si="260"/>
        <v>0</v>
      </c>
      <c r="BN414" s="3123">
        <f t="shared" si="261"/>
        <v>0</v>
      </c>
      <c r="BO414" s="3123">
        <f t="shared" si="262"/>
        <v>0</v>
      </c>
      <c r="BP414" s="3123">
        <f t="shared" si="263"/>
        <v>0</v>
      </c>
      <c r="BQ414" s="3123">
        <f t="shared" si="264"/>
        <v>0</v>
      </c>
      <c r="BR414" s="3123">
        <f t="shared" si="265"/>
        <v>0</v>
      </c>
      <c r="BS414" s="3123">
        <f t="shared" si="266"/>
        <v>0</v>
      </c>
      <c r="BT414" s="3175">
        <f t="shared" si="267"/>
        <v>0</v>
      </c>
    </row>
    <row r="415" spans="1:72">
      <c r="A415" s="3120"/>
      <c r="B415" s="3121"/>
      <c r="C415" s="3121"/>
      <c r="D415" s="3122"/>
      <c r="E415" s="3123">
        <f t="shared" si="239"/>
        <v>0</v>
      </c>
      <c r="F415" s="3124"/>
      <c r="G415" s="3125">
        <f t="shared" si="240"/>
        <v>0</v>
      </c>
      <c r="H415" s="3126">
        <f t="shared" si="241"/>
        <v>0</v>
      </c>
      <c r="I415" s="3133"/>
      <c r="J415" s="3133"/>
      <c r="K415" s="3133"/>
      <c r="L415" s="3133"/>
      <c r="M415" s="3133"/>
      <c r="N415" s="3133"/>
      <c r="O415" s="3133"/>
      <c r="P415" s="3133"/>
      <c r="Q415" s="3133"/>
      <c r="R415" s="3133"/>
      <c r="S415" s="3133"/>
      <c r="T415" s="3133"/>
      <c r="U415" s="3133"/>
      <c r="V415" s="3133"/>
      <c r="W415" s="3133"/>
      <c r="X415" s="3133"/>
      <c r="Y415" s="3133"/>
      <c r="Z415" s="3133"/>
      <c r="AA415" s="3133"/>
      <c r="AB415" s="3133"/>
      <c r="AC415" s="3123">
        <f t="shared" si="242"/>
        <v>0</v>
      </c>
      <c r="AD415" s="3143"/>
      <c r="AE415" s="3143"/>
      <c r="AF415" s="3143"/>
      <c r="AG415" s="3143"/>
      <c r="AH415" s="3143"/>
      <c r="AI415" s="3143"/>
      <c r="AJ415" s="3143"/>
      <c r="AK415" s="3143"/>
      <c r="AL415" s="3143"/>
      <c r="AM415" s="3143"/>
      <c r="AN415" s="3143"/>
      <c r="AO415" s="3143"/>
      <c r="AP415" s="3143"/>
      <c r="AQ415" s="3143"/>
      <c r="AR415" s="3143"/>
      <c r="AS415" s="3143"/>
      <c r="AT415" s="3153"/>
      <c r="AU415" s="3154"/>
      <c r="AV415" s="270">
        <f t="shared" si="243"/>
        <v>0</v>
      </c>
      <c r="AW415" s="270">
        <f t="shared" si="244"/>
        <v>0</v>
      </c>
      <c r="AX415" s="270">
        <f t="shared" si="245"/>
        <v>0</v>
      </c>
      <c r="AY415" s="3168">
        <f t="shared" si="246"/>
        <v>0</v>
      </c>
      <c r="AZ415" s="3123">
        <f t="shared" si="247"/>
        <v>0</v>
      </c>
      <c r="BA415" s="3123">
        <f t="shared" si="248"/>
        <v>0</v>
      </c>
      <c r="BB415" s="3123">
        <f t="shared" si="249"/>
        <v>0</v>
      </c>
      <c r="BC415" s="3123">
        <f t="shared" si="250"/>
        <v>0</v>
      </c>
      <c r="BD415" s="3123">
        <f t="shared" si="251"/>
        <v>0</v>
      </c>
      <c r="BE415" s="3123">
        <f t="shared" si="252"/>
        <v>0</v>
      </c>
      <c r="BF415" s="3123">
        <f t="shared" si="253"/>
        <v>0</v>
      </c>
      <c r="BG415" s="3123">
        <f t="shared" si="254"/>
        <v>0</v>
      </c>
      <c r="BH415" s="3123">
        <f t="shared" si="255"/>
        <v>0</v>
      </c>
      <c r="BI415" s="3123">
        <f t="shared" si="256"/>
        <v>0</v>
      </c>
      <c r="BJ415" s="3123">
        <f t="shared" si="257"/>
        <v>0</v>
      </c>
      <c r="BK415" s="3123">
        <f t="shared" si="258"/>
        <v>0</v>
      </c>
      <c r="BL415" s="3123">
        <f t="shared" si="259"/>
        <v>0</v>
      </c>
      <c r="BM415" s="3123">
        <f t="shared" si="260"/>
        <v>0</v>
      </c>
      <c r="BN415" s="3123">
        <f t="shared" si="261"/>
        <v>0</v>
      </c>
      <c r="BO415" s="3123">
        <f t="shared" si="262"/>
        <v>0</v>
      </c>
      <c r="BP415" s="3123">
        <f t="shared" si="263"/>
        <v>0</v>
      </c>
      <c r="BQ415" s="3123">
        <f t="shared" si="264"/>
        <v>0</v>
      </c>
      <c r="BR415" s="3123">
        <f t="shared" si="265"/>
        <v>0</v>
      </c>
      <c r="BS415" s="3123">
        <f t="shared" si="266"/>
        <v>0</v>
      </c>
      <c r="BT415" s="3175">
        <f t="shared" si="267"/>
        <v>0</v>
      </c>
    </row>
    <row r="416" spans="1:72">
      <c r="A416" s="3120"/>
      <c r="B416" s="3121"/>
      <c r="C416" s="3121"/>
      <c r="D416" s="3122"/>
      <c r="E416" s="3123">
        <f t="shared" si="239"/>
        <v>0</v>
      </c>
      <c r="F416" s="3124"/>
      <c r="G416" s="3125">
        <f t="shared" si="240"/>
        <v>0</v>
      </c>
      <c r="H416" s="3126">
        <f t="shared" si="241"/>
        <v>0</v>
      </c>
      <c r="I416" s="3133"/>
      <c r="J416" s="3133"/>
      <c r="K416" s="3133"/>
      <c r="L416" s="3133"/>
      <c r="M416" s="3133"/>
      <c r="N416" s="3133"/>
      <c r="O416" s="3133"/>
      <c r="P416" s="3133"/>
      <c r="Q416" s="3133"/>
      <c r="R416" s="3133"/>
      <c r="S416" s="3133"/>
      <c r="T416" s="3133"/>
      <c r="U416" s="3133"/>
      <c r="V416" s="3133"/>
      <c r="W416" s="3133"/>
      <c r="X416" s="3133"/>
      <c r="Y416" s="3133"/>
      <c r="Z416" s="3133"/>
      <c r="AA416" s="3133"/>
      <c r="AB416" s="3133"/>
      <c r="AC416" s="3123">
        <f t="shared" si="242"/>
        <v>0</v>
      </c>
      <c r="AD416" s="3143"/>
      <c r="AE416" s="3143"/>
      <c r="AF416" s="3143"/>
      <c r="AG416" s="3143"/>
      <c r="AH416" s="3143"/>
      <c r="AI416" s="3143"/>
      <c r="AJ416" s="3143"/>
      <c r="AK416" s="3143"/>
      <c r="AL416" s="3143"/>
      <c r="AM416" s="3143"/>
      <c r="AN416" s="3143"/>
      <c r="AO416" s="3143"/>
      <c r="AP416" s="3143"/>
      <c r="AQ416" s="3143"/>
      <c r="AR416" s="3143"/>
      <c r="AS416" s="3143"/>
      <c r="AT416" s="3153"/>
      <c r="AU416" s="3154"/>
      <c r="AV416" s="270">
        <f t="shared" si="243"/>
        <v>0</v>
      </c>
      <c r="AW416" s="270">
        <f t="shared" si="244"/>
        <v>0</v>
      </c>
      <c r="AX416" s="270">
        <f t="shared" si="245"/>
        <v>0</v>
      </c>
      <c r="AY416" s="3168">
        <f t="shared" si="246"/>
        <v>0</v>
      </c>
      <c r="AZ416" s="3123">
        <f t="shared" si="247"/>
        <v>0</v>
      </c>
      <c r="BA416" s="3123">
        <f t="shared" si="248"/>
        <v>0</v>
      </c>
      <c r="BB416" s="3123">
        <f t="shared" si="249"/>
        <v>0</v>
      </c>
      <c r="BC416" s="3123">
        <f t="shared" si="250"/>
        <v>0</v>
      </c>
      <c r="BD416" s="3123">
        <f t="shared" si="251"/>
        <v>0</v>
      </c>
      <c r="BE416" s="3123">
        <f t="shared" si="252"/>
        <v>0</v>
      </c>
      <c r="BF416" s="3123">
        <f t="shared" si="253"/>
        <v>0</v>
      </c>
      <c r="BG416" s="3123">
        <f t="shared" si="254"/>
        <v>0</v>
      </c>
      <c r="BH416" s="3123">
        <f t="shared" si="255"/>
        <v>0</v>
      </c>
      <c r="BI416" s="3123">
        <f t="shared" si="256"/>
        <v>0</v>
      </c>
      <c r="BJ416" s="3123">
        <f t="shared" si="257"/>
        <v>0</v>
      </c>
      <c r="BK416" s="3123">
        <f t="shared" si="258"/>
        <v>0</v>
      </c>
      <c r="BL416" s="3123">
        <f t="shared" si="259"/>
        <v>0</v>
      </c>
      <c r="BM416" s="3123">
        <f t="shared" si="260"/>
        <v>0</v>
      </c>
      <c r="BN416" s="3123">
        <f t="shared" si="261"/>
        <v>0</v>
      </c>
      <c r="BO416" s="3123">
        <f t="shared" si="262"/>
        <v>0</v>
      </c>
      <c r="BP416" s="3123">
        <f t="shared" si="263"/>
        <v>0</v>
      </c>
      <c r="BQ416" s="3123">
        <f t="shared" si="264"/>
        <v>0</v>
      </c>
      <c r="BR416" s="3123">
        <f t="shared" si="265"/>
        <v>0</v>
      </c>
      <c r="BS416" s="3123">
        <f t="shared" si="266"/>
        <v>0</v>
      </c>
      <c r="BT416" s="3175">
        <f t="shared" si="267"/>
        <v>0</v>
      </c>
    </row>
    <row r="417" spans="1:72">
      <c r="A417" s="3120"/>
      <c r="B417" s="3121"/>
      <c r="C417" s="3121"/>
      <c r="D417" s="3122"/>
      <c r="E417" s="3123">
        <f t="shared" si="239"/>
        <v>0</v>
      </c>
      <c r="F417" s="3124"/>
      <c r="G417" s="3125">
        <f t="shared" si="240"/>
        <v>0</v>
      </c>
      <c r="H417" s="3126">
        <f t="shared" si="241"/>
        <v>0</v>
      </c>
      <c r="I417" s="3133"/>
      <c r="J417" s="3133"/>
      <c r="K417" s="3133"/>
      <c r="L417" s="3133"/>
      <c r="M417" s="3133"/>
      <c r="N417" s="3133"/>
      <c r="O417" s="3133"/>
      <c r="P417" s="3133"/>
      <c r="Q417" s="3133"/>
      <c r="R417" s="3133"/>
      <c r="S417" s="3133"/>
      <c r="T417" s="3133"/>
      <c r="U417" s="3133"/>
      <c r="V417" s="3133"/>
      <c r="W417" s="3133"/>
      <c r="X417" s="3133"/>
      <c r="Y417" s="3133"/>
      <c r="Z417" s="3133"/>
      <c r="AA417" s="3133"/>
      <c r="AB417" s="3133"/>
      <c r="AC417" s="3123">
        <f t="shared" si="242"/>
        <v>0</v>
      </c>
      <c r="AD417" s="3143"/>
      <c r="AE417" s="3143"/>
      <c r="AF417" s="3143"/>
      <c r="AG417" s="3143"/>
      <c r="AH417" s="3143"/>
      <c r="AI417" s="3143"/>
      <c r="AJ417" s="3143"/>
      <c r="AK417" s="3143"/>
      <c r="AL417" s="3143"/>
      <c r="AM417" s="3143"/>
      <c r="AN417" s="3143"/>
      <c r="AO417" s="3143"/>
      <c r="AP417" s="3143"/>
      <c r="AQ417" s="3143"/>
      <c r="AR417" s="3143"/>
      <c r="AS417" s="3143"/>
      <c r="AT417" s="3153"/>
      <c r="AU417" s="3154"/>
      <c r="AV417" s="270">
        <f t="shared" si="243"/>
        <v>0</v>
      </c>
      <c r="AW417" s="270">
        <f t="shared" si="244"/>
        <v>0</v>
      </c>
      <c r="AX417" s="270">
        <f t="shared" si="245"/>
        <v>0</v>
      </c>
      <c r="AY417" s="3168">
        <f t="shared" si="246"/>
        <v>0</v>
      </c>
      <c r="AZ417" s="3123">
        <f t="shared" si="247"/>
        <v>0</v>
      </c>
      <c r="BA417" s="3123">
        <f t="shared" si="248"/>
        <v>0</v>
      </c>
      <c r="BB417" s="3123">
        <f t="shared" si="249"/>
        <v>0</v>
      </c>
      <c r="BC417" s="3123">
        <f t="shared" si="250"/>
        <v>0</v>
      </c>
      <c r="BD417" s="3123">
        <f t="shared" si="251"/>
        <v>0</v>
      </c>
      <c r="BE417" s="3123">
        <f t="shared" si="252"/>
        <v>0</v>
      </c>
      <c r="BF417" s="3123">
        <f t="shared" si="253"/>
        <v>0</v>
      </c>
      <c r="BG417" s="3123">
        <f t="shared" si="254"/>
        <v>0</v>
      </c>
      <c r="BH417" s="3123">
        <f t="shared" si="255"/>
        <v>0</v>
      </c>
      <c r="BI417" s="3123">
        <f t="shared" si="256"/>
        <v>0</v>
      </c>
      <c r="BJ417" s="3123">
        <f t="shared" si="257"/>
        <v>0</v>
      </c>
      <c r="BK417" s="3123">
        <f t="shared" si="258"/>
        <v>0</v>
      </c>
      <c r="BL417" s="3123">
        <f t="shared" si="259"/>
        <v>0</v>
      </c>
      <c r="BM417" s="3123">
        <f t="shared" si="260"/>
        <v>0</v>
      </c>
      <c r="BN417" s="3123">
        <f t="shared" si="261"/>
        <v>0</v>
      </c>
      <c r="BO417" s="3123">
        <f t="shared" si="262"/>
        <v>0</v>
      </c>
      <c r="BP417" s="3123">
        <f t="shared" si="263"/>
        <v>0</v>
      </c>
      <c r="BQ417" s="3123">
        <f t="shared" si="264"/>
        <v>0</v>
      </c>
      <c r="BR417" s="3123">
        <f t="shared" si="265"/>
        <v>0</v>
      </c>
      <c r="BS417" s="3123">
        <f t="shared" si="266"/>
        <v>0</v>
      </c>
      <c r="BT417" s="3175">
        <f t="shared" si="267"/>
        <v>0</v>
      </c>
    </row>
    <row r="418" spans="1:72">
      <c r="A418" s="3120"/>
      <c r="B418" s="3121"/>
      <c r="C418" s="3121"/>
      <c r="D418" s="3122"/>
      <c r="E418" s="3123">
        <f t="shared" si="239"/>
        <v>0</v>
      </c>
      <c r="F418" s="3124"/>
      <c r="G418" s="3125">
        <f t="shared" si="240"/>
        <v>0</v>
      </c>
      <c r="H418" s="3126">
        <f t="shared" si="241"/>
        <v>0</v>
      </c>
      <c r="I418" s="3133"/>
      <c r="J418" s="3133"/>
      <c r="K418" s="3133"/>
      <c r="L418" s="3133"/>
      <c r="M418" s="3133"/>
      <c r="N418" s="3133"/>
      <c r="O418" s="3133"/>
      <c r="P418" s="3133"/>
      <c r="Q418" s="3133"/>
      <c r="R418" s="3133"/>
      <c r="S418" s="3133"/>
      <c r="T418" s="3133"/>
      <c r="U418" s="3133"/>
      <c r="V418" s="3133"/>
      <c r="W418" s="3133"/>
      <c r="X418" s="3133"/>
      <c r="Y418" s="3133"/>
      <c r="Z418" s="3133"/>
      <c r="AA418" s="3133"/>
      <c r="AB418" s="3133"/>
      <c r="AC418" s="3123">
        <f t="shared" si="242"/>
        <v>0</v>
      </c>
      <c r="AD418" s="3143"/>
      <c r="AE418" s="3143"/>
      <c r="AF418" s="3143"/>
      <c r="AG418" s="3143"/>
      <c r="AH418" s="3143"/>
      <c r="AI418" s="3143"/>
      <c r="AJ418" s="3143"/>
      <c r="AK418" s="3143"/>
      <c r="AL418" s="3143"/>
      <c r="AM418" s="3143"/>
      <c r="AN418" s="3143"/>
      <c r="AO418" s="3143"/>
      <c r="AP418" s="3143"/>
      <c r="AQ418" s="3143"/>
      <c r="AR418" s="3143"/>
      <c r="AS418" s="3143"/>
      <c r="AT418" s="3153"/>
      <c r="AU418" s="3154"/>
      <c r="AV418" s="270">
        <f t="shared" si="243"/>
        <v>0</v>
      </c>
      <c r="AW418" s="270">
        <f t="shared" si="244"/>
        <v>0</v>
      </c>
      <c r="AX418" s="270">
        <f t="shared" si="245"/>
        <v>0</v>
      </c>
      <c r="AY418" s="3168">
        <f t="shared" si="246"/>
        <v>0</v>
      </c>
      <c r="AZ418" s="3123">
        <f t="shared" si="247"/>
        <v>0</v>
      </c>
      <c r="BA418" s="3123">
        <f t="shared" si="248"/>
        <v>0</v>
      </c>
      <c r="BB418" s="3123">
        <f t="shared" si="249"/>
        <v>0</v>
      </c>
      <c r="BC418" s="3123">
        <f t="shared" si="250"/>
        <v>0</v>
      </c>
      <c r="BD418" s="3123">
        <f t="shared" si="251"/>
        <v>0</v>
      </c>
      <c r="BE418" s="3123">
        <f t="shared" si="252"/>
        <v>0</v>
      </c>
      <c r="BF418" s="3123">
        <f t="shared" si="253"/>
        <v>0</v>
      </c>
      <c r="BG418" s="3123">
        <f t="shared" si="254"/>
        <v>0</v>
      </c>
      <c r="BH418" s="3123">
        <f t="shared" si="255"/>
        <v>0</v>
      </c>
      <c r="BI418" s="3123">
        <f t="shared" si="256"/>
        <v>0</v>
      </c>
      <c r="BJ418" s="3123">
        <f t="shared" si="257"/>
        <v>0</v>
      </c>
      <c r="BK418" s="3123">
        <f t="shared" si="258"/>
        <v>0</v>
      </c>
      <c r="BL418" s="3123">
        <f t="shared" si="259"/>
        <v>0</v>
      </c>
      <c r="BM418" s="3123">
        <f t="shared" si="260"/>
        <v>0</v>
      </c>
      <c r="BN418" s="3123">
        <f t="shared" si="261"/>
        <v>0</v>
      </c>
      <c r="BO418" s="3123">
        <f t="shared" si="262"/>
        <v>0</v>
      </c>
      <c r="BP418" s="3123">
        <f t="shared" si="263"/>
        <v>0</v>
      </c>
      <c r="BQ418" s="3123">
        <f t="shared" si="264"/>
        <v>0</v>
      </c>
      <c r="BR418" s="3123">
        <f t="shared" si="265"/>
        <v>0</v>
      </c>
      <c r="BS418" s="3123">
        <f t="shared" si="266"/>
        <v>0</v>
      </c>
      <c r="BT418" s="3175">
        <f t="shared" si="267"/>
        <v>0</v>
      </c>
    </row>
    <row r="419" spans="1:72">
      <c r="A419" s="3120"/>
      <c r="B419" s="3121"/>
      <c r="C419" s="3121"/>
      <c r="D419" s="3122"/>
      <c r="E419" s="3123">
        <f t="shared" si="239"/>
        <v>0</v>
      </c>
      <c r="F419" s="3124"/>
      <c r="G419" s="3125">
        <f t="shared" si="240"/>
        <v>0</v>
      </c>
      <c r="H419" s="3126">
        <f t="shared" si="241"/>
        <v>0</v>
      </c>
      <c r="I419" s="3133"/>
      <c r="J419" s="3133"/>
      <c r="K419" s="3133"/>
      <c r="L419" s="3133"/>
      <c r="M419" s="3133"/>
      <c r="N419" s="3133"/>
      <c r="O419" s="3133"/>
      <c r="P419" s="3133"/>
      <c r="Q419" s="3133"/>
      <c r="R419" s="3133"/>
      <c r="S419" s="3133"/>
      <c r="T419" s="3133"/>
      <c r="U419" s="3133"/>
      <c r="V419" s="3133"/>
      <c r="W419" s="3133"/>
      <c r="X419" s="3133"/>
      <c r="Y419" s="3133"/>
      <c r="Z419" s="3133"/>
      <c r="AA419" s="3133"/>
      <c r="AB419" s="3133"/>
      <c r="AC419" s="3123">
        <f t="shared" si="242"/>
        <v>0</v>
      </c>
      <c r="AD419" s="3143"/>
      <c r="AE419" s="3143"/>
      <c r="AF419" s="3143"/>
      <c r="AG419" s="3143"/>
      <c r="AH419" s="3143"/>
      <c r="AI419" s="3143"/>
      <c r="AJ419" s="3143"/>
      <c r="AK419" s="3143"/>
      <c r="AL419" s="3143"/>
      <c r="AM419" s="3143"/>
      <c r="AN419" s="3143"/>
      <c r="AO419" s="3143"/>
      <c r="AP419" s="3143"/>
      <c r="AQ419" s="3143"/>
      <c r="AR419" s="3143"/>
      <c r="AS419" s="3143"/>
      <c r="AT419" s="3153"/>
      <c r="AU419" s="3154"/>
      <c r="AV419" s="270">
        <f t="shared" si="243"/>
        <v>0</v>
      </c>
      <c r="AW419" s="270">
        <f t="shared" si="244"/>
        <v>0</v>
      </c>
      <c r="AX419" s="270">
        <f t="shared" si="245"/>
        <v>0</v>
      </c>
      <c r="AY419" s="3168">
        <f t="shared" si="246"/>
        <v>0</v>
      </c>
      <c r="AZ419" s="3123">
        <f t="shared" si="247"/>
        <v>0</v>
      </c>
      <c r="BA419" s="3123">
        <f t="shared" si="248"/>
        <v>0</v>
      </c>
      <c r="BB419" s="3123">
        <f t="shared" si="249"/>
        <v>0</v>
      </c>
      <c r="BC419" s="3123">
        <f t="shared" si="250"/>
        <v>0</v>
      </c>
      <c r="BD419" s="3123">
        <f t="shared" si="251"/>
        <v>0</v>
      </c>
      <c r="BE419" s="3123">
        <f t="shared" si="252"/>
        <v>0</v>
      </c>
      <c r="BF419" s="3123">
        <f t="shared" si="253"/>
        <v>0</v>
      </c>
      <c r="BG419" s="3123">
        <f t="shared" si="254"/>
        <v>0</v>
      </c>
      <c r="BH419" s="3123">
        <f t="shared" si="255"/>
        <v>0</v>
      </c>
      <c r="BI419" s="3123">
        <f t="shared" si="256"/>
        <v>0</v>
      </c>
      <c r="BJ419" s="3123">
        <f t="shared" si="257"/>
        <v>0</v>
      </c>
      <c r="BK419" s="3123">
        <f t="shared" si="258"/>
        <v>0</v>
      </c>
      <c r="BL419" s="3123">
        <f t="shared" si="259"/>
        <v>0</v>
      </c>
      <c r="BM419" s="3123">
        <f t="shared" si="260"/>
        <v>0</v>
      </c>
      <c r="BN419" s="3123">
        <f t="shared" si="261"/>
        <v>0</v>
      </c>
      <c r="BO419" s="3123">
        <f t="shared" si="262"/>
        <v>0</v>
      </c>
      <c r="BP419" s="3123">
        <f t="shared" si="263"/>
        <v>0</v>
      </c>
      <c r="BQ419" s="3123">
        <f t="shared" si="264"/>
        <v>0</v>
      </c>
      <c r="BR419" s="3123">
        <f t="shared" si="265"/>
        <v>0</v>
      </c>
      <c r="BS419" s="3123">
        <f t="shared" si="266"/>
        <v>0</v>
      </c>
      <c r="BT419" s="3175">
        <f t="shared" si="267"/>
        <v>0</v>
      </c>
    </row>
    <row r="420" spans="1:72">
      <c r="A420" s="3120"/>
      <c r="B420" s="3121"/>
      <c r="C420" s="3121"/>
      <c r="D420" s="3122"/>
      <c r="E420" s="3123">
        <f t="shared" si="239"/>
        <v>0</v>
      </c>
      <c r="F420" s="3124"/>
      <c r="G420" s="3125">
        <f t="shared" si="240"/>
        <v>0</v>
      </c>
      <c r="H420" s="3126">
        <f t="shared" si="241"/>
        <v>0</v>
      </c>
      <c r="I420" s="3133"/>
      <c r="J420" s="3133"/>
      <c r="K420" s="3133"/>
      <c r="L420" s="3133"/>
      <c r="M420" s="3133"/>
      <c r="N420" s="3133"/>
      <c r="O420" s="3133"/>
      <c r="P420" s="3133"/>
      <c r="Q420" s="3133"/>
      <c r="R420" s="3133"/>
      <c r="S420" s="3133"/>
      <c r="T420" s="3133"/>
      <c r="U420" s="3133"/>
      <c r="V420" s="3133"/>
      <c r="W420" s="3133"/>
      <c r="X420" s="3133"/>
      <c r="Y420" s="3133"/>
      <c r="Z420" s="3133"/>
      <c r="AA420" s="3133"/>
      <c r="AB420" s="3133"/>
      <c r="AC420" s="3123">
        <f t="shared" si="242"/>
        <v>0</v>
      </c>
      <c r="AD420" s="3143"/>
      <c r="AE420" s="3143"/>
      <c r="AF420" s="3143"/>
      <c r="AG420" s="3143"/>
      <c r="AH420" s="3143"/>
      <c r="AI420" s="3143"/>
      <c r="AJ420" s="3143"/>
      <c r="AK420" s="3143"/>
      <c r="AL420" s="3143"/>
      <c r="AM420" s="3143"/>
      <c r="AN420" s="3143"/>
      <c r="AO420" s="3143"/>
      <c r="AP420" s="3143"/>
      <c r="AQ420" s="3143"/>
      <c r="AR420" s="3143"/>
      <c r="AS420" s="3143"/>
      <c r="AT420" s="3153"/>
      <c r="AU420" s="3154"/>
      <c r="AV420" s="270">
        <f t="shared" si="243"/>
        <v>0</v>
      </c>
      <c r="AW420" s="270">
        <f t="shared" si="244"/>
        <v>0</v>
      </c>
      <c r="AX420" s="270">
        <f t="shared" si="245"/>
        <v>0</v>
      </c>
      <c r="AY420" s="3168">
        <f t="shared" si="246"/>
        <v>0</v>
      </c>
      <c r="AZ420" s="3123">
        <f t="shared" si="247"/>
        <v>0</v>
      </c>
      <c r="BA420" s="3123">
        <f t="shared" si="248"/>
        <v>0</v>
      </c>
      <c r="BB420" s="3123">
        <f t="shared" si="249"/>
        <v>0</v>
      </c>
      <c r="BC420" s="3123">
        <f t="shared" si="250"/>
        <v>0</v>
      </c>
      <c r="BD420" s="3123">
        <f t="shared" si="251"/>
        <v>0</v>
      </c>
      <c r="BE420" s="3123">
        <f t="shared" si="252"/>
        <v>0</v>
      </c>
      <c r="BF420" s="3123">
        <f t="shared" si="253"/>
        <v>0</v>
      </c>
      <c r="BG420" s="3123">
        <f t="shared" si="254"/>
        <v>0</v>
      </c>
      <c r="BH420" s="3123">
        <f t="shared" si="255"/>
        <v>0</v>
      </c>
      <c r="BI420" s="3123">
        <f t="shared" si="256"/>
        <v>0</v>
      </c>
      <c r="BJ420" s="3123">
        <f t="shared" si="257"/>
        <v>0</v>
      </c>
      <c r="BK420" s="3123">
        <f t="shared" si="258"/>
        <v>0</v>
      </c>
      <c r="BL420" s="3123">
        <f t="shared" si="259"/>
        <v>0</v>
      </c>
      <c r="BM420" s="3123">
        <f t="shared" si="260"/>
        <v>0</v>
      </c>
      <c r="BN420" s="3123">
        <f t="shared" si="261"/>
        <v>0</v>
      </c>
      <c r="BO420" s="3123">
        <f t="shared" si="262"/>
        <v>0</v>
      </c>
      <c r="BP420" s="3123">
        <f t="shared" si="263"/>
        <v>0</v>
      </c>
      <c r="BQ420" s="3123">
        <f t="shared" si="264"/>
        <v>0</v>
      </c>
      <c r="BR420" s="3123">
        <f t="shared" si="265"/>
        <v>0</v>
      </c>
      <c r="BS420" s="3123">
        <f t="shared" si="266"/>
        <v>0</v>
      </c>
      <c r="BT420" s="3175">
        <f t="shared" si="267"/>
        <v>0</v>
      </c>
    </row>
    <row r="421" spans="1:72">
      <c r="A421" s="3120"/>
      <c r="B421" s="3121"/>
      <c r="C421" s="3121"/>
      <c r="D421" s="3122"/>
      <c r="E421" s="3123">
        <f t="shared" si="239"/>
        <v>0</v>
      </c>
      <c r="F421" s="3124"/>
      <c r="G421" s="3125">
        <f t="shared" si="240"/>
        <v>0</v>
      </c>
      <c r="H421" s="3126">
        <f t="shared" si="241"/>
        <v>0</v>
      </c>
      <c r="I421" s="3133"/>
      <c r="J421" s="3133"/>
      <c r="K421" s="3133"/>
      <c r="L421" s="3133"/>
      <c r="M421" s="3133"/>
      <c r="N421" s="3133"/>
      <c r="O421" s="3133"/>
      <c r="P421" s="3133"/>
      <c r="Q421" s="3133"/>
      <c r="R421" s="3133"/>
      <c r="S421" s="3133"/>
      <c r="T421" s="3133"/>
      <c r="U421" s="3133"/>
      <c r="V421" s="3133"/>
      <c r="W421" s="3133"/>
      <c r="X421" s="3133"/>
      <c r="Y421" s="3133"/>
      <c r="Z421" s="3133"/>
      <c r="AA421" s="3133"/>
      <c r="AB421" s="3133"/>
      <c r="AC421" s="3123">
        <f t="shared" si="242"/>
        <v>0</v>
      </c>
      <c r="AD421" s="3143"/>
      <c r="AE421" s="3143"/>
      <c r="AF421" s="3143"/>
      <c r="AG421" s="3143"/>
      <c r="AH421" s="3143"/>
      <c r="AI421" s="3143"/>
      <c r="AJ421" s="3143"/>
      <c r="AK421" s="3143"/>
      <c r="AL421" s="3143"/>
      <c r="AM421" s="3143"/>
      <c r="AN421" s="3143"/>
      <c r="AO421" s="3143"/>
      <c r="AP421" s="3143"/>
      <c r="AQ421" s="3143"/>
      <c r="AR421" s="3143"/>
      <c r="AS421" s="3143"/>
      <c r="AT421" s="3153"/>
      <c r="AU421" s="3154"/>
      <c r="AV421" s="270">
        <f t="shared" si="243"/>
        <v>0</v>
      </c>
      <c r="AW421" s="270">
        <f t="shared" si="244"/>
        <v>0</v>
      </c>
      <c r="AX421" s="270">
        <f t="shared" si="245"/>
        <v>0</v>
      </c>
      <c r="AY421" s="3168">
        <f t="shared" si="246"/>
        <v>0</v>
      </c>
      <c r="AZ421" s="3123">
        <f t="shared" si="247"/>
        <v>0</v>
      </c>
      <c r="BA421" s="3123">
        <f t="shared" si="248"/>
        <v>0</v>
      </c>
      <c r="BB421" s="3123">
        <f t="shared" si="249"/>
        <v>0</v>
      </c>
      <c r="BC421" s="3123">
        <f t="shared" si="250"/>
        <v>0</v>
      </c>
      <c r="BD421" s="3123">
        <f t="shared" si="251"/>
        <v>0</v>
      </c>
      <c r="BE421" s="3123">
        <f t="shared" si="252"/>
        <v>0</v>
      </c>
      <c r="BF421" s="3123">
        <f t="shared" si="253"/>
        <v>0</v>
      </c>
      <c r="BG421" s="3123">
        <f t="shared" si="254"/>
        <v>0</v>
      </c>
      <c r="BH421" s="3123">
        <f t="shared" si="255"/>
        <v>0</v>
      </c>
      <c r="BI421" s="3123">
        <f t="shared" si="256"/>
        <v>0</v>
      </c>
      <c r="BJ421" s="3123">
        <f t="shared" si="257"/>
        <v>0</v>
      </c>
      <c r="BK421" s="3123">
        <f t="shared" si="258"/>
        <v>0</v>
      </c>
      <c r="BL421" s="3123">
        <f t="shared" si="259"/>
        <v>0</v>
      </c>
      <c r="BM421" s="3123">
        <f t="shared" si="260"/>
        <v>0</v>
      </c>
      <c r="BN421" s="3123">
        <f t="shared" si="261"/>
        <v>0</v>
      </c>
      <c r="BO421" s="3123">
        <f t="shared" si="262"/>
        <v>0</v>
      </c>
      <c r="BP421" s="3123">
        <f t="shared" si="263"/>
        <v>0</v>
      </c>
      <c r="BQ421" s="3123">
        <f t="shared" si="264"/>
        <v>0</v>
      </c>
      <c r="BR421" s="3123">
        <f t="shared" si="265"/>
        <v>0</v>
      </c>
      <c r="BS421" s="3123">
        <f t="shared" si="266"/>
        <v>0</v>
      </c>
      <c r="BT421" s="3175">
        <f t="shared" si="267"/>
        <v>0</v>
      </c>
    </row>
    <row r="422" spans="1:72">
      <c r="A422" s="3120"/>
      <c r="B422" s="3121"/>
      <c r="C422" s="3121"/>
      <c r="D422" s="3122"/>
      <c r="E422" s="3123">
        <f t="shared" si="239"/>
        <v>0</v>
      </c>
      <c r="F422" s="3124"/>
      <c r="G422" s="3125">
        <f t="shared" si="240"/>
        <v>0</v>
      </c>
      <c r="H422" s="3126">
        <f t="shared" si="241"/>
        <v>0</v>
      </c>
      <c r="I422" s="3133"/>
      <c r="J422" s="3133"/>
      <c r="K422" s="3133"/>
      <c r="L422" s="3133"/>
      <c r="M422" s="3133"/>
      <c r="N422" s="3133"/>
      <c r="O422" s="3133"/>
      <c r="P422" s="3133"/>
      <c r="Q422" s="3133"/>
      <c r="R422" s="3133"/>
      <c r="S422" s="3133"/>
      <c r="T422" s="3133"/>
      <c r="U422" s="3133"/>
      <c r="V422" s="3133"/>
      <c r="W422" s="3133"/>
      <c r="X422" s="3133"/>
      <c r="Y422" s="3133"/>
      <c r="Z422" s="3133"/>
      <c r="AA422" s="3133"/>
      <c r="AB422" s="3133"/>
      <c r="AC422" s="3123">
        <f t="shared" si="242"/>
        <v>0</v>
      </c>
      <c r="AD422" s="3143"/>
      <c r="AE422" s="3143"/>
      <c r="AF422" s="3143"/>
      <c r="AG422" s="3143"/>
      <c r="AH422" s="3143"/>
      <c r="AI422" s="3143"/>
      <c r="AJ422" s="3143"/>
      <c r="AK422" s="3143"/>
      <c r="AL422" s="3143"/>
      <c r="AM422" s="3143"/>
      <c r="AN422" s="3143"/>
      <c r="AO422" s="3143"/>
      <c r="AP422" s="3143"/>
      <c r="AQ422" s="3143"/>
      <c r="AR422" s="3143"/>
      <c r="AS422" s="3143"/>
      <c r="AT422" s="3153"/>
      <c r="AU422" s="3154"/>
      <c r="AV422" s="270">
        <f t="shared" si="243"/>
        <v>0</v>
      </c>
      <c r="AW422" s="270">
        <f t="shared" si="244"/>
        <v>0</v>
      </c>
      <c r="AX422" s="270">
        <f t="shared" si="245"/>
        <v>0</v>
      </c>
      <c r="AY422" s="3168">
        <f t="shared" si="246"/>
        <v>0</v>
      </c>
      <c r="AZ422" s="3123">
        <f t="shared" si="247"/>
        <v>0</v>
      </c>
      <c r="BA422" s="3123">
        <f t="shared" si="248"/>
        <v>0</v>
      </c>
      <c r="BB422" s="3123">
        <f t="shared" si="249"/>
        <v>0</v>
      </c>
      <c r="BC422" s="3123">
        <f t="shared" si="250"/>
        <v>0</v>
      </c>
      <c r="BD422" s="3123">
        <f t="shared" si="251"/>
        <v>0</v>
      </c>
      <c r="BE422" s="3123">
        <f t="shared" si="252"/>
        <v>0</v>
      </c>
      <c r="BF422" s="3123">
        <f t="shared" si="253"/>
        <v>0</v>
      </c>
      <c r="BG422" s="3123">
        <f t="shared" si="254"/>
        <v>0</v>
      </c>
      <c r="BH422" s="3123">
        <f t="shared" si="255"/>
        <v>0</v>
      </c>
      <c r="BI422" s="3123">
        <f t="shared" si="256"/>
        <v>0</v>
      </c>
      <c r="BJ422" s="3123">
        <f t="shared" si="257"/>
        <v>0</v>
      </c>
      <c r="BK422" s="3123">
        <f t="shared" si="258"/>
        <v>0</v>
      </c>
      <c r="BL422" s="3123">
        <f t="shared" si="259"/>
        <v>0</v>
      </c>
      <c r="BM422" s="3123">
        <f t="shared" si="260"/>
        <v>0</v>
      </c>
      <c r="BN422" s="3123">
        <f t="shared" si="261"/>
        <v>0</v>
      </c>
      <c r="BO422" s="3123">
        <f t="shared" si="262"/>
        <v>0</v>
      </c>
      <c r="BP422" s="3123">
        <f t="shared" si="263"/>
        <v>0</v>
      </c>
      <c r="BQ422" s="3123">
        <f t="shared" si="264"/>
        <v>0</v>
      </c>
      <c r="BR422" s="3123">
        <f t="shared" si="265"/>
        <v>0</v>
      </c>
      <c r="BS422" s="3123">
        <f t="shared" si="266"/>
        <v>0</v>
      </c>
      <c r="BT422" s="3175">
        <f t="shared" si="267"/>
        <v>0</v>
      </c>
    </row>
    <row r="423" spans="1:72">
      <c r="A423" s="3120"/>
      <c r="B423" s="3121"/>
      <c r="C423" s="3121"/>
      <c r="D423" s="3122"/>
      <c r="E423" s="3123">
        <f t="shared" si="239"/>
        <v>0</v>
      </c>
      <c r="F423" s="3124"/>
      <c r="G423" s="3125">
        <f t="shared" si="240"/>
        <v>0</v>
      </c>
      <c r="H423" s="3126">
        <f t="shared" si="241"/>
        <v>0</v>
      </c>
      <c r="I423" s="3133"/>
      <c r="J423" s="3133"/>
      <c r="K423" s="3133"/>
      <c r="L423" s="3133"/>
      <c r="M423" s="3133"/>
      <c r="N423" s="3133"/>
      <c r="O423" s="3133"/>
      <c r="P423" s="3133"/>
      <c r="Q423" s="3133"/>
      <c r="R423" s="3133"/>
      <c r="S423" s="3133"/>
      <c r="T423" s="3133"/>
      <c r="U423" s="3133"/>
      <c r="V423" s="3133"/>
      <c r="W423" s="3133"/>
      <c r="X423" s="3133"/>
      <c r="Y423" s="3133"/>
      <c r="Z423" s="3133"/>
      <c r="AA423" s="3133"/>
      <c r="AB423" s="3133"/>
      <c r="AC423" s="3123">
        <f t="shared" si="242"/>
        <v>0</v>
      </c>
      <c r="AD423" s="3143"/>
      <c r="AE423" s="3143"/>
      <c r="AF423" s="3143"/>
      <c r="AG423" s="3143"/>
      <c r="AH423" s="3143"/>
      <c r="AI423" s="3143"/>
      <c r="AJ423" s="3143"/>
      <c r="AK423" s="3143"/>
      <c r="AL423" s="3143"/>
      <c r="AM423" s="3143"/>
      <c r="AN423" s="3143"/>
      <c r="AO423" s="3143"/>
      <c r="AP423" s="3143"/>
      <c r="AQ423" s="3143"/>
      <c r="AR423" s="3143"/>
      <c r="AS423" s="3143"/>
      <c r="AT423" s="3153"/>
      <c r="AU423" s="3154"/>
      <c r="AV423" s="270">
        <f t="shared" si="243"/>
        <v>0</v>
      </c>
      <c r="AW423" s="270">
        <f t="shared" si="244"/>
        <v>0</v>
      </c>
      <c r="AX423" s="270">
        <f t="shared" si="245"/>
        <v>0</v>
      </c>
      <c r="AY423" s="3168">
        <f t="shared" si="246"/>
        <v>0</v>
      </c>
      <c r="AZ423" s="3123">
        <f t="shared" si="247"/>
        <v>0</v>
      </c>
      <c r="BA423" s="3123">
        <f t="shared" si="248"/>
        <v>0</v>
      </c>
      <c r="BB423" s="3123">
        <f t="shared" si="249"/>
        <v>0</v>
      </c>
      <c r="BC423" s="3123">
        <f t="shared" si="250"/>
        <v>0</v>
      </c>
      <c r="BD423" s="3123">
        <f t="shared" si="251"/>
        <v>0</v>
      </c>
      <c r="BE423" s="3123">
        <f t="shared" si="252"/>
        <v>0</v>
      </c>
      <c r="BF423" s="3123">
        <f t="shared" si="253"/>
        <v>0</v>
      </c>
      <c r="BG423" s="3123">
        <f t="shared" si="254"/>
        <v>0</v>
      </c>
      <c r="BH423" s="3123">
        <f t="shared" si="255"/>
        <v>0</v>
      </c>
      <c r="BI423" s="3123">
        <f t="shared" si="256"/>
        <v>0</v>
      </c>
      <c r="BJ423" s="3123">
        <f t="shared" si="257"/>
        <v>0</v>
      </c>
      <c r="BK423" s="3123">
        <f t="shared" si="258"/>
        <v>0</v>
      </c>
      <c r="BL423" s="3123">
        <f t="shared" si="259"/>
        <v>0</v>
      </c>
      <c r="BM423" s="3123">
        <f t="shared" si="260"/>
        <v>0</v>
      </c>
      <c r="BN423" s="3123">
        <f t="shared" si="261"/>
        <v>0</v>
      </c>
      <c r="BO423" s="3123">
        <f t="shared" si="262"/>
        <v>0</v>
      </c>
      <c r="BP423" s="3123">
        <f t="shared" si="263"/>
        <v>0</v>
      </c>
      <c r="BQ423" s="3123">
        <f t="shared" si="264"/>
        <v>0</v>
      </c>
      <c r="BR423" s="3123">
        <f t="shared" si="265"/>
        <v>0</v>
      </c>
      <c r="BS423" s="3123">
        <f t="shared" si="266"/>
        <v>0</v>
      </c>
      <c r="BT423" s="3175">
        <f t="shared" si="267"/>
        <v>0</v>
      </c>
    </row>
    <row r="424" spans="1:72">
      <c r="A424" s="3120"/>
      <c r="B424" s="3121"/>
      <c r="C424" s="3121"/>
      <c r="D424" s="3122"/>
      <c r="E424" s="3123">
        <f t="shared" si="239"/>
        <v>0</v>
      </c>
      <c r="F424" s="3124"/>
      <c r="G424" s="3125">
        <f t="shared" si="240"/>
        <v>0</v>
      </c>
      <c r="H424" s="3126">
        <f t="shared" si="241"/>
        <v>0</v>
      </c>
      <c r="I424" s="3133"/>
      <c r="J424" s="3133"/>
      <c r="K424" s="3133"/>
      <c r="L424" s="3133"/>
      <c r="M424" s="3133"/>
      <c r="N424" s="3133"/>
      <c r="O424" s="3133"/>
      <c r="P424" s="3133"/>
      <c r="Q424" s="3133"/>
      <c r="R424" s="3133"/>
      <c r="S424" s="3133"/>
      <c r="T424" s="3133"/>
      <c r="U424" s="3133"/>
      <c r="V424" s="3133"/>
      <c r="W424" s="3133"/>
      <c r="X424" s="3133"/>
      <c r="Y424" s="3133"/>
      <c r="Z424" s="3133"/>
      <c r="AA424" s="3133"/>
      <c r="AB424" s="3133"/>
      <c r="AC424" s="3123">
        <f t="shared" si="242"/>
        <v>0</v>
      </c>
      <c r="AD424" s="3143"/>
      <c r="AE424" s="3143"/>
      <c r="AF424" s="3143"/>
      <c r="AG424" s="3143"/>
      <c r="AH424" s="3143"/>
      <c r="AI424" s="3143"/>
      <c r="AJ424" s="3143"/>
      <c r="AK424" s="3143"/>
      <c r="AL424" s="3143"/>
      <c r="AM424" s="3143"/>
      <c r="AN424" s="3143"/>
      <c r="AO424" s="3143"/>
      <c r="AP424" s="3143"/>
      <c r="AQ424" s="3143"/>
      <c r="AR424" s="3143"/>
      <c r="AS424" s="3143"/>
      <c r="AT424" s="3153"/>
      <c r="AU424" s="3154"/>
      <c r="AV424" s="270">
        <f t="shared" si="243"/>
        <v>0</v>
      </c>
      <c r="AW424" s="270">
        <f t="shared" si="244"/>
        <v>0</v>
      </c>
      <c r="AX424" s="270">
        <f t="shared" si="245"/>
        <v>0</v>
      </c>
      <c r="AY424" s="3168">
        <f t="shared" si="246"/>
        <v>0</v>
      </c>
      <c r="AZ424" s="3123">
        <f t="shared" si="247"/>
        <v>0</v>
      </c>
      <c r="BA424" s="3123">
        <f t="shared" si="248"/>
        <v>0</v>
      </c>
      <c r="BB424" s="3123">
        <f t="shared" si="249"/>
        <v>0</v>
      </c>
      <c r="BC424" s="3123">
        <f t="shared" si="250"/>
        <v>0</v>
      </c>
      <c r="BD424" s="3123">
        <f t="shared" si="251"/>
        <v>0</v>
      </c>
      <c r="BE424" s="3123">
        <f t="shared" si="252"/>
        <v>0</v>
      </c>
      <c r="BF424" s="3123">
        <f t="shared" si="253"/>
        <v>0</v>
      </c>
      <c r="BG424" s="3123">
        <f t="shared" si="254"/>
        <v>0</v>
      </c>
      <c r="BH424" s="3123">
        <f t="shared" si="255"/>
        <v>0</v>
      </c>
      <c r="BI424" s="3123">
        <f t="shared" si="256"/>
        <v>0</v>
      </c>
      <c r="BJ424" s="3123">
        <f t="shared" si="257"/>
        <v>0</v>
      </c>
      <c r="BK424" s="3123">
        <f t="shared" si="258"/>
        <v>0</v>
      </c>
      <c r="BL424" s="3123">
        <f t="shared" si="259"/>
        <v>0</v>
      </c>
      <c r="BM424" s="3123">
        <f t="shared" si="260"/>
        <v>0</v>
      </c>
      <c r="BN424" s="3123">
        <f t="shared" si="261"/>
        <v>0</v>
      </c>
      <c r="BO424" s="3123">
        <f t="shared" si="262"/>
        <v>0</v>
      </c>
      <c r="BP424" s="3123">
        <f t="shared" si="263"/>
        <v>0</v>
      </c>
      <c r="BQ424" s="3123">
        <f t="shared" si="264"/>
        <v>0</v>
      </c>
      <c r="BR424" s="3123">
        <f t="shared" si="265"/>
        <v>0</v>
      </c>
      <c r="BS424" s="3123">
        <f t="shared" si="266"/>
        <v>0</v>
      </c>
      <c r="BT424" s="3175">
        <f t="shared" si="267"/>
        <v>0</v>
      </c>
    </row>
    <row r="425" spans="1:72">
      <c r="A425" s="3120"/>
      <c r="B425" s="3121"/>
      <c r="C425" s="3121"/>
      <c r="D425" s="3122"/>
      <c r="E425" s="3123">
        <f t="shared" si="239"/>
        <v>0</v>
      </c>
      <c r="F425" s="3124"/>
      <c r="G425" s="3125">
        <f t="shared" si="240"/>
        <v>0</v>
      </c>
      <c r="H425" s="3126">
        <f t="shared" si="241"/>
        <v>0</v>
      </c>
      <c r="I425" s="3133"/>
      <c r="J425" s="3133"/>
      <c r="K425" s="3133"/>
      <c r="L425" s="3133"/>
      <c r="M425" s="3133"/>
      <c r="N425" s="3133"/>
      <c r="O425" s="3133"/>
      <c r="P425" s="3133"/>
      <c r="Q425" s="3133"/>
      <c r="R425" s="3133"/>
      <c r="S425" s="3133"/>
      <c r="T425" s="3133"/>
      <c r="U425" s="3133"/>
      <c r="V425" s="3133"/>
      <c r="W425" s="3133"/>
      <c r="X425" s="3133"/>
      <c r="Y425" s="3133"/>
      <c r="Z425" s="3133"/>
      <c r="AA425" s="3133"/>
      <c r="AB425" s="3133"/>
      <c r="AC425" s="3123">
        <f t="shared" si="242"/>
        <v>0</v>
      </c>
      <c r="AD425" s="3143"/>
      <c r="AE425" s="3143"/>
      <c r="AF425" s="3143"/>
      <c r="AG425" s="3143"/>
      <c r="AH425" s="3143"/>
      <c r="AI425" s="3143"/>
      <c r="AJ425" s="3143"/>
      <c r="AK425" s="3143"/>
      <c r="AL425" s="3143"/>
      <c r="AM425" s="3143"/>
      <c r="AN425" s="3143"/>
      <c r="AO425" s="3143"/>
      <c r="AP425" s="3143"/>
      <c r="AQ425" s="3143"/>
      <c r="AR425" s="3143"/>
      <c r="AS425" s="3143"/>
      <c r="AT425" s="3153"/>
      <c r="AU425" s="3154"/>
      <c r="AV425" s="270">
        <f t="shared" si="243"/>
        <v>0</v>
      </c>
      <c r="AW425" s="270">
        <f t="shared" si="244"/>
        <v>0</v>
      </c>
      <c r="AX425" s="270">
        <f t="shared" si="245"/>
        <v>0</v>
      </c>
      <c r="AY425" s="3168">
        <f t="shared" si="246"/>
        <v>0</v>
      </c>
      <c r="AZ425" s="3123">
        <f t="shared" si="247"/>
        <v>0</v>
      </c>
      <c r="BA425" s="3123">
        <f t="shared" si="248"/>
        <v>0</v>
      </c>
      <c r="BB425" s="3123">
        <f t="shared" si="249"/>
        <v>0</v>
      </c>
      <c r="BC425" s="3123">
        <f t="shared" si="250"/>
        <v>0</v>
      </c>
      <c r="BD425" s="3123">
        <f t="shared" si="251"/>
        <v>0</v>
      </c>
      <c r="BE425" s="3123">
        <f t="shared" si="252"/>
        <v>0</v>
      </c>
      <c r="BF425" s="3123">
        <f t="shared" si="253"/>
        <v>0</v>
      </c>
      <c r="BG425" s="3123">
        <f t="shared" si="254"/>
        <v>0</v>
      </c>
      <c r="BH425" s="3123">
        <f t="shared" si="255"/>
        <v>0</v>
      </c>
      <c r="BI425" s="3123">
        <f t="shared" si="256"/>
        <v>0</v>
      </c>
      <c r="BJ425" s="3123">
        <f t="shared" si="257"/>
        <v>0</v>
      </c>
      <c r="BK425" s="3123">
        <f t="shared" si="258"/>
        <v>0</v>
      </c>
      <c r="BL425" s="3123">
        <f t="shared" si="259"/>
        <v>0</v>
      </c>
      <c r="BM425" s="3123">
        <f t="shared" si="260"/>
        <v>0</v>
      </c>
      <c r="BN425" s="3123">
        <f t="shared" si="261"/>
        <v>0</v>
      </c>
      <c r="BO425" s="3123">
        <f t="shared" si="262"/>
        <v>0</v>
      </c>
      <c r="BP425" s="3123">
        <f t="shared" si="263"/>
        <v>0</v>
      </c>
      <c r="BQ425" s="3123">
        <f t="shared" si="264"/>
        <v>0</v>
      </c>
      <c r="BR425" s="3123">
        <f t="shared" si="265"/>
        <v>0</v>
      </c>
      <c r="BS425" s="3123">
        <f t="shared" si="266"/>
        <v>0</v>
      </c>
      <c r="BT425" s="3175">
        <f t="shared" si="267"/>
        <v>0</v>
      </c>
    </row>
    <row r="426" spans="1:72">
      <c r="A426" s="3120"/>
      <c r="B426" s="3121"/>
      <c r="C426" s="3121"/>
      <c r="D426" s="3122"/>
      <c r="E426" s="3123">
        <f t="shared" si="239"/>
        <v>0</v>
      </c>
      <c r="F426" s="3124"/>
      <c r="G426" s="3125">
        <f t="shared" si="240"/>
        <v>0</v>
      </c>
      <c r="H426" s="3126">
        <f t="shared" si="241"/>
        <v>0</v>
      </c>
      <c r="I426" s="3133"/>
      <c r="J426" s="3133"/>
      <c r="K426" s="3133"/>
      <c r="L426" s="3133"/>
      <c r="M426" s="3133"/>
      <c r="N426" s="3133"/>
      <c r="O426" s="3133"/>
      <c r="P426" s="3133"/>
      <c r="Q426" s="3133"/>
      <c r="R426" s="3133"/>
      <c r="S426" s="3133"/>
      <c r="T426" s="3133"/>
      <c r="U426" s="3133"/>
      <c r="V426" s="3133"/>
      <c r="W426" s="3133"/>
      <c r="X426" s="3133"/>
      <c r="Y426" s="3133"/>
      <c r="Z426" s="3133"/>
      <c r="AA426" s="3133"/>
      <c r="AB426" s="3133"/>
      <c r="AC426" s="3123">
        <f t="shared" si="242"/>
        <v>0</v>
      </c>
      <c r="AD426" s="3143"/>
      <c r="AE426" s="3143"/>
      <c r="AF426" s="3143"/>
      <c r="AG426" s="3143"/>
      <c r="AH426" s="3143"/>
      <c r="AI426" s="3143"/>
      <c r="AJ426" s="3143"/>
      <c r="AK426" s="3143"/>
      <c r="AL426" s="3143"/>
      <c r="AM426" s="3143"/>
      <c r="AN426" s="3143"/>
      <c r="AO426" s="3143"/>
      <c r="AP426" s="3143"/>
      <c r="AQ426" s="3143"/>
      <c r="AR426" s="3143"/>
      <c r="AS426" s="3143"/>
      <c r="AT426" s="3153"/>
      <c r="AU426" s="3154"/>
      <c r="AV426" s="270">
        <f t="shared" si="243"/>
        <v>0</v>
      </c>
      <c r="AW426" s="270">
        <f t="shared" si="244"/>
        <v>0</v>
      </c>
      <c r="AX426" s="270">
        <f t="shared" si="245"/>
        <v>0</v>
      </c>
      <c r="AY426" s="3168">
        <f t="shared" si="246"/>
        <v>0</v>
      </c>
      <c r="AZ426" s="3123">
        <f t="shared" si="247"/>
        <v>0</v>
      </c>
      <c r="BA426" s="3123">
        <f t="shared" si="248"/>
        <v>0</v>
      </c>
      <c r="BB426" s="3123">
        <f t="shared" si="249"/>
        <v>0</v>
      </c>
      <c r="BC426" s="3123">
        <f t="shared" si="250"/>
        <v>0</v>
      </c>
      <c r="BD426" s="3123">
        <f t="shared" si="251"/>
        <v>0</v>
      </c>
      <c r="BE426" s="3123">
        <f t="shared" si="252"/>
        <v>0</v>
      </c>
      <c r="BF426" s="3123">
        <f t="shared" si="253"/>
        <v>0</v>
      </c>
      <c r="BG426" s="3123">
        <f t="shared" si="254"/>
        <v>0</v>
      </c>
      <c r="BH426" s="3123">
        <f t="shared" si="255"/>
        <v>0</v>
      </c>
      <c r="BI426" s="3123">
        <f t="shared" si="256"/>
        <v>0</v>
      </c>
      <c r="BJ426" s="3123">
        <f t="shared" si="257"/>
        <v>0</v>
      </c>
      <c r="BK426" s="3123">
        <f t="shared" si="258"/>
        <v>0</v>
      </c>
      <c r="BL426" s="3123">
        <f t="shared" si="259"/>
        <v>0</v>
      </c>
      <c r="BM426" s="3123">
        <f t="shared" si="260"/>
        <v>0</v>
      </c>
      <c r="BN426" s="3123">
        <f t="shared" si="261"/>
        <v>0</v>
      </c>
      <c r="BO426" s="3123">
        <f t="shared" si="262"/>
        <v>0</v>
      </c>
      <c r="BP426" s="3123">
        <f t="shared" si="263"/>
        <v>0</v>
      </c>
      <c r="BQ426" s="3123">
        <f t="shared" si="264"/>
        <v>0</v>
      </c>
      <c r="BR426" s="3123">
        <f t="shared" si="265"/>
        <v>0</v>
      </c>
      <c r="BS426" s="3123">
        <f t="shared" si="266"/>
        <v>0</v>
      </c>
      <c r="BT426" s="3175">
        <f t="shared" si="267"/>
        <v>0</v>
      </c>
    </row>
    <row r="427" spans="1:72">
      <c r="A427" s="3120"/>
      <c r="B427" s="3121"/>
      <c r="C427" s="3121"/>
      <c r="D427" s="3122"/>
      <c r="E427" s="3123">
        <f t="shared" si="239"/>
        <v>0</v>
      </c>
      <c r="F427" s="3124"/>
      <c r="G427" s="3125">
        <f t="shared" si="240"/>
        <v>0</v>
      </c>
      <c r="H427" s="3126">
        <f t="shared" si="241"/>
        <v>0</v>
      </c>
      <c r="I427" s="3133"/>
      <c r="J427" s="3133"/>
      <c r="K427" s="3133"/>
      <c r="L427" s="3133"/>
      <c r="M427" s="3133"/>
      <c r="N427" s="3133"/>
      <c r="O427" s="3133"/>
      <c r="P427" s="3133"/>
      <c r="Q427" s="3133"/>
      <c r="R427" s="3133"/>
      <c r="S427" s="3133"/>
      <c r="T427" s="3133"/>
      <c r="U427" s="3133"/>
      <c r="V427" s="3133"/>
      <c r="W427" s="3133"/>
      <c r="X427" s="3133"/>
      <c r="Y427" s="3133"/>
      <c r="Z427" s="3133"/>
      <c r="AA427" s="3133"/>
      <c r="AB427" s="3133"/>
      <c r="AC427" s="3123">
        <f t="shared" si="242"/>
        <v>0</v>
      </c>
      <c r="AD427" s="3143"/>
      <c r="AE427" s="3143"/>
      <c r="AF427" s="3143"/>
      <c r="AG427" s="3143"/>
      <c r="AH427" s="3143"/>
      <c r="AI427" s="3143"/>
      <c r="AJ427" s="3143"/>
      <c r="AK427" s="3143"/>
      <c r="AL427" s="3143"/>
      <c r="AM427" s="3143"/>
      <c r="AN427" s="3143"/>
      <c r="AO427" s="3143"/>
      <c r="AP427" s="3143"/>
      <c r="AQ427" s="3143"/>
      <c r="AR427" s="3143"/>
      <c r="AS427" s="3143"/>
      <c r="AT427" s="3153"/>
      <c r="AU427" s="3154"/>
      <c r="AV427" s="270">
        <f t="shared" si="243"/>
        <v>0</v>
      </c>
      <c r="AW427" s="270">
        <f t="shared" si="244"/>
        <v>0</v>
      </c>
      <c r="AX427" s="270">
        <f t="shared" si="245"/>
        <v>0</v>
      </c>
      <c r="AY427" s="3168">
        <f t="shared" si="246"/>
        <v>0</v>
      </c>
      <c r="AZ427" s="3123">
        <f t="shared" si="247"/>
        <v>0</v>
      </c>
      <c r="BA427" s="3123">
        <f t="shared" si="248"/>
        <v>0</v>
      </c>
      <c r="BB427" s="3123">
        <f t="shared" si="249"/>
        <v>0</v>
      </c>
      <c r="BC427" s="3123">
        <f t="shared" si="250"/>
        <v>0</v>
      </c>
      <c r="BD427" s="3123">
        <f t="shared" si="251"/>
        <v>0</v>
      </c>
      <c r="BE427" s="3123">
        <f t="shared" si="252"/>
        <v>0</v>
      </c>
      <c r="BF427" s="3123">
        <f t="shared" si="253"/>
        <v>0</v>
      </c>
      <c r="BG427" s="3123">
        <f t="shared" si="254"/>
        <v>0</v>
      </c>
      <c r="BH427" s="3123">
        <f t="shared" si="255"/>
        <v>0</v>
      </c>
      <c r="BI427" s="3123">
        <f t="shared" si="256"/>
        <v>0</v>
      </c>
      <c r="BJ427" s="3123">
        <f t="shared" si="257"/>
        <v>0</v>
      </c>
      <c r="BK427" s="3123">
        <f t="shared" si="258"/>
        <v>0</v>
      </c>
      <c r="BL427" s="3123">
        <f t="shared" si="259"/>
        <v>0</v>
      </c>
      <c r="BM427" s="3123">
        <f t="shared" si="260"/>
        <v>0</v>
      </c>
      <c r="BN427" s="3123">
        <f t="shared" si="261"/>
        <v>0</v>
      </c>
      <c r="BO427" s="3123">
        <f t="shared" si="262"/>
        <v>0</v>
      </c>
      <c r="BP427" s="3123">
        <f t="shared" si="263"/>
        <v>0</v>
      </c>
      <c r="BQ427" s="3123">
        <f t="shared" si="264"/>
        <v>0</v>
      </c>
      <c r="BR427" s="3123">
        <f t="shared" si="265"/>
        <v>0</v>
      </c>
      <c r="BS427" s="3123">
        <f t="shared" si="266"/>
        <v>0</v>
      </c>
      <c r="BT427" s="3175">
        <f t="shared" si="267"/>
        <v>0</v>
      </c>
    </row>
    <row r="428" spans="1:72">
      <c r="A428" s="3120"/>
      <c r="B428" s="3121"/>
      <c r="C428" s="3121"/>
      <c r="D428" s="3122"/>
      <c r="E428" s="3123">
        <f t="shared" si="239"/>
        <v>0</v>
      </c>
      <c r="F428" s="3124"/>
      <c r="G428" s="3125">
        <f t="shared" si="240"/>
        <v>0</v>
      </c>
      <c r="H428" s="3126">
        <f t="shared" si="241"/>
        <v>0</v>
      </c>
      <c r="I428" s="3133"/>
      <c r="J428" s="3133"/>
      <c r="K428" s="3133"/>
      <c r="L428" s="3133"/>
      <c r="M428" s="3133"/>
      <c r="N428" s="3133"/>
      <c r="O428" s="3133"/>
      <c r="P428" s="3133"/>
      <c r="Q428" s="3133"/>
      <c r="R428" s="3133"/>
      <c r="S428" s="3133"/>
      <c r="T428" s="3133"/>
      <c r="U428" s="3133"/>
      <c r="V428" s="3133"/>
      <c r="W428" s="3133"/>
      <c r="X428" s="3133"/>
      <c r="Y428" s="3133"/>
      <c r="Z428" s="3133"/>
      <c r="AA428" s="3133"/>
      <c r="AB428" s="3133"/>
      <c r="AC428" s="3123">
        <f t="shared" si="242"/>
        <v>0</v>
      </c>
      <c r="AD428" s="3143"/>
      <c r="AE428" s="3143"/>
      <c r="AF428" s="3143"/>
      <c r="AG428" s="3143"/>
      <c r="AH428" s="3143"/>
      <c r="AI428" s="3143"/>
      <c r="AJ428" s="3143"/>
      <c r="AK428" s="3143"/>
      <c r="AL428" s="3143"/>
      <c r="AM428" s="3143"/>
      <c r="AN428" s="3143"/>
      <c r="AO428" s="3143"/>
      <c r="AP428" s="3143"/>
      <c r="AQ428" s="3143"/>
      <c r="AR428" s="3143"/>
      <c r="AS428" s="3143"/>
      <c r="AT428" s="3153"/>
      <c r="AU428" s="3154"/>
      <c r="AV428" s="270">
        <f t="shared" si="243"/>
        <v>0</v>
      </c>
      <c r="AW428" s="270">
        <f t="shared" si="244"/>
        <v>0</v>
      </c>
      <c r="AX428" s="270">
        <f t="shared" si="245"/>
        <v>0</v>
      </c>
      <c r="AY428" s="3168">
        <f t="shared" si="246"/>
        <v>0</v>
      </c>
      <c r="AZ428" s="3123">
        <f t="shared" si="247"/>
        <v>0</v>
      </c>
      <c r="BA428" s="3123">
        <f t="shared" si="248"/>
        <v>0</v>
      </c>
      <c r="BB428" s="3123">
        <f t="shared" si="249"/>
        <v>0</v>
      </c>
      <c r="BC428" s="3123">
        <f t="shared" si="250"/>
        <v>0</v>
      </c>
      <c r="BD428" s="3123">
        <f t="shared" si="251"/>
        <v>0</v>
      </c>
      <c r="BE428" s="3123">
        <f t="shared" si="252"/>
        <v>0</v>
      </c>
      <c r="BF428" s="3123">
        <f t="shared" si="253"/>
        <v>0</v>
      </c>
      <c r="BG428" s="3123">
        <f t="shared" si="254"/>
        <v>0</v>
      </c>
      <c r="BH428" s="3123">
        <f t="shared" si="255"/>
        <v>0</v>
      </c>
      <c r="BI428" s="3123">
        <f t="shared" si="256"/>
        <v>0</v>
      </c>
      <c r="BJ428" s="3123">
        <f t="shared" si="257"/>
        <v>0</v>
      </c>
      <c r="BK428" s="3123">
        <f t="shared" si="258"/>
        <v>0</v>
      </c>
      <c r="BL428" s="3123">
        <f t="shared" si="259"/>
        <v>0</v>
      </c>
      <c r="BM428" s="3123">
        <f t="shared" si="260"/>
        <v>0</v>
      </c>
      <c r="BN428" s="3123">
        <f t="shared" si="261"/>
        <v>0</v>
      </c>
      <c r="BO428" s="3123">
        <f t="shared" si="262"/>
        <v>0</v>
      </c>
      <c r="BP428" s="3123">
        <f t="shared" si="263"/>
        <v>0</v>
      </c>
      <c r="BQ428" s="3123">
        <f t="shared" si="264"/>
        <v>0</v>
      </c>
      <c r="BR428" s="3123">
        <f t="shared" si="265"/>
        <v>0</v>
      </c>
      <c r="BS428" s="3123">
        <f t="shared" si="266"/>
        <v>0</v>
      </c>
      <c r="BT428" s="3175">
        <f t="shared" si="267"/>
        <v>0</v>
      </c>
    </row>
    <row r="429" spans="1:72">
      <c r="A429" s="3120"/>
      <c r="B429" s="3121"/>
      <c r="C429" s="3121"/>
      <c r="D429" s="3122"/>
      <c r="E429" s="3123">
        <f t="shared" si="239"/>
        <v>0</v>
      </c>
      <c r="F429" s="3124"/>
      <c r="G429" s="3125">
        <f t="shared" si="240"/>
        <v>0</v>
      </c>
      <c r="H429" s="3126">
        <f t="shared" si="241"/>
        <v>0</v>
      </c>
      <c r="I429" s="3133"/>
      <c r="J429" s="3133"/>
      <c r="K429" s="3133"/>
      <c r="L429" s="3133"/>
      <c r="M429" s="3133"/>
      <c r="N429" s="3133"/>
      <c r="O429" s="3133"/>
      <c r="P429" s="3133"/>
      <c r="Q429" s="3133"/>
      <c r="R429" s="3133"/>
      <c r="S429" s="3133"/>
      <c r="T429" s="3133"/>
      <c r="U429" s="3133"/>
      <c r="V429" s="3133"/>
      <c r="W429" s="3133"/>
      <c r="X429" s="3133"/>
      <c r="Y429" s="3133"/>
      <c r="Z429" s="3133"/>
      <c r="AA429" s="3133"/>
      <c r="AB429" s="3133"/>
      <c r="AC429" s="3123">
        <f t="shared" si="242"/>
        <v>0</v>
      </c>
      <c r="AD429" s="3143"/>
      <c r="AE429" s="3143"/>
      <c r="AF429" s="3143"/>
      <c r="AG429" s="3143"/>
      <c r="AH429" s="3143"/>
      <c r="AI429" s="3143"/>
      <c r="AJ429" s="3143"/>
      <c r="AK429" s="3143"/>
      <c r="AL429" s="3143"/>
      <c r="AM429" s="3143"/>
      <c r="AN429" s="3143"/>
      <c r="AO429" s="3143"/>
      <c r="AP429" s="3143"/>
      <c r="AQ429" s="3143"/>
      <c r="AR429" s="3143"/>
      <c r="AS429" s="3143"/>
      <c r="AT429" s="3153"/>
      <c r="AU429" s="3154"/>
      <c r="AV429" s="270">
        <f t="shared" si="243"/>
        <v>0</v>
      </c>
      <c r="AW429" s="270">
        <f t="shared" si="244"/>
        <v>0</v>
      </c>
      <c r="AX429" s="270">
        <f t="shared" si="245"/>
        <v>0</v>
      </c>
      <c r="AY429" s="3168">
        <f t="shared" si="246"/>
        <v>0</v>
      </c>
      <c r="AZ429" s="3123">
        <f t="shared" si="247"/>
        <v>0</v>
      </c>
      <c r="BA429" s="3123">
        <f t="shared" si="248"/>
        <v>0</v>
      </c>
      <c r="BB429" s="3123">
        <f t="shared" si="249"/>
        <v>0</v>
      </c>
      <c r="BC429" s="3123">
        <f t="shared" si="250"/>
        <v>0</v>
      </c>
      <c r="BD429" s="3123">
        <f t="shared" si="251"/>
        <v>0</v>
      </c>
      <c r="BE429" s="3123">
        <f t="shared" si="252"/>
        <v>0</v>
      </c>
      <c r="BF429" s="3123">
        <f t="shared" si="253"/>
        <v>0</v>
      </c>
      <c r="BG429" s="3123">
        <f t="shared" si="254"/>
        <v>0</v>
      </c>
      <c r="BH429" s="3123">
        <f t="shared" si="255"/>
        <v>0</v>
      </c>
      <c r="BI429" s="3123">
        <f t="shared" si="256"/>
        <v>0</v>
      </c>
      <c r="BJ429" s="3123">
        <f t="shared" si="257"/>
        <v>0</v>
      </c>
      <c r="BK429" s="3123">
        <f t="shared" si="258"/>
        <v>0</v>
      </c>
      <c r="BL429" s="3123">
        <f t="shared" si="259"/>
        <v>0</v>
      </c>
      <c r="BM429" s="3123">
        <f t="shared" si="260"/>
        <v>0</v>
      </c>
      <c r="BN429" s="3123">
        <f t="shared" si="261"/>
        <v>0</v>
      </c>
      <c r="BO429" s="3123">
        <f t="shared" si="262"/>
        <v>0</v>
      </c>
      <c r="BP429" s="3123">
        <f t="shared" si="263"/>
        <v>0</v>
      </c>
      <c r="BQ429" s="3123">
        <f t="shared" si="264"/>
        <v>0</v>
      </c>
      <c r="BR429" s="3123">
        <f t="shared" si="265"/>
        <v>0</v>
      </c>
      <c r="BS429" s="3123">
        <f t="shared" si="266"/>
        <v>0</v>
      </c>
      <c r="BT429" s="3175">
        <f t="shared" si="267"/>
        <v>0</v>
      </c>
    </row>
    <row r="430" spans="1:72">
      <c r="A430" s="3120"/>
      <c r="B430" s="3121"/>
      <c r="C430" s="3121"/>
      <c r="D430" s="3122"/>
      <c r="E430" s="3123">
        <f t="shared" si="239"/>
        <v>0</v>
      </c>
      <c r="F430" s="3124"/>
      <c r="G430" s="3125">
        <f t="shared" si="240"/>
        <v>0</v>
      </c>
      <c r="H430" s="3126">
        <f t="shared" si="241"/>
        <v>0</v>
      </c>
      <c r="I430" s="3133"/>
      <c r="J430" s="3133"/>
      <c r="K430" s="3133"/>
      <c r="L430" s="3133"/>
      <c r="M430" s="3133"/>
      <c r="N430" s="3133"/>
      <c r="O430" s="3133"/>
      <c r="P430" s="3133"/>
      <c r="Q430" s="3133"/>
      <c r="R430" s="3133"/>
      <c r="S430" s="3133"/>
      <c r="T430" s="3133"/>
      <c r="U430" s="3133"/>
      <c r="V430" s="3133"/>
      <c r="W430" s="3133"/>
      <c r="X430" s="3133"/>
      <c r="Y430" s="3133"/>
      <c r="Z430" s="3133"/>
      <c r="AA430" s="3133"/>
      <c r="AB430" s="3133"/>
      <c r="AC430" s="3123">
        <f t="shared" si="242"/>
        <v>0</v>
      </c>
      <c r="AD430" s="3143"/>
      <c r="AE430" s="3143"/>
      <c r="AF430" s="3143"/>
      <c r="AG430" s="3143"/>
      <c r="AH430" s="3143"/>
      <c r="AI430" s="3143"/>
      <c r="AJ430" s="3143"/>
      <c r="AK430" s="3143"/>
      <c r="AL430" s="3143"/>
      <c r="AM430" s="3143"/>
      <c r="AN430" s="3143"/>
      <c r="AO430" s="3143"/>
      <c r="AP430" s="3143"/>
      <c r="AQ430" s="3143"/>
      <c r="AR430" s="3143"/>
      <c r="AS430" s="3143"/>
      <c r="AT430" s="3153"/>
      <c r="AU430" s="3154"/>
      <c r="AV430" s="270">
        <f t="shared" si="243"/>
        <v>0</v>
      </c>
      <c r="AW430" s="270">
        <f t="shared" si="244"/>
        <v>0</v>
      </c>
      <c r="AX430" s="270">
        <f t="shared" si="245"/>
        <v>0</v>
      </c>
      <c r="AY430" s="3168">
        <f t="shared" si="246"/>
        <v>0</v>
      </c>
      <c r="AZ430" s="3123">
        <f t="shared" si="247"/>
        <v>0</v>
      </c>
      <c r="BA430" s="3123">
        <f t="shared" si="248"/>
        <v>0</v>
      </c>
      <c r="BB430" s="3123">
        <f t="shared" si="249"/>
        <v>0</v>
      </c>
      <c r="BC430" s="3123">
        <f t="shared" si="250"/>
        <v>0</v>
      </c>
      <c r="BD430" s="3123">
        <f t="shared" si="251"/>
        <v>0</v>
      </c>
      <c r="BE430" s="3123">
        <f t="shared" si="252"/>
        <v>0</v>
      </c>
      <c r="BF430" s="3123">
        <f t="shared" si="253"/>
        <v>0</v>
      </c>
      <c r="BG430" s="3123">
        <f t="shared" si="254"/>
        <v>0</v>
      </c>
      <c r="BH430" s="3123">
        <f t="shared" si="255"/>
        <v>0</v>
      </c>
      <c r="BI430" s="3123">
        <f t="shared" si="256"/>
        <v>0</v>
      </c>
      <c r="BJ430" s="3123">
        <f t="shared" si="257"/>
        <v>0</v>
      </c>
      <c r="BK430" s="3123">
        <f t="shared" si="258"/>
        <v>0</v>
      </c>
      <c r="BL430" s="3123">
        <f t="shared" si="259"/>
        <v>0</v>
      </c>
      <c r="BM430" s="3123">
        <f t="shared" si="260"/>
        <v>0</v>
      </c>
      <c r="BN430" s="3123">
        <f t="shared" si="261"/>
        <v>0</v>
      </c>
      <c r="BO430" s="3123">
        <f t="shared" si="262"/>
        <v>0</v>
      </c>
      <c r="BP430" s="3123">
        <f t="shared" si="263"/>
        <v>0</v>
      </c>
      <c r="BQ430" s="3123">
        <f t="shared" si="264"/>
        <v>0</v>
      </c>
      <c r="BR430" s="3123">
        <f t="shared" si="265"/>
        <v>0</v>
      </c>
      <c r="BS430" s="3123">
        <f t="shared" si="266"/>
        <v>0</v>
      </c>
      <c r="BT430" s="3175">
        <f t="shared" si="267"/>
        <v>0</v>
      </c>
    </row>
    <row r="431" spans="1:72">
      <c r="A431" s="3120"/>
      <c r="B431" s="3121"/>
      <c r="C431" s="3121"/>
      <c r="D431" s="3122"/>
      <c r="E431" s="3123">
        <f t="shared" si="239"/>
        <v>0</v>
      </c>
      <c r="F431" s="3124"/>
      <c r="G431" s="3125">
        <f t="shared" si="240"/>
        <v>0</v>
      </c>
      <c r="H431" s="3126">
        <f t="shared" si="241"/>
        <v>0</v>
      </c>
      <c r="I431" s="3133"/>
      <c r="J431" s="3133"/>
      <c r="K431" s="3133"/>
      <c r="L431" s="3133"/>
      <c r="M431" s="3133"/>
      <c r="N431" s="3133"/>
      <c r="O431" s="3133"/>
      <c r="P431" s="3133"/>
      <c r="Q431" s="3133"/>
      <c r="R431" s="3133"/>
      <c r="S431" s="3133"/>
      <c r="T431" s="3133"/>
      <c r="U431" s="3133"/>
      <c r="V431" s="3133"/>
      <c r="W431" s="3133"/>
      <c r="X431" s="3133"/>
      <c r="Y431" s="3133"/>
      <c r="Z431" s="3133"/>
      <c r="AA431" s="3133"/>
      <c r="AB431" s="3133"/>
      <c r="AC431" s="3123">
        <f t="shared" si="242"/>
        <v>0</v>
      </c>
      <c r="AD431" s="3143"/>
      <c r="AE431" s="3143"/>
      <c r="AF431" s="3143"/>
      <c r="AG431" s="3143"/>
      <c r="AH431" s="3143"/>
      <c r="AI431" s="3143"/>
      <c r="AJ431" s="3143"/>
      <c r="AK431" s="3143"/>
      <c r="AL431" s="3143"/>
      <c r="AM431" s="3143"/>
      <c r="AN431" s="3143"/>
      <c r="AO431" s="3143"/>
      <c r="AP431" s="3143"/>
      <c r="AQ431" s="3143"/>
      <c r="AR431" s="3143"/>
      <c r="AS431" s="3143"/>
      <c r="AT431" s="3153"/>
      <c r="AU431" s="3154"/>
      <c r="AV431" s="270">
        <f t="shared" si="243"/>
        <v>0</v>
      </c>
      <c r="AW431" s="270">
        <f t="shared" si="244"/>
        <v>0</v>
      </c>
      <c r="AX431" s="270">
        <f t="shared" si="245"/>
        <v>0</v>
      </c>
      <c r="AY431" s="3168">
        <f t="shared" si="246"/>
        <v>0</v>
      </c>
      <c r="AZ431" s="3123">
        <f t="shared" si="247"/>
        <v>0</v>
      </c>
      <c r="BA431" s="3123">
        <f t="shared" si="248"/>
        <v>0</v>
      </c>
      <c r="BB431" s="3123">
        <f t="shared" si="249"/>
        <v>0</v>
      </c>
      <c r="BC431" s="3123">
        <f t="shared" si="250"/>
        <v>0</v>
      </c>
      <c r="BD431" s="3123">
        <f t="shared" si="251"/>
        <v>0</v>
      </c>
      <c r="BE431" s="3123">
        <f t="shared" si="252"/>
        <v>0</v>
      </c>
      <c r="BF431" s="3123">
        <f t="shared" si="253"/>
        <v>0</v>
      </c>
      <c r="BG431" s="3123">
        <f t="shared" si="254"/>
        <v>0</v>
      </c>
      <c r="BH431" s="3123">
        <f t="shared" si="255"/>
        <v>0</v>
      </c>
      <c r="BI431" s="3123">
        <f t="shared" si="256"/>
        <v>0</v>
      </c>
      <c r="BJ431" s="3123">
        <f t="shared" si="257"/>
        <v>0</v>
      </c>
      <c r="BK431" s="3123">
        <f t="shared" si="258"/>
        <v>0</v>
      </c>
      <c r="BL431" s="3123">
        <f t="shared" si="259"/>
        <v>0</v>
      </c>
      <c r="BM431" s="3123">
        <f t="shared" si="260"/>
        <v>0</v>
      </c>
      <c r="BN431" s="3123">
        <f t="shared" si="261"/>
        <v>0</v>
      </c>
      <c r="BO431" s="3123">
        <f t="shared" si="262"/>
        <v>0</v>
      </c>
      <c r="BP431" s="3123">
        <f t="shared" si="263"/>
        <v>0</v>
      </c>
      <c r="BQ431" s="3123">
        <f t="shared" si="264"/>
        <v>0</v>
      </c>
      <c r="BR431" s="3123">
        <f t="shared" si="265"/>
        <v>0</v>
      </c>
      <c r="BS431" s="3123">
        <f t="shared" si="266"/>
        <v>0</v>
      </c>
      <c r="BT431" s="3175">
        <f t="shared" si="267"/>
        <v>0</v>
      </c>
    </row>
    <row r="432" spans="1:72">
      <c r="A432" s="3120"/>
      <c r="B432" s="3121"/>
      <c r="C432" s="3121"/>
      <c r="D432" s="3122"/>
      <c r="E432" s="3123">
        <f t="shared" si="239"/>
        <v>0</v>
      </c>
      <c r="F432" s="3124"/>
      <c r="G432" s="3125">
        <f t="shared" si="240"/>
        <v>0</v>
      </c>
      <c r="H432" s="3126">
        <f t="shared" si="241"/>
        <v>0</v>
      </c>
      <c r="I432" s="3133"/>
      <c r="J432" s="3133"/>
      <c r="K432" s="3133"/>
      <c r="L432" s="3133"/>
      <c r="M432" s="3133"/>
      <c r="N432" s="3133"/>
      <c r="O432" s="3133"/>
      <c r="P432" s="3133"/>
      <c r="Q432" s="3133"/>
      <c r="R432" s="3133"/>
      <c r="S432" s="3133"/>
      <c r="T432" s="3133"/>
      <c r="U432" s="3133"/>
      <c r="V432" s="3133"/>
      <c r="W432" s="3133"/>
      <c r="X432" s="3133"/>
      <c r="Y432" s="3133"/>
      <c r="Z432" s="3133"/>
      <c r="AA432" s="3133"/>
      <c r="AB432" s="3133"/>
      <c r="AC432" s="3123">
        <f t="shared" si="242"/>
        <v>0</v>
      </c>
      <c r="AD432" s="3143"/>
      <c r="AE432" s="3143"/>
      <c r="AF432" s="3143"/>
      <c r="AG432" s="3143"/>
      <c r="AH432" s="3143"/>
      <c r="AI432" s="3143"/>
      <c r="AJ432" s="3143"/>
      <c r="AK432" s="3143"/>
      <c r="AL432" s="3143"/>
      <c r="AM432" s="3143"/>
      <c r="AN432" s="3143"/>
      <c r="AO432" s="3143"/>
      <c r="AP432" s="3143"/>
      <c r="AQ432" s="3143"/>
      <c r="AR432" s="3143"/>
      <c r="AS432" s="3143"/>
      <c r="AT432" s="3153"/>
      <c r="AU432" s="3154"/>
      <c r="AV432" s="270">
        <f t="shared" si="243"/>
        <v>0</v>
      </c>
      <c r="AW432" s="270">
        <f t="shared" si="244"/>
        <v>0</v>
      </c>
      <c r="AX432" s="270">
        <f t="shared" si="245"/>
        <v>0</v>
      </c>
      <c r="AY432" s="3168">
        <f t="shared" si="246"/>
        <v>0</v>
      </c>
      <c r="AZ432" s="3123">
        <f t="shared" si="247"/>
        <v>0</v>
      </c>
      <c r="BA432" s="3123">
        <f t="shared" si="248"/>
        <v>0</v>
      </c>
      <c r="BB432" s="3123">
        <f t="shared" si="249"/>
        <v>0</v>
      </c>
      <c r="BC432" s="3123">
        <f t="shared" si="250"/>
        <v>0</v>
      </c>
      <c r="BD432" s="3123">
        <f t="shared" si="251"/>
        <v>0</v>
      </c>
      <c r="BE432" s="3123">
        <f t="shared" si="252"/>
        <v>0</v>
      </c>
      <c r="BF432" s="3123">
        <f t="shared" si="253"/>
        <v>0</v>
      </c>
      <c r="BG432" s="3123">
        <f t="shared" si="254"/>
        <v>0</v>
      </c>
      <c r="BH432" s="3123">
        <f t="shared" si="255"/>
        <v>0</v>
      </c>
      <c r="BI432" s="3123">
        <f t="shared" si="256"/>
        <v>0</v>
      </c>
      <c r="BJ432" s="3123">
        <f t="shared" si="257"/>
        <v>0</v>
      </c>
      <c r="BK432" s="3123">
        <f t="shared" si="258"/>
        <v>0</v>
      </c>
      <c r="BL432" s="3123">
        <f t="shared" si="259"/>
        <v>0</v>
      </c>
      <c r="BM432" s="3123">
        <f t="shared" si="260"/>
        <v>0</v>
      </c>
      <c r="BN432" s="3123">
        <f t="shared" si="261"/>
        <v>0</v>
      </c>
      <c r="BO432" s="3123">
        <f t="shared" si="262"/>
        <v>0</v>
      </c>
      <c r="BP432" s="3123">
        <f t="shared" si="263"/>
        <v>0</v>
      </c>
      <c r="BQ432" s="3123">
        <f t="shared" si="264"/>
        <v>0</v>
      </c>
      <c r="BR432" s="3123">
        <f t="shared" si="265"/>
        <v>0</v>
      </c>
      <c r="BS432" s="3123">
        <f t="shared" si="266"/>
        <v>0</v>
      </c>
      <c r="BT432" s="3175">
        <f t="shared" si="267"/>
        <v>0</v>
      </c>
    </row>
    <row r="433" spans="1:72">
      <c r="A433" s="3120"/>
      <c r="B433" s="3121"/>
      <c r="C433" s="3121"/>
      <c r="D433" s="3122"/>
      <c r="E433" s="3123">
        <f t="shared" si="239"/>
        <v>0</v>
      </c>
      <c r="F433" s="3124"/>
      <c r="G433" s="3125">
        <f t="shared" si="240"/>
        <v>0</v>
      </c>
      <c r="H433" s="3126">
        <f t="shared" si="241"/>
        <v>0</v>
      </c>
      <c r="I433" s="3133"/>
      <c r="J433" s="3133"/>
      <c r="K433" s="3133"/>
      <c r="L433" s="3133"/>
      <c r="M433" s="3133"/>
      <c r="N433" s="3133"/>
      <c r="O433" s="3133"/>
      <c r="P433" s="3133"/>
      <c r="Q433" s="3133"/>
      <c r="R433" s="3133"/>
      <c r="S433" s="3133"/>
      <c r="T433" s="3133"/>
      <c r="U433" s="3133"/>
      <c r="V433" s="3133"/>
      <c r="W433" s="3133"/>
      <c r="X433" s="3133"/>
      <c r="Y433" s="3133"/>
      <c r="Z433" s="3133"/>
      <c r="AA433" s="3133"/>
      <c r="AB433" s="3133"/>
      <c r="AC433" s="3123">
        <f t="shared" si="242"/>
        <v>0</v>
      </c>
      <c r="AD433" s="3143"/>
      <c r="AE433" s="3143"/>
      <c r="AF433" s="3143"/>
      <c r="AG433" s="3143"/>
      <c r="AH433" s="3143"/>
      <c r="AI433" s="3143"/>
      <c r="AJ433" s="3143"/>
      <c r="AK433" s="3143"/>
      <c r="AL433" s="3143"/>
      <c r="AM433" s="3143"/>
      <c r="AN433" s="3143"/>
      <c r="AO433" s="3143"/>
      <c r="AP433" s="3143"/>
      <c r="AQ433" s="3143"/>
      <c r="AR433" s="3143"/>
      <c r="AS433" s="3143"/>
      <c r="AT433" s="3153"/>
      <c r="AU433" s="3154"/>
      <c r="AV433" s="270">
        <f t="shared" si="243"/>
        <v>0</v>
      </c>
      <c r="AW433" s="270">
        <f t="shared" si="244"/>
        <v>0</v>
      </c>
      <c r="AX433" s="270">
        <f t="shared" si="245"/>
        <v>0</v>
      </c>
      <c r="AY433" s="3168">
        <f t="shared" si="246"/>
        <v>0</v>
      </c>
      <c r="AZ433" s="3123">
        <f t="shared" si="247"/>
        <v>0</v>
      </c>
      <c r="BA433" s="3123">
        <f t="shared" si="248"/>
        <v>0</v>
      </c>
      <c r="BB433" s="3123">
        <f t="shared" si="249"/>
        <v>0</v>
      </c>
      <c r="BC433" s="3123">
        <f t="shared" si="250"/>
        <v>0</v>
      </c>
      <c r="BD433" s="3123">
        <f t="shared" si="251"/>
        <v>0</v>
      </c>
      <c r="BE433" s="3123">
        <f t="shared" si="252"/>
        <v>0</v>
      </c>
      <c r="BF433" s="3123">
        <f t="shared" si="253"/>
        <v>0</v>
      </c>
      <c r="BG433" s="3123">
        <f t="shared" si="254"/>
        <v>0</v>
      </c>
      <c r="BH433" s="3123">
        <f t="shared" si="255"/>
        <v>0</v>
      </c>
      <c r="BI433" s="3123">
        <f t="shared" si="256"/>
        <v>0</v>
      </c>
      <c r="BJ433" s="3123">
        <f t="shared" si="257"/>
        <v>0</v>
      </c>
      <c r="BK433" s="3123">
        <f t="shared" si="258"/>
        <v>0</v>
      </c>
      <c r="BL433" s="3123">
        <f t="shared" si="259"/>
        <v>0</v>
      </c>
      <c r="BM433" s="3123">
        <f t="shared" si="260"/>
        <v>0</v>
      </c>
      <c r="BN433" s="3123">
        <f t="shared" si="261"/>
        <v>0</v>
      </c>
      <c r="BO433" s="3123">
        <f t="shared" si="262"/>
        <v>0</v>
      </c>
      <c r="BP433" s="3123">
        <f t="shared" si="263"/>
        <v>0</v>
      </c>
      <c r="BQ433" s="3123">
        <f t="shared" si="264"/>
        <v>0</v>
      </c>
      <c r="BR433" s="3123">
        <f t="shared" si="265"/>
        <v>0</v>
      </c>
      <c r="BS433" s="3123">
        <f t="shared" si="266"/>
        <v>0</v>
      </c>
      <c r="BT433" s="3175">
        <f t="shared" si="267"/>
        <v>0</v>
      </c>
    </row>
    <row r="434" spans="1:72">
      <c r="A434" s="3120"/>
      <c r="B434" s="3121"/>
      <c r="C434" s="3121"/>
      <c r="D434" s="3122"/>
      <c r="E434" s="3123">
        <f t="shared" si="239"/>
        <v>0</v>
      </c>
      <c r="F434" s="3124"/>
      <c r="G434" s="3125">
        <f t="shared" si="240"/>
        <v>0</v>
      </c>
      <c r="H434" s="3126">
        <f t="shared" si="241"/>
        <v>0</v>
      </c>
      <c r="I434" s="3133"/>
      <c r="J434" s="3133"/>
      <c r="K434" s="3133"/>
      <c r="L434" s="3133"/>
      <c r="M434" s="3133"/>
      <c r="N434" s="3133"/>
      <c r="O434" s="3133"/>
      <c r="P434" s="3133"/>
      <c r="Q434" s="3133"/>
      <c r="R434" s="3133"/>
      <c r="S434" s="3133"/>
      <c r="T434" s="3133"/>
      <c r="U434" s="3133"/>
      <c r="V434" s="3133"/>
      <c r="W434" s="3133"/>
      <c r="X434" s="3133"/>
      <c r="Y434" s="3133"/>
      <c r="Z434" s="3133"/>
      <c r="AA434" s="3133"/>
      <c r="AB434" s="3133"/>
      <c r="AC434" s="3123">
        <f t="shared" si="242"/>
        <v>0</v>
      </c>
      <c r="AD434" s="3143"/>
      <c r="AE434" s="3143"/>
      <c r="AF434" s="3143"/>
      <c r="AG434" s="3143"/>
      <c r="AH434" s="3143"/>
      <c r="AI434" s="3143"/>
      <c r="AJ434" s="3143"/>
      <c r="AK434" s="3143"/>
      <c r="AL434" s="3143"/>
      <c r="AM434" s="3143"/>
      <c r="AN434" s="3143"/>
      <c r="AO434" s="3143"/>
      <c r="AP434" s="3143"/>
      <c r="AQ434" s="3143"/>
      <c r="AR434" s="3143"/>
      <c r="AS434" s="3143"/>
      <c r="AT434" s="3153"/>
      <c r="AU434" s="3154"/>
      <c r="AV434" s="270">
        <f t="shared" si="243"/>
        <v>0</v>
      </c>
      <c r="AW434" s="270">
        <f t="shared" si="244"/>
        <v>0</v>
      </c>
      <c r="AX434" s="270">
        <f t="shared" si="245"/>
        <v>0</v>
      </c>
      <c r="AY434" s="3168">
        <f t="shared" si="246"/>
        <v>0</v>
      </c>
      <c r="AZ434" s="3123">
        <f t="shared" si="247"/>
        <v>0</v>
      </c>
      <c r="BA434" s="3123">
        <f t="shared" si="248"/>
        <v>0</v>
      </c>
      <c r="BB434" s="3123">
        <f t="shared" si="249"/>
        <v>0</v>
      </c>
      <c r="BC434" s="3123">
        <f t="shared" si="250"/>
        <v>0</v>
      </c>
      <c r="BD434" s="3123">
        <f t="shared" si="251"/>
        <v>0</v>
      </c>
      <c r="BE434" s="3123">
        <f t="shared" si="252"/>
        <v>0</v>
      </c>
      <c r="BF434" s="3123">
        <f t="shared" si="253"/>
        <v>0</v>
      </c>
      <c r="BG434" s="3123">
        <f t="shared" si="254"/>
        <v>0</v>
      </c>
      <c r="BH434" s="3123">
        <f t="shared" si="255"/>
        <v>0</v>
      </c>
      <c r="BI434" s="3123">
        <f t="shared" si="256"/>
        <v>0</v>
      </c>
      <c r="BJ434" s="3123">
        <f t="shared" si="257"/>
        <v>0</v>
      </c>
      <c r="BK434" s="3123">
        <f t="shared" si="258"/>
        <v>0</v>
      </c>
      <c r="BL434" s="3123">
        <f t="shared" si="259"/>
        <v>0</v>
      </c>
      <c r="BM434" s="3123">
        <f t="shared" si="260"/>
        <v>0</v>
      </c>
      <c r="BN434" s="3123">
        <f t="shared" si="261"/>
        <v>0</v>
      </c>
      <c r="BO434" s="3123">
        <f t="shared" si="262"/>
        <v>0</v>
      </c>
      <c r="BP434" s="3123">
        <f t="shared" si="263"/>
        <v>0</v>
      </c>
      <c r="BQ434" s="3123">
        <f t="shared" si="264"/>
        <v>0</v>
      </c>
      <c r="BR434" s="3123">
        <f t="shared" si="265"/>
        <v>0</v>
      </c>
      <c r="BS434" s="3123">
        <f t="shared" si="266"/>
        <v>0</v>
      </c>
      <c r="BT434" s="3175">
        <f t="shared" si="267"/>
        <v>0</v>
      </c>
    </row>
    <row r="435" spans="1:72">
      <c r="A435" s="3120"/>
      <c r="B435" s="3121"/>
      <c r="C435" s="3121"/>
      <c r="D435" s="3122"/>
      <c r="E435" s="3123">
        <f t="shared" si="239"/>
        <v>0</v>
      </c>
      <c r="F435" s="3124"/>
      <c r="G435" s="3125">
        <f t="shared" si="240"/>
        <v>0</v>
      </c>
      <c r="H435" s="3126">
        <f t="shared" si="241"/>
        <v>0</v>
      </c>
      <c r="I435" s="3133"/>
      <c r="J435" s="3133"/>
      <c r="K435" s="3133"/>
      <c r="L435" s="3133"/>
      <c r="M435" s="3133"/>
      <c r="N435" s="3133"/>
      <c r="O435" s="3133"/>
      <c r="P435" s="3133"/>
      <c r="Q435" s="3133"/>
      <c r="R435" s="3133"/>
      <c r="S435" s="3133"/>
      <c r="T435" s="3133"/>
      <c r="U435" s="3133"/>
      <c r="V435" s="3133"/>
      <c r="W435" s="3133"/>
      <c r="X435" s="3133"/>
      <c r="Y435" s="3133"/>
      <c r="Z435" s="3133"/>
      <c r="AA435" s="3133"/>
      <c r="AB435" s="3133"/>
      <c r="AC435" s="3123">
        <f t="shared" si="242"/>
        <v>0</v>
      </c>
      <c r="AD435" s="3143"/>
      <c r="AE435" s="3143"/>
      <c r="AF435" s="3143"/>
      <c r="AG435" s="3143"/>
      <c r="AH435" s="3143"/>
      <c r="AI435" s="3143"/>
      <c r="AJ435" s="3143"/>
      <c r="AK435" s="3143"/>
      <c r="AL435" s="3143"/>
      <c r="AM435" s="3143"/>
      <c r="AN435" s="3143"/>
      <c r="AO435" s="3143"/>
      <c r="AP435" s="3143"/>
      <c r="AQ435" s="3143"/>
      <c r="AR435" s="3143"/>
      <c r="AS435" s="3143"/>
      <c r="AT435" s="3153"/>
      <c r="AU435" s="3154"/>
      <c r="AV435" s="270">
        <f t="shared" si="243"/>
        <v>0</v>
      </c>
      <c r="AW435" s="270">
        <f t="shared" si="244"/>
        <v>0</v>
      </c>
      <c r="AX435" s="270">
        <f t="shared" si="245"/>
        <v>0</v>
      </c>
      <c r="AY435" s="3168">
        <f t="shared" si="246"/>
        <v>0</v>
      </c>
      <c r="AZ435" s="3123">
        <f t="shared" si="247"/>
        <v>0</v>
      </c>
      <c r="BA435" s="3123">
        <f t="shared" si="248"/>
        <v>0</v>
      </c>
      <c r="BB435" s="3123">
        <f t="shared" si="249"/>
        <v>0</v>
      </c>
      <c r="BC435" s="3123">
        <f t="shared" si="250"/>
        <v>0</v>
      </c>
      <c r="BD435" s="3123">
        <f t="shared" si="251"/>
        <v>0</v>
      </c>
      <c r="BE435" s="3123">
        <f t="shared" si="252"/>
        <v>0</v>
      </c>
      <c r="BF435" s="3123">
        <f t="shared" si="253"/>
        <v>0</v>
      </c>
      <c r="BG435" s="3123">
        <f t="shared" si="254"/>
        <v>0</v>
      </c>
      <c r="BH435" s="3123">
        <f t="shared" si="255"/>
        <v>0</v>
      </c>
      <c r="BI435" s="3123">
        <f t="shared" si="256"/>
        <v>0</v>
      </c>
      <c r="BJ435" s="3123">
        <f t="shared" si="257"/>
        <v>0</v>
      </c>
      <c r="BK435" s="3123">
        <f t="shared" si="258"/>
        <v>0</v>
      </c>
      <c r="BL435" s="3123">
        <f t="shared" si="259"/>
        <v>0</v>
      </c>
      <c r="BM435" s="3123">
        <f t="shared" si="260"/>
        <v>0</v>
      </c>
      <c r="BN435" s="3123">
        <f t="shared" si="261"/>
        <v>0</v>
      </c>
      <c r="BO435" s="3123">
        <f t="shared" si="262"/>
        <v>0</v>
      </c>
      <c r="BP435" s="3123">
        <f t="shared" si="263"/>
        <v>0</v>
      </c>
      <c r="BQ435" s="3123">
        <f t="shared" si="264"/>
        <v>0</v>
      </c>
      <c r="BR435" s="3123">
        <f t="shared" si="265"/>
        <v>0</v>
      </c>
      <c r="BS435" s="3123">
        <f t="shared" si="266"/>
        <v>0</v>
      </c>
      <c r="BT435" s="3175">
        <f t="shared" si="267"/>
        <v>0</v>
      </c>
    </row>
    <row r="436" spans="1:72">
      <c r="A436" s="3120"/>
      <c r="B436" s="3121"/>
      <c r="C436" s="3121"/>
      <c r="D436" s="3122"/>
      <c r="E436" s="3123">
        <f t="shared" si="239"/>
        <v>0</v>
      </c>
      <c r="F436" s="3124"/>
      <c r="G436" s="3125">
        <f t="shared" si="240"/>
        <v>0</v>
      </c>
      <c r="H436" s="3126">
        <f t="shared" si="241"/>
        <v>0</v>
      </c>
      <c r="I436" s="3133"/>
      <c r="J436" s="3133"/>
      <c r="K436" s="3133"/>
      <c r="L436" s="3133"/>
      <c r="M436" s="3133"/>
      <c r="N436" s="3133"/>
      <c r="O436" s="3133"/>
      <c r="P436" s="3133"/>
      <c r="Q436" s="3133"/>
      <c r="R436" s="3133"/>
      <c r="S436" s="3133"/>
      <c r="T436" s="3133"/>
      <c r="U436" s="3133"/>
      <c r="V436" s="3133"/>
      <c r="W436" s="3133"/>
      <c r="X436" s="3133"/>
      <c r="Y436" s="3133"/>
      <c r="Z436" s="3133"/>
      <c r="AA436" s="3133"/>
      <c r="AB436" s="3133"/>
      <c r="AC436" s="3123">
        <f t="shared" si="242"/>
        <v>0</v>
      </c>
      <c r="AD436" s="3143"/>
      <c r="AE436" s="3143"/>
      <c r="AF436" s="3143"/>
      <c r="AG436" s="3143"/>
      <c r="AH436" s="3143"/>
      <c r="AI436" s="3143"/>
      <c r="AJ436" s="3143"/>
      <c r="AK436" s="3143"/>
      <c r="AL436" s="3143"/>
      <c r="AM436" s="3143"/>
      <c r="AN436" s="3143"/>
      <c r="AO436" s="3143"/>
      <c r="AP436" s="3143"/>
      <c r="AQ436" s="3143"/>
      <c r="AR436" s="3143"/>
      <c r="AS436" s="3143"/>
      <c r="AT436" s="3153"/>
      <c r="AU436" s="3154"/>
      <c r="AV436" s="270">
        <f t="shared" si="243"/>
        <v>0</v>
      </c>
      <c r="AW436" s="270">
        <f t="shared" si="244"/>
        <v>0</v>
      </c>
      <c r="AX436" s="270">
        <f t="shared" si="245"/>
        <v>0</v>
      </c>
      <c r="AY436" s="3168">
        <f t="shared" si="246"/>
        <v>0</v>
      </c>
      <c r="AZ436" s="3123">
        <f t="shared" si="247"/>
        <v>0</v>
      </c>
      <c r="BA436" s="3123">
        <f t="shared" si="248"/>
        <v>0</v>
      </c>
      <c r="BB436" s="3123">
        <f t="shared" si="249"/>
        <v>0</v>
      </c>
      <c r="BC436" s="3123">
        <f t="shared" si="250"/>
        <v>0</v>
      </c>
      <c r="BD436" s="3123">
        <f t="shared" si="251"/>
        <v>0</v>
      </c>
      <c r="BE436" s="3123">
        <f t="shared" si="252"/>
        <v>0</v>
      </c>
      <c r="BF436" s="3123">
        <f t="shared" si="253"/>
        <v>0</v>
      </c>
      <c r="BG436" s="3123">
        <f t="shared" si="254"/>
        <v>0</v>
      </c>
      <c r="BH436" s="3123">
        <f t="shared" si="255"/>
        <v>0</v>
      </c>
      <c r="BI436" s="3123">
        <f t="shared" si="256"/>
        <v>0</v>
      </c>
      <c r="BJ436" s="3123">
        <f t="shared" si="257"/>
        <v>0</v>
      </c>
      <c r="BK436" s="3123">
        <f t="shared" si="258"/>
        <v>0</v>
      </c>
      <c r="BL436" s="3123">
        <f t="shared" si="259"/>
        <v>0</v>
      </c>
      <c r="BM436" s="3123">
        <f t="shared" si="260"/>
        <v>0</v>
      </c>
      <c r="BN436" s="3123">
        <f t="shared" si="261"/>
        <v>0</v>
      </c>
      <c r="BO436" s="3123">
        <f t="shared" si="262"/>
        <v>0</v>
      </c>
      <c r="BP436" s="3123">
        <f t="shared" si="263"/>
        <v>0</v>
      </c>
      <c r="BQ436" s="3123">
        <f t="shared" si="264"/>
        <v>0</v>
      </c>
      <c r="BR436" s="3123">
        <f t="shared" si="265"/>
        <v>0</v>
      </c>
      <c r="BS436" s="3123">
        <f t="shared" si="266"/>
        <v>0</v>
      </c>
      <c r="BT436" s="3175">
        <f t="shared" si="267"/>
        <v>0</v>
      </c>
    </row>
    <row r="437" spans="1:72">
      <c r="A437" s="3120"/>
      <c r="B437" s="3121"/>
      <c r="C437" s="3121"/>
      <c r="D437" s="3122"/>
      <c r="E437" s="3123">
        <f t="shared" si="239"/>
        <v>0</v>
      </c>
      <c r="F437" s="3124"/>
      <c r="G437" s="3125">
        <f t="shared" si="240"/>
        <v>0</v>
      </c>
      <c r="H437" s="3126">
        <f t="shared" si="241"/>
        <v>0</v>
      </c>
      <c r="I437" s="3133"/>
      <c r="J437" s="3133"/>
      <c r="K437" s="3133"/>
      <c r="L437" s="3133"/>
      <c r="M437" s="3133"/>
      <c r="N437" s="3133"/>
      <c r="O437" s="3133"/>
      <c r="P437" s="3133"/>
      <c r="Q437" s="3133"/>
      <c r="R437" s="3133"/>
      <c r="S437" s="3133"/>
      <c r="T437" s="3133"/>
      <c r="U437" s="3133"/>
      <c r="V437" s="3133"/>
      <c r="W437" s="3133"/>
      <c r="X437" s="3133"/>
      <c r="Y437" s="3133"/>
      <c r="Z437" s="3133"/>
      <c r="AA437" s="3133"/>
      <c r="AB437" s="3133"/>
      <c r="AC437" s="3123">
        <f t="shared" si="242"/>
        <v>0</v>
      </c>
      <c r="AD437" s="3143"/>
      <c r="AE437" s="3143"/>
      <c r="AF437" s="3143"/>
      <c r="AG437" s="3143"/>
      <c r="AH437" s="3143"/>
      <c r="AI437" s="3143"/>
      <c r="AJ437" s="3143"/>
      <c r="AK437" s="3143"/>
      <c r="AL437" s="3143"/>
      <c r="AM437" s="3143"/>
      <c r="AN437" s="3143"/>
      <c r="AO437" s="3143"/>
      <c r="AP437" s="3143"/>
      <c r="AQ437" s="3143"/>
      <c r="AR437" s="3143"/>
      <c r="AS437" s="3143"/>
      <c r="AT437" s="3153"/>
      <c r="AU437" s="3154"/>
      <c r="AV437" s="270">
        <f t="shared" si="243"/>
        <v>0</v>
      </c>
      <c r="AW437" s="270">
        <f t="shared" si="244"/>
        <v>0</v>
      </c>
      <c r="AX437" s="270">
        <f t="shared" si="245"/>
        <v>0</v>
      </c>
      <c r="AY437" s="3168">
        <f t="shared" si="246"/>
        <v>0</v>
      </c>
      <c r="AZ437" s="3123">
        <f t="shared" si="247"/>
        <v>0</v>
      </c>
      <c r="BA437" s="3123">
        <f t="shared" si="248"/>
        <v>0</v>
      </c>
      <c r="BB437" s="3123">
        <f t="shared" si="249"/>
        <v>0</v>
      </c>
      <c r="BC437" s="3123">
        <f t="shared" si="250"/>
        <v>0</v>
      </c>
      <c r="BD437" s="3123">
        <f t="shared" si="251"/>
        <v>0</v>
      </c>
      <c r="BE437" s="3123">
        <f t="shared" si="252"/>
        <v>0</v>
      </c>
      <c r="BF437" s="3123">
        <f t="shared" si="253"/>
        <v>0</v>
      </c>
      <c r="BG437" s="3123">
        <f t="shared" si="254"/>
        <v>0</v>
      </c>
      <c r="BH437" s="3123">
        <f t="shared" si="255"/>
        <v>0</v>
      </c>
      <c r="BI437" s="3123">
        <f t="shared" si="256"/>
        <v>0</v>
      </c>
      <c r="BJ437" s="3123">
        <f t="shared" si="257"/>
        <v>0</v>
      </c>
      <c r="BK437" s="3123">
        <f t="shared" si="258"/>
        <v>0</v>
      </c>
      <c r="BL437" s="3123">
        <f t="shared" si="259"/>
        <v>0</v>
      </c>
      <c r="BM437" s="3123">
        <f t="shared" si="260"/>
        <v>0</v>
      </c>
      <c r="BN437" s="3123">
        <f t="shared" si="261"/>
        <v>0</v>
      </c>
      <c r="BO437" s="3123">
        <f t="shared" si="262"/>
        <v>0</v>
      </c>
      <c r="BP437" s="3123">
        <f t="shared" si="263"/>
        <v>0</v>
      </c>
      <c r="BQ437" s="3123">
        <f t="shared" si="264"/>
        <v>0</v>
      </c>
      <c r="BR437" s="3123">
        <f t="shared" si="265"/>
        <v>0</v>
      </c>
      <c r="BS437" s="3123">
        <f t="shared" si="266"/>
        <v>0</v>
      </c>
      <c r="BT437" s="3175">
        <f t="shared" si="267"/>
        <v>0</v>
      </c>
    </row>
    <row r="438" spans="1:72">
      <c r="A438" s="3120"/>
      <c r="B438" s="3121"/>
      <c r="C438" s="3121"/>
      <c r="D438" s="3122"/>
      <c r="E438" s="3123">
        <f t="shared" si="239"/>
        <v>0</v>
      </c>
      <c r="F438" s="3124"/>
      <c r="G438" s="3125">
        <f t="shared" si="240"/>
        <v>0</v>
      </c>
      <c r="H438" s="3126">
        <f t="shared" si="241"/>
        <v>0</v>
      </c>
      <c r="I438" s="3133"/>
      <c r="J438" s="3133"/>
      <c r="K438" s="3133"/>
      <c r="L438" s="3133"/>
      <c r="M438" s="3133"/>
      <c r="N438" s="3133"/>
      <c r="O438" s="3133"/>
      <c r="P438" s="3133"/>
      <c r="Q438" s="3133"/>
      <c r="R438" s="3133"/>
      <c r="S438" s="3133"/>
      <c r="T438" s="3133"/>
      <c r="U438" s="3133"/>
      <c r="V438" s="3133"/>
      <c r="W438" s="3133"/>
      <c r="X438" s="3133"/>
      <c r="Y438" s="3133"/>
      <c r="Z438" s="3133"/>
      <c r="AA438" s="3133"/>
      <c r="AB438" s="3133"/>
      <c r="AC438" s="3123">
        <f t="shared" si="242"/>
        <v>0</v>
      </c>
      <c r="AD438" s="3143"/>
      <c r="AE438" s="3143"/>
      <c r="AF438" s="3143"/>
      <c r="AG438" s="3143"/>
      <c r="AH438" s="3143"/>
      <c r="AI438" s="3143"/>
      <c r="AJ438" s="3143"/>
      <c r="AK438" s="3143"/>
      <c r="AL438" s="3143"/>
      <c r="AM438" s="3143"/>
      <c r="AN438" s="3143"/>
      <c r="AO438" s="3143"/>
      <c r="AP438" s="3143"/>
      <c r="AQ438" s="3143"/>
      <c r="AR438" s="3143"/>
      <c r="AS438" s="3143"/>
      <c r="AT438" s="3153"/>
      <c r="AU438" s="3154"/>
      <c r="AV438" s="270">
        <f t="shared" si="243"/>
        <v>0</v>
      </c>
      <c r="AW438" s="270">
        <f t="shared" si="244"/>
        <v>0</v>
      </c>
      <c r="AX438" s="270">
        <f t="shared" si="245"/>
        <v>0</v>
      </c>
      <c r="AY438" s="3168">
        <f t="shared" si="246"/>
        <v>0</v>
      </c>
      <c r="AZ438" s="3123">
        <f t="shared" si="247"/>
        <v>0</v>
      </c>
      <c r="BA438" s="3123">
        <f t="shared" si="248"/>
        <v>0</v>
      </c>
      <c r="BB438" s="3123">
        <f t="shared" si="249"/>
        <v>0</v>
      </c>
      <c r="BC438" s="3123">
        <f t="shared" si="250"/>
        <v>0</v>
      </c>
      <c r="BD438" s="3123">
        <f t="shared" si="251"/>
        <v>0</v>
      </c>
      <c r="BE438" s="3123">
        <f t="shared" si="252"/>
        <v>0</v>
      </c>
      <c r="BF438" s="3123">
        <f t="shared" si="253"/>
        <v>0</v>
      </c>
      <c r="BG438" s="3123">
        <f t="shared" si="254"/>
        <v>0</v>
      </c>
      <c r="BH438" s="3123">
        <f t="shared" si="255"/>
        <v>0</v>
      </c>
      <c r="BI438" s="3123">
        <f t="shared" si="256"/>
        <v>0</v>
      </c>
      <c r="BJ438" s="3123">
        <f t="shared" si="257"/>
        <v>0</v>
      </c>
      <c r="BK438" s="3123">
        <f t="shared" si="258"/>
        <v>0</v>
      </c>
      <c r="BL438" s="3123">
        <f t="shared" si="259"/>
        <v>0</v>
      </c>
      <c r="BM438" s="3123">
        <f t="shared" si="260"/>
        <v>0</v>
      </c>
      <c r="BN438" s="3123">
        <f t="shared" si="261"/>
        <v>0</v>
      </c>
      <c r="BO438" s="3123">
        <f t="shared" si="262"/>
        <v>0</v>
      </c>
      <c r="BP438" s="3123">
        <f t="shared" si="263"/>
        <v>0</v>
      </c>
      <c r="BQ438" s="3123">
        <f t="shared" si="264"/>
        <v>0</v>
      </c>
      <c r="BR438" s="3123">
        <f t="shared" si="265"/>
        <v>0</v>
      </c>
      <c r="BS438" s="3123">
        <f t="shared" si="266"/>
        <v>0</v>
      </c>
      <c r="BT438" s="3175">
        <f t="shared" si="267"/>
        <v>0</v>
      </c>
    </row>
    <row r="439" spans="1:72">
      <c r="A439" s="3120"/>
      <c r="B439" s="3121"/>
      <c r="C439" s="3121"/>
      <c r="D439" s="3122"/>
      <c r="E439" s="3123">
        <f t="shared" si="239"/>
        <v>0</v>
      </c>
      <c r="F439" s="3124"/>
      <c r="G439" s="3125">
        <f t="shared" si="240"/>
        <v>0</v>
      </c>
      <c r="H439" s="3126">
        <f t="shared" si="241"/>
        <v>0</v>
      </c>
      <c r="I439" s="3133"/>
      <c r="J439" s="3133"/>
      <c r="K439" s="3133"/>
      <c r="L439" s="3133"/>
      <c r="M439" s="3133"/>
      <c r="N439" s="3133"/>
      <c r="O439" s="3133"/>
      <c r="P439" s="3133"/>
      <c r="Q439" s="3133"/>
      <c r="R439" s="3133"/>
      <c r="S439" s="3133"/>
      <c r="T439" s="3133"/>
      <c r="U439" s="3133"/>
      <c r="V439" s="3133"/>
      <c r="W439" s="3133"/>
      <c r="X439" s="3133"/>
      <c r="Y439" s="3133"/>
      <c r="Z439" s="3133"/>
      <c r="AA439" s="3133"/>
      <c r="AB439" s="3133"/>
      <c r="AC439" s="3123">
        <f t="shared" si="242"/>
        <v>0</v>
      </c>
      <c r="AD439" s="3143"/>
      <c r="AE439" s="3143"/>
      <c r="AF439" s="3143"/>
      <c r="AG439" s="3143"/>
      <c r="AH439" s="3143"/>
      <c r="AI439" s="3143"/>
      <c r="AJ439" s="3143"/>
      <c r="AK439" s="3143"/>
      <c r="AL439" s="3143"/>
      <c r="AM439" s="3143"/>
      <c r="AN439" s="3143"/>
      <c r="AO439" s="3143"/>
      <c r="AP439" s="3143"/>
      <c r="AQ439" s="3143"/>
      <c r="AR439" s="3143"/>
      <c r="AS439" s="3143"/>
      <c r="AT439" s="3153"/>
      <c r="AU439" s="3154"/>
      <c r="AV439" s="270">
        <f t="shared" si="243"/>
        <v>0</v>
      </c>
      <c r="AW439" s="270">
        <f t="shared" si="244"/>
        <v>0</v>
      </c>
      <c r="AX439" s="270">
        <f t="shared" si="245"/>
        <v>0</v>
      </c>
      <c r="AY439" s="3168">
        <f t="shared" si="246"/>
        <v>0</v>
      </c>
      <c r="AZ439" s="3123">
        <f t="shared" si="247"/>
        <v>0</v>
      </c>
      <c r="BA439" s="3123">
        <f t="shared" si="248"/>
        <v>0</v>
      </c>
      <c r="BB439" s="3123">
        <f t="shared" si="249"/>
        <v>0</v>
      </c>
      <c r="BC439" s="3123">
        <f t="shared" si="250"/>
        <v>0</v>
      </c>
      <c r="BD439" s="3123">
        <f t="shared" si="251"/>
        <v>0</v>
      </c>
      <c r="BE439" s="3123">
        <f t="shared" si="252"/>
        <v>0</v>
      </c>
      <c r="BF439" s="3123">
        <f t="shared" si="253"/>
        <v>0</v>
      </c>
      <c r="BG439" s="3123">
        <f t="shared" si="254"/>
        <v>0</v>
      </c>
      <c r="BH439" s="3123">
        <f t="shared" si="255"/>
        <v>0</v>
      </c>
      <c r="BI439" s="3123">
        <f t="shared" si="256"/>
        <v>0</v>
      </c>
      <c r="BJ439" s="3123">
        <f t="shared" si="257"/>
        <v>0</v>
      </c>
      <c r="BK439" s="3123">
        <f t="shared" si="258"/>
        <v>0</v>
      </c>
      <c r="BL439" s="3123">
        <f t="shared" si="259"/>
        <v>0</v>
      </c>
      <c r="BM439" s="3123">
        <f t="shared" si="260"/>
        <v>0</v>
      </c>
      <c r="BN439" s="3123">
        <f t="shared" si="261"/>
        <v>0</v>
      </c>
      <c r="BO439" s="3123">
        <f t="shared" si="262"/>
        <v>0</v>
      </c>
      <c r="BP439" s="3123">
        <f t="shared" si="263"/>
        <v>0</v>
      </c>
      <c r="BQ439" s="3123">
        <f t="shared" si="264"/>
        <v>0</v>
      </c>
      <c r="BR439" s="3123">
        <f t="shared" si="265"/>
        <v>0</v>
      </c>
      <c r="BS439" s="3123">
        <f t="shared" si="266"/>
        <v>0</v>
      </c>
      <c r="BT439" s="3175">
        <f t="shared" si="267"/>
        <v>0</v>
      </c>
    </row>
    <row r="440" spans="1:72">
      <c r="A440" s="3120"/>
      <c r="B440" s="3121"/>
      <c r="C440" s="3121"/>
      <c r="D440" s="3122"/>
      <c r="E440" s="3123">
        <f t="shared" si="239"/>
        <v>0</v>
      </c>
      <c r="F440" s="3124"/>
      <c r="G440" s="3125">
        <f t="shared" si="240"/>
        <v>0</v>
      </c>
      <c r="H440" s="3126">
        <f t="shared" si="241"/>
        <v>0</v>
      </c>
      <c r="I440" s="3133"/>
      <c r="J440" s="3133"/>
      <c r="K440" s="3133"/>
      <c r="L440" s="3133"/>
      <c r="M440" s="3133"/>
      <c r="N440" s="3133"/>
      <c r="O440" s="3133"/>
      <c r="P440" s="3133"/>
      <c r="Q440" s="3133"/>
      <c r="R440" s="3133"/>
      <c r="S440" s="3133"/>
      <c r="T440" s="3133"/>
      <c r="U440" s="3133"/>
      <c r="V440" s="3133"/>
      <c r="W440" s="3133"/>
      <c r="X440" s="3133"/>
      <c r="Y440" s="3133"/>
      <c r="Z440" s="3133"/>
      <c r="AA440" s="3133"/>
      <c r="AB440" s="3133"/>
      <c r="AC440" s="3123">
        <f t="shared" si="242"/>
        <v>0</v>
      </c>
      <c r="AD440" s="3143"/>
      <c r="AE440" s="3143"/>
      <c r="AF440" s="3143"/>
      <c r="AG440" s="3143"/>
      <c r="AH440" s="3143"/>
      <c r="AI440" s="3143"/>
      <c r="AJ440" s="3143"/>
      <c r="AK440" s="3143"/>
      <c r="AL440" s="3143"/>
      <c r="AM440" s="3143"/>
      <c r="AN440" s="3143"/>
      <c r="AO440" s="3143"/>
      <c r="AP440" s="3143"/>
      <c r="AQ440" s="3143"/>
      <c r="AR440" s="3143"/>
      <c r="AS440" s="3143"/>
      <c r="AT440" s="3153"/>
      <c r="AU440" s="3154"/>
      <c r="AV440" s="270">
        <f t="shared" si="243"/>
        <v>0</v>
      </c>
      <c r="AW440" s="270">
        <f t="shared" si="244"/>
        <v>0</v>
      </c>
      <c r="AX440" s="270">
        <f t="shared" si="245"/>
        <v>0</v>
      </c>
      <c r="AY440" s="3168">
        <f t="shared" si="246"/>
        <v>0</v>
      </c>
      <c r="AZ440" s="3123">
        <f t="shared" si="247"/>
        <v>0</v>
      </c>
      <c r="BA440" s="3123">
        <f t="shared" si="248"/>
        <v>0</v>
      </c>
      <c r="BB440" s="3123">
        <f t="shared" si="249"/>
        <v>0</v>
      </c>
      <c r="BC440" s="3123">
        <f t="shared" si="250"/>
        <v>0</v>
      </c>
      <c r="BD440" s="3123">
        <f t="shared" si="251"/>
        <v>0</v>
      </c>
      <c r="BE440" s="3123">
        <f t="shared" si="252"/>
        <v>0</v>
      </c>
      <c r="BF440" s="3123">
        <f t="shared" si="253"/>
        <v>0</v>
      </c>
      <c r="BG440" s="3123">
        <f t="shared" si="254"/>
        <v>0</v>
      </c>
      <c r="BH440" s="3123">
        <f t="shared" si="255"/>
        <v>0</v>
      </c>
      <c r="BI440" s="3123">
        <f t="shared" si="256"/>
        <v>0</v>
      </c>
      <c r="BJ440" s="3123">
        <f t="shared" si="257"/>
        <v>0</v>
      </c>
      <c r="BK440" s="3123">
        <f t="shared" si="258"/>
        <v>0</v>
      </c>
      <c r="BL440" s="3123">
        <f t="shared" si="259"/>
        <v>0</v>
      </c>
      <c r="BM440" s="3123">
        <f t="shared" si="260"/>
        <v>0</v>
      </c>
      <c r="BN440" s="3123">
        <f t="shared" si="261"/>
        <v>0</v>
      </c>
      <c r="BO440" s="3123">
        <f t="shared" si="262"/>
        <v>0</v>
      </c>
      <c r="BP440" s="3123">
        <f t="shared" si="263"/>
        <v>0</v>
      </c>
      <c r="BQ440" s="3123">
        <f t="shared" si="264"/>
        <v>0</v>
      </c>
      <c r="BR440" s="3123">
        <f t="shared" si="265"/>
        <v>0</v>
      </c>
      <c r="BS440" s="3123">
        <f t="shared" si="266"/>
        <v>0</v>
      </c>
      <c r="BT440" s="3175">
        <f t="shared" si="267"/>
        <v>0</v>
      </c>
    </row>
    <row r="441" spans="1:72">
      <c r="A441" s="3120"/>
      <c r="B441" s="3121"/>
      <c r="C441" s="3121"/>
      <c r="D441" s="3122"/>
      <c r="E441" s="3123">
        <f t="shared" si="239"/>
        <v>0</v>
      </c>
      <c r="F441" s="3124"/>
      <c r="G441" s="3125">
        <f t="shared" si="240"/>
        <v>0</v>
      </c>
      <c r="H441" s="3126">
        <f t="shared" si="241"/>
        <v>0</v>
      </c>
      <c r="I441" s="3133"/>
      <c r="J441" s="3133"/>
      <c r="K441" s="3133"/>
      <c r="L441" s="3133"/>
      <c r="M441" s="3133"/>
      <c r="N441" s="3133"/>
      <c r="O441" s="3133"/>
      <c r="P441" s="3133"/>
      <c r="Q441" s="3133"/>
      <c r="R441" s="3133"/>
      <c r="S441" s="3133"/>
      <c r="T441" s="3133"/>
      <c r="U441" s="3133"/>
      <c r="V441" s="3133"/>
      <c r="W441" s="3133"/>
      <c r="X441" s="3133"/>
      <c r="Y441" s="3133"/>
      <c r="Z441" s="3133"/>
      <c r="AA441" s="3133"/>
      <c r="AB441" s="3133"/>
      <c r="AC441" s="3123">
        <f t="shared" si="242"/>
        <v>0</v>
      </c>
      <c r="AD441" s="3143"/>
      <c r="AE441" s="3143"/>
      <c r="AF441" s="3143"/>
      <c r="AG441" s="3143"/>
      <c r="AH441" s="3143"/>
      <c r="AI441" s="3143"/>
      <c r="AJ441" s="3143"/>
      <c r="AK441" s="3143"/>
      <c r="AL441" s="3143"/>
      <c r="AM441" s="3143"/>
      <c r="AN441" s="3143"/>
      <c r="AO441" s="3143"/>
      <c r="AP441" s="3143"/>
      <c r="AQ441" s="3143"/>
      <c r="AR441" s="3143"/>
      <c r="AS441" s="3143"/>
      <c r="AT441" s="3153"/>
      <c r="AU441" s="3154"/>
      <c r="AV441" s="270">
        <f t="shared" si="243"/>
        <v>0</v>
      </c>
      <c r="AW441" s="270">
        <f t="shared" si="244"/>
        <v>0</v>
      </c>
      <c r="AX441" s="270">
        <f t="shared" si="245"/>
        <v>0</v>
      </c>
      <c r="AY441" s="3168">
        <f t="shared" si="246"/>
        <v>0</v>
      </c>
      <c r="AZ441" s="3123">
        <f t="shared" si="247"/>
        <v>0</v>
      </c>
      <c r="BA441" s="3123">
        <f t="shared" si="248"/>
        <v>0</v>
      </c>
      <c r="BB441" s="3123">
        <f t="shared" si="249"/>
        <v>0</v>
      </c>
      <c r="BC441" s="3123">
        <f t="shared" si="250"/>
        <v>0</v>
      </c>
      <c r="BD441" s="3123">
        <f t="shared" si="251"/>
        <v>0</v>
      </c>
      <c r="BE441" s="3123">
        <f t="shared" si="252"/>
        <v>0</v>
      </c>
      <c r="BF441" s="3123">
        <f t="shared" si="253"/>
        <v>0</v>
      </c>
      <c r="BG441" s="3123">
        <f t="shared" si="254"/>
        <v>0</v>
      </c>
      <c r="BH441" s="3123">
        <f t="shared" si="255"/>
        <v>0</v>
      </c>
      <c r="BI441" s="3123">
        <f t="shared" si="256"/>
        <v>0</v>
      </c>
      <c r="BJ441" s="3123">
        <f t="shared" si="257"/>
        <v>0</v>
      </c>
      <c r="BK441" s="3123">
        <f t="shared" si="258"/>
        <v>0</v>
      </c>
      <c r="BL441" s="3123">
        <f t="shared" si="259"/>
        <v>0</v>
      </c>
      <c r="BM441" s="3123">
        <f t="shared" si="260"/>
        <v>0</v>
      </c>
      <c r="BN441" s="3123">
        <f t="shared" si="261"/>
        <v>0</v>
      </c>
      <c r="BO441" s="3123">
        <f t="shared" si="262"/>
        <v>0</v>
      </c>
      <c r="BP441" s="3123">
        <f t="shared" si="263"/>
        <v>0</v>
      </c>
      <c r="BQ441" s="3123">
        <f t="shared" si="264"/>
        <v>0</v>
      </c>
      <c r="BR441" s="3123">
        <f t="shared" si="265"/>
        <v>0</v>
      </c>
      <c r="BS441" s="3123">
        <f t="shared" si="266"/>
        <v>0</v>
      </c>
      <c r="BT441" s="3175">
        <f t="shared" si="267"/>
        <v>0</v>
      </c>
    </row>
    <row r="442" spans="1:72">
      <c r="A442" s="3120"/>
      <c r="B442" s="3121"/>
      <c r="C442" s="3121"/>
      <c r="D442" s="3122"/>
      <c r="E442" s="3123">
        <f t="shared" si="239"/>
        <v>0</v>
      </c>
      <c r="F442" s="3124"/>
      <c r="G442" s="3125">
        <f t="shared" si="240"/>
        <v>0</v>
      </c>
      <c r="H442" s="3126">
        <f t="shared" si="241"/>
        <v>0</v>
      </c>
      <c r="I442" s="3133"/>
      <c r="J442" s="3133"/>
      <c r="K442" s="3133"/>
      <c r="L442" s="3133"/>
      <c r="M442" s="3133"/>
      <c r="N442" s="3133"/>
      <c r="O442" s="3133"/>
      <c r="P442" s="3133"/>
      <c r="Q442" s="3133"/>
      <c r="R442" s="3133"/>
      <c r="S442" s="3133"/>
      <c r="T442" s="3133"/>
      <c r="U442" s="3133"/>
      <c r="V442" s="3133"/>
      <c r="W442" s="3133"/>
      <c r="X442" s="3133"/>
      <c r="Y442" s="3133"/>
      <c r="Z442" s="3133"/>
      <c r="AA442" s="3133"/>
      <c r="AB442" s="3133"/>
      <c r="AC442" s="3123">
        <f t="shared" si="242"/>
        <v>0</v>
      </c>
      <c r="AD442" s="3143"/>
      <c r="AE442" s="3143"/>
      <c r="AF442" s="3143"/>
      <c r="AG442" s="3143"/>
      <c r="AH442" s="3143"/>
      <c r="AI442" s="3143"/>
      <c r="AJ442" s="3143"/>
      <c r="AK442" s="3143"/>
      <c r="AL442" s="3143"/>
      <c r="AM442" s="3143"/>
      <c r="AN442" s="3143"/>
      <c r="AO442" s="3143"/>
      <c r="AP442" s="3143"/>
      <c r="AQ442" s="3143"/>
      <c r="AR442" s="3143"/>
      <c r="AS442" s="3143"/>
      <c r="AT442" s="3153"/>
      <c r="AU442" s="3154"/>
      <c r="AV442" s="270">
        <f t="shared" si="243"/>
        <v>0</v>
      </c>
      <c r="AW442" s="270">
        <f t="shared" si="244"/>
        <v>0</v>
      </c>
      <c r="AX442" s="270">
        <f t="shared" si="245"/>
        <v>0</v>
      </c>
      <c r="AY442" s="3168">
        <f t="shared" si="246"/>
        <v>0</v>
      </c>
      <c r="AZ442" s="3123">
        <f t="shared" si="247"/>
        <v>0</v>
      </c>
      <c r="BA442" s="3123">
        <f t="shared" si="248"/>
        <v>0</v>
      </c>
      <c r="BB442" s="3123">
        <f t="shared" si="249"/>
        <v>0</v>
      </c>
      <c r="BC442" s="3123">
        <f t="shared" si="250"/>
        <v>0</v>
      </c>
      <c r="BD442" s="3123">
        <f t="shared" si="251"/>
        <v>0</v>
      </c>
      <c r="BE442" s="3123">
        <f t="shared" si="252"/>
        <v>0</v>
      </c>
      <c r="BF442" s="3123">
        <f t="shared" si="253"/>
        <v>0</v>
      </c>
      <c r="BG442" s="3123">
        <f t="shared" si="254"/>
        <v>0</v>
      </c>
      <c r="BH442" s="3123">
        <f t="shared" si="255"/>
        <v>0</v>
      </c>
      <c r="BI442" s="3123">
        <f t="shared" si="256"/>
        <v>0</v>
      </c>
      <c r="BJ442" s="3123">
        <f t="shared" si="257"/>
        <v>0</v>
      </c>
      <c r="BK442" s="3123">
        <f t="shared" si="258"/>
        <v>0</v>
      </c>
      <c r="BL442" s="3123">
        <f t="shared" si="259"/>
        <v>0</v>
      </c>
      <c r="BM442" s="3123">
        <f t="shared" si="260"/>
        <v>0</v>
      </c>
      <c r="BN442" s="3123">
        <f t="shared" si="261"/>
        <v>0</v>
      </c>
      <c r="BO442" s="3123">
        <f t="shared" si="262"/>
        <v>0</v>
      </c>
      <c r="BP442" s="3123">
        <f t="shared" si="263"/>
        <v>0</v>
      </c>
      <c r="BQ442" s="3123">
        <f t="shared" si="264"/>
        <v>0</v>
      </c>
      <c r="BR442" s="3123">
        <f t="shared" si="265"/>
        <v>0</v>
      </c>
      <c r="BS442" s="3123">
        <f t="shared" si="266"/>
        <v>0</v>
      </c>
      <c r="BT442" s="3175">
        <f t="shared" si="267"/>
        <v>0</v>
      </c>
    </row>
    <row r="443" spans="1:72">
      <c r="A443" s="3120"/>
      <c r="B443" s="3121"/>
      <c r="C443" s="3121"/>
      <c r="D443" s="3122"/>
      <c r="E443" s="3123">
        <f t="shared" si="239"/>
        <v>0</v>
      </c>
      <c r="F443" s="3124"/>
      <c r="G443" s="3125">
        <f t="shared" si="240"/>
        <v>0</v>
      </c>
      <c r="H443" s="3126">
        <f t="shared" si="241"/>
        <v>0</v>
      </c>
      <c r="I443" s="3133"/>
      <c r="J443" s="3133"/>
      <c r="K443" s="3133"/>
      <c r="L443" s="3133"/>
      <c r="M443" s="3133"/>
      <c r="N443" s="3133"/>
      <c r="O443" s="3133"/>
      <c r="P443" s="3133"/>
      <c r="Q443" s="3133"/>
      <c r="R443" s="3133"/>
      <c r="S443" s="3133"/>
      <c r="T443" s="3133"/>
      <c r="U443" s="3133"/>
      <c r="V443" s="3133"/>
      <c r="W443" s="3133"/>
      <c r="X443" s="3133"/>
      <c r="Y443" s="3133"/>
      <c r="Z443" s="3133"/>
      <c r="AA443" s="3133"/>
      <c r="AB443" s="3133"/>
      <c r="AC443" s="3123">
        <f t="shared" si="242"/>
        <v>0</v>
      </c>
      <c r="AD443" s="3143"/>
      <c r="AE443" s="3143"/>
      <c r="AF443" s="3143"/>
      <c r="AG443" s="3143"/>
      <c r="AH443" s="3143"/>
      <c r="AI443" s="3143"/>
      <c r="AJ443" s="3143"/>
      <c r="AK443" s="3143"/>
      <c r="AL443" s="3143"/>
      <c r="AM443" s="3143"/>
      <c r="AN443" s="3143"/>
      <c r="AO443" s="3143"/>
      <c r="AP443" s="3143"/>
      <c r="AQ443" s="3143"/>
      <c r="AR443" s="3143"/>
      <c r="AS443" s="3143"/>
      <c r="AT443" s="3153"/>
      <c r="AU443" s="3154"/>
      <c r="AV443" s="270">
        <f t="shared" si="243"/>
        <v>0</v>
      </c>
      <c r="AW443" s="270">
        <f t="shared" si="244"/>
        <v>0</v>
      </c>
      <c r="AX443" s="270">
        <f t="shared" si="245"/>
        <v>0</v>
      </c>
      <c r="AY443" s="3168">
        <f t="shared" si="246"/>
        <v>0</v>
      </c>
      <c r="AZ443" s="3123">
        <f t="shared" si="247"/>
        <v>0</v>
      </c>
      <c r="BA443" s="3123">
        <f t="shared" si="248"/>
        <v>0</v>
      </c>
      <c r="BB443" s="3123">
        <f t="shared" si="249"/>
        <v>0</v>
      </c>
      <c r="BC443" s="3123">
        <f t="shared" si="250"/>
        <v>0</v>
      </c>
      <c r="BD443" s="3123">
        <f t="shared" si="251"/>
        <v>0</v>
      </c>
      <c r="BE443" s="3123">
        <f t="shared" si="252"/>
        <v>0</v>
      </c>
      <c r="BF443" s="3123">
        <f t="shared" si="253"/>
        <v>0</v>
      </c>
      <c r="BG443" s="3123">
        <f t="shared" si="254"/>
        <v>0</v>
      </c>
      <c r="BH443" s="3123">
        <f t="shared" si="255"/>
        <v>0</v>
      </c>
      <c r="BI443" s="3123">
        <f t="shared" si="256"/>
        <v>0</v>
      </c>
      <c r="BJ443" s="3123">
        <f t="shared" si="257"/>
        <v>0</v>
      </c>
      <c r="BK443" s="3123">
        <f t="shared" si="258"/>
        <v>0</v>
      </c>
      <c r="BL443" s="3123">
        <f t="shared" si="259"/>
        <v>0</v>
      </c>
      <c r="BM443" s="3123">
        <f t="shared" si="260"/>
        <v>0</v>
      </c>
      <c r="BN443" s="3123">
        <f t="shared" si="261"/>
        <v>0</v>
      </c>
      <c r="BO443" s="3123">
        <f t="shared" si="262"/>
        <v>0</v>
      </c>
      <c r="BP443" s="3123">
        <f t="shared" si="263"/>
        <v>0</v>
      </c>
      <c r="BQ443" s="3123">
        <f t="shared" si="264"/>
        <v>0</v>
      </c>
      <c r="BR443" s="3123">
        <f t="shared" si="265"/>
        <v>0</v>
      </c>
      <c r="BS443" s="3123">
        <f t="shared" si="266"/>
        <v>0</v>
      </c>
      <c r="BT443" s="3175">
        <f t="shared" si="267"/>
        <v>0</v>
      </c>
    </row>
    <row r="444" spans="1:72">
      <c r="A444" s="3120"/>
      <c r="B444" s="3121"/>
      <c r="C444" s="3121"/>
      <c r="D444" s="3122"/>
      <c r="E444" s="3123">
        <f t="shared" si="239"/>
        <v>0</v>
      </c>
      <c r="F444" s="3124"/>
      <c r="G444" s="3125">
        <f t="shared" si="240"/>
        <v>0</v>
      </c>
      <c r="H444" s="3126">
        <f t="shared" si="241"/>
        <v>0</v>
      </c>
      <c r="I444" s="3133"/>
      <c r="J444" s="3133"/>
      <c r="K444" s="3133"/>
      <c r="L444" s="3133"/>
      <c r="M444" s="3133"/>
      <c r="N444" s="3133"/>
      <c r="O444" s="3133"/>
      <c r="P444" s="3133"/>
      <c r="Q444" s="3133"/>
      <c r="R444" s="3133"/>
      <c r="S444" s="3133"/>
      <c r="T444" s="3133"/>
      <c r="U444" s="3133"/>
      <c r="V444" s="3133"/>
      <c r="W444" s="3133"/>
      <c r="X444" s="3133"/>
      <c r="Y444" s="3133"/>
      <c r="Z444" s="3133"/>
      <c r="AA444" s="3133"/>
      <c r="AB444" s="3133"/>
      <c r="AC444" s="3123">
        <f t="shared" si="242"/>
        <v>0</v>
      </c>
      <c r="AD444" s="3143"/>
      <c r="AE444" s="3143"/>
      <c r="AF444" s="3143"/>
      <c r="AG444" s="3143"/>
      <c r="AH444" s="3143"/>
      <c r="AI444" s="3143"/>
      <c r="AJ444" s="3143"/>
      <c r="AK444" s="3143"/>
      <c r="AL444" s="3143"/>
      <c r="AM444" s="3143"/>
      <c r="AN444" s="3143"/>
      <c r="AO444" s="3143"/>
      <c r="AP444" s="3143"/>
      <c r="AQ444" s="3143"/>
      <c r="AR444" s="3143"/>
      <c r="AS444" s="3143"/>
      <c r="AT444" s="3153"/>
      <c r="AU444" s="3154"/>
      <c r="AV444" s="270">
        <f t="shared" si="243"/>
        <v>0</v>
      </c>
      <c r="AW444" s="270">
        <f t="shared" si="244"/>
        <v>0</v>
      </c>
      <c r="AX444" s="270">
        <f t="shared" si="245"/>
        <v>0</v>
      </c>
      <c r="AY444" s="3168">
        <f t="shared" si="246"/>
        <v>0</v>
      </c>
      <c r="AZ444" s="3123">
        <f t="shared" si="247"/>
        <v>0</v>
      </c>
      <c r="BA444" s="3123">
        <f t="shared" si="248"/>
        <v>0</v>
      </c>
      <c r="BB444" s="3123">
        <f t="shared" si="249"/>
        <v>0</v>
      </c>
      <c r="BC444" s="3123">
        <f t="shared" si="250"/>
        <v>0</v>
      </c>
      <c r="BD444" s="3123">
        <f t="shared" si="251"/>
        <v>0</v>
      </c>
      <c r="BE444" s="3123">
        <f t="shared" si="252"/>
        <v>0</v>
      </c>
      <c r="BF444" s="3123">
        <f t="shared" si="253"/>
        <v>0</v>
      </c>
      <c r="BG444" s="3123">
        <f t="shared" si="254"/>
        <v>0</v>
      </c>
      <c r="BH444" s="3123">
        <f t="shared" si="255"/>
        <v>0</v>
      </c>
      <c r="BI444" s="3123">
        <f t="shared" si="256"/>
        <v>0</v>
      </c>
      <c r="BJ444" s="3123">
        <f t="shared" si="257"/>
        <v>0</v>
      </c>
      <c r="BK444" s="3123">
        <f t="shared" si="258"/>
        <v>0</v>
      </c>
      <c r="BL444" s="3123">
        <f t="shared" si="259"/>
        <v>0</v>
      </c>
      <c r="BM444" s="3123">
        <f t="shared" si="260"/>
        <v>0</v>
      </c>
      <c r="BN444" s="3123">
        <f t="shared" si="261"/>
        <v>0</v>
      </c>
      <c r="BO444" s="3123">
        <f t="shared" si="262"/>
        <v>0</v>
      </c>
      <c r="BP444" s="3123">
        <f t="shared" si="263"/>
        <v>0</v>
      </c>
      <c r="BQ444" s="3123">
        <f t="shared" si="264"/>
        <v>0</v>
      </c>
      <c r="BR444" s="3123">
        <f t="shared" si="265"/>
        <v>0</v>
      </c>
      <c r="BS444" s="3123">
        <f t="shared" si="266"/>
        <v>0</v>
      </c>
      <c r="BT444" s="3175">
        <f t="shared" si="267"/>
        <v>0</v>
      </c>
    </row>
    <row r="445" spans="1:72">
      <c r="A445" s="3120"/>
      <c r="B445" s="3121"/>
      <c r="C445" s="3121"/>
      <c r="D445" s="3122"/>
      <c r="E445" s="3123">
        <f t="shared" si="239"/>
        <v>0</v>
      </c>
      <c r="F445" s="3124"/>
      <c r="G445" s="3125">
        <f t="shared" si="240"/>
        <v>0</v>
      </c>
      <c r="H445" s="3126">
        <f t="shared" si="241"/>
        <v>0</v>
      </c>
      <c r="I445" s="3133"/>
      <c r="J445" s="3133"/>
      <c r="K445" s="3133"/>
      <c r="L445" s="3133"/>
      <c r="M445" s="3133"/>
      <c r="N445" s="3133"/>
      <c r="O445" s="3133"/>
      <c r="P445" s="3133"/>
      <c r="Q445" s="3133"/>
      <c r="R445" s="3133"/>
      <c r="S445" s="3133"/>
      <c r="T445" s="3133"/>
      <c r="U445" s="3133"/>
      <c r="V445" s="3133"/>
      <c r="W445" s="3133"/>
      <c r="X445" s="3133"/>
      <c r="Y445" s="3133"/>
      <c r="Z445" s="3133"/>
      <c r="AA445" s="3133"/>
      <c r="AB445" s="3133"/>
      <c r="AC445" s="3123">
        <f t="shared" si="242"/>
        <v>0</v>
      </c>
      <c r="AD445" s="3143"/>
      <c r="AE445" s="3143"/>
      <c r="AF445" s="3143"/>
      <c r="AG445" s="3143"/>
      <c r="AH445" s="3143"/>
      <c r="AI445" s="3143"/>
      <c r="AJ445" s="3143"/>
      <c r="AK445" s="3143"/>
      <c r="AL445" s="3143"/>
      <c r="AM445" s="3143"/>
      <c r="AN445" s="3143"/>
      <c r="AO445" s="3143"/>
      <c r="AP445" s="3143"/>
      <c r="AQ445" s="3143"/>
      <c r="AR445" s="3143"/>
      <c r="AS445" s="3143"/>
      <c r="AT445" s="3153"/>
      <c r="AU445" s="3154"/>
      <c r="AV445" s="270">
        <f t="shared" si="243"/>
        <v>0</v>
      </c>
      <c r="AW445" s="270">
        <f t="shared" si="244"/>
        <v>0</v>
      </c>
      <c r="AX445" s="270">
        <f t="shared" si="245"/>
        <v>0</v>
      </c>
      <c r="AY445" s="3168">
        <f t="shared" si="246"/>
        <v>0</v>
      </c>
      <c r="AZ445" s="3123">
        <f t="shared" si="247"/>
        <v>0</v>
      </c>
      <c r="BA445" s="3123">
        <f t="shared" si="248"/>
        <v>0</v>
      </c>
      <c r="BB445" s="3123">
        <f t="shared" si="249"/>
        <v>0</v>
      </c>
      <c r="BC445" s="3123">
        <f t="shared" si="250"/>
        <v>0</v>
      </c>
      <c r="BD445" s="3123">
        <f t="shared" si="251"/>
        <v>0</v>
      </c>
      <c r="BE445" s="3123">
        <f t="shared" si="252"/>
        <v>0</v>
      </c>
      <c r="BF445" s="3123">
        <f t="shared" si="253"/>
        <v>0</v>
      </c>
      <c r="BG445" s="3123">
        <f t="shared" si="254"/>
        <v>0</v>
      </c>
      <c r="BH445" s="3123">
        <f t="shared" si="255"/>
        <v>0</v>
      </c>
      <c r="BI445" s="3123">
        <f t="shared" si="256"/>
        <v>0</v>
      </c>
      <c r="BJ445" s="3123">
        <f t="shared" si="257"/>
        <v>0</v>
      </c>
      <c r="BK445" s="3123">
        <f t="shared" si="258"/>
        <v>0</v>
      </c>
      <c r="BL445" s="3123">
        <f t="shared" si="259"/>
        <v>0</v>
      </c>
      <c r="BM445" s="3123">
        <f t="shared" si="260"/>
        <v>0</v>
      </c>
      <c r="BN445" s="3123">
        <f t="shared" si="261"/>
        <v>0</v>
      </c>
      <c r="BO445" s="3123">
        <f t="shared" si="262"/>
        <v>0</v>
      </c>
      <c r="BP445" s="3123">
        <f t="shared" si="263"/>
        <v>0</v>
      </c>
      <c r="BQ445" s="3123">
        <f t="shared" si="264"/>
        <v>0</v>
      </c>
      <c r="BR445" s="3123">
        <f t="shared" si="265"/>
        <v>0</v>
      </c>
      <c r="BS445" s="3123">
        <f t="shared" si="266"/>
        <v>0</v>
      </c>
      <c r="BT445" s="3175">
        <f t="shared" si="267"/>
        <v>0</v>
      </c>
    </row>
    <row r="446" spans="1:72">
      <c r="A446" s="3120"/>
      <c r="B446" s="3121"/>
      <c r="C446" s="3121"/>
      <c r="D446" s="3122"/>
      <c r="E446" s="3123">
        <f t="shared" si="239"/>
        <v>0</v>
      </c>
      <c r="F446" s="3124"/>
      <c r="G446" s="3125">
        <f t="shared" si="240"/>
        <v>0</v>
      </c>
      <c r="H446" s="3126">
        <f t="shared" si="241"/>
        <v>0</v>
      </c>
      <c r="I446" s="3133"/>
      <c r="J446" s="3133"/>
      <c r="K446" s="3133"/>
      <c r="L446" s="3133"/>
      <c r="M446" s="3133"/>
      <c r="N446" s="3133"/>
      <c r="O446" s="3133"/>
      <c r="P446" s="3133"/>
      <c r="Q446" s="3133"/>
      <c r="R446" s="3133"/>
      <c r="S446" s="3133"/>
      <c r="T446" s="3133"/>
      <c r="U446" s="3133"/>
      <c r="V446" s="3133"/>
      <c r="W446" s="3133"/>
      <c r="X446" s="3133"/>
      <c r="Y446" s="3133"/>
      <c r="Z446" s="3133"/>
      <c r="AA446" s="3133"/>
      <c r="AB446" s="3133"/>
      <c r="AC446" s="3123">
        <f t="shared" si="242"/>
        <v>0</v>
      </c>
      <c r="AD446" s="3143"/>
      <c r="AE446" s="3143"/>
      <c r="AF446" s="3143"/>
      <c r="AG446" s="3143"/>
      <c r="AH446" s="3143"/>
      <c r="AI446" s="3143"/>
      <c r="AJ446" s="3143"/>
      <c r="AK446" s="3143"/>
      <c r="AL446" s="3143"/>
      <c r="AM446" s="3143"/>
      <c r="AN446" s="3143"/>
      <c r="AO446" s="3143"/>
      <c r="AP446" s="3143"/>
      <c r="AQ446" s="3143"/>
      <c r="AR446" s="3143"/>
      <c r="AS446" s="3143"/>
      <c r="AT446" s="3153"/>
      <c r="AU446" s="3154"/>
      <c r="AV446" s="270">
        <f t="shared" si="243"/>
        <v>0</v>
      </c>
      <c r="AW446" s="270">
        <f t="shared" si="244"/>
        <v>0</v>
      </c>
      <c r="AX446" s="270">
        <f t="shared" si="245"/>
        <v>0</v>
      </c>
      <c r="AY446" s="3168">
        <f t="shared" si="246"/>
        <v>0</v>
      </c>
      <c r="AZ446" s="3123">
        <f t="shared" si="247"/>
        <v>0</v>
      </c>
      <c r="BA446" s="3123">
        <f t="shared" si="248"/>
        <v>0</v>
      </c>
      <c r="BB446" s="3123">
        <f t="shared" si="249"/>
        <v>0</v>
      </c>
      <c r="BC446" s="3123">
        <f t="shared" si="250"/>
        <v>0</v>
      </c>
      <c r="BD446" s="3123">
        <f t="shared" si="251"/>
        <v>0</v>
      </c>
      <c r="BE446" s="3123">
        <f t="shared" si="252"/>
        <v>0</v>
      </c>
      <c r="BF446" s="3123">
        <f t="shared" si="253"/>
        <v>0</v>
      </c>
      <c r="BG446" s="3123">
        <f t="shared" si="254"/>
        <v>0</v>
      </c>
      <c r="BH446" s="3123">
        <f t="shared" si="255"/>
        <v>0</v>
      </c>
      <c r="BI446" s="3123">
        <f t="shared" si="256"/>
        <v>0</v>
      </c>
      <c r="BJ446" s="3123">
        <f t="shared" si="257"/>
        <v>0</v>
      </c>
      <c r="BK446" s="3123">
        <f t="shared" si="258"/>
        <v>0</v>
      </c>
      <c r="BL446" s="3123">
        <f t="shared" si="259"/>
        <v>0</v>
      </c>
      <c r="BM446" s="3123">
        <f t="shared" si="260"/>
        <v>0</v>
      </c>
      <c r="BN446" s="3123">
        <f t="shared" si="261"/>
        <v>0</v>
      </c>
      <c r="BO446" s="3123">
        <f t="shared" si="262"/>
        <v>0</v>
      </c>
      <c r="BP446" s="3123">
        <f t="shared" si="263"/>
        <v>0</v>
      </c>
      <c r="BQ446" s="3123">
        <f t="shared" si="264"/>
        <v>0</v>
      </c>
      <c r="BR446" s="3123">
        <f t="shared" si="265"/>
        <v>0</v>
      </c>
      <c r="BS446" s="3123">
        <f t="shared" si="266"/>
        <v>0</v>
      </c>
      <c r="BT446" s="3175">
        <f t="shared" si="267"/>
        <v>0</v>
      </c>
    </row>
    <row r="447" spans="1:72">
      <c r="A447" s="3120"/>
      <c r="B447" s="3121"/>
      <c r="C447" s="3121"/>
      <c r="D447" s="3122"/>
      <c r="E447" s="3123">
        <f t="shared" si="239"/>
        <v>0</v>
      </c>
      <c r="F447" s="3124"/>
      <c r="G447" s="3125">
        <f t="shared" si="240"/>
        <v>0</v>
      </c>
      <c r="H447" s="3126">
        <f t="shared" si="241"/>
        <v>0</v>
      </c>
      <c r="I447" s="3133"/>
      <c r="J447" s="3133"/>
      <c r="K447" s="3133"/>
      <c r="L447" s="3133"/>
      <c r="M447" s="3133"/>
      <c r="N447" s="3133"/>
      <c r="O447" s="3133"/>
      <c r="P447" s="3133"/>
      <c r="Q447" s="3133"/>
      <c r="R447" s="3133"/>
      <c r="S447" s="3133"/>
      <c r="T447" s="3133"/>
      <c r="U447" s="3133"/>
      <c r="V447" s="3133"/>
      <c r="W447" s="3133"/>
      <c r="X447" s="3133"/>
      <c r="Y447" s="3133"/>
      <c r="Z447" s="3133"/>
      <c r="AA447" s="3133"/>
      <c r="AB447" s="3133"/>
      <c r="AC447" s="3123">
        <f t="shared" si="242"/>
        <v>0</v>
      </c>
      <c r="AD447" s="3143"/>
      <c r="AE447" s="3143"/>
      <c r="AF447" s="3143"/>
      <c r="AG447" s="3143"/>
      <c r="AH447" s="3143"/>
      <c r="AI447" s="3143"/>
      <c r="AJ447" s="3143"/>
      <c r="AK447" s="3143"/>
      <c r="AL447" s="3143"/>
      <c r="AM447" s="3143"/>
      <c r="AN447" s="3143"/>
      <c r="AO447" s="3143"/>
      <c r="AP447" s="3143"/>
      <c r="AQ447" s="3143"/>
      <c r="AR447" s="3143"/>
      <c r="AS447" s="3143"/>
      <c r="AT447" s="3153"/>
      <c r="AU447" s="3154"/>
      <c r="AV447" s="270">
        <f t="shared" si="243"/>
        <v>0</v>
      </c>
      <c r="AW447" s="270">
        <f t="shared" si="244"/>
        <v>0</v>
      </c>
      <c r="AX447" s="270">
        <f t="shared" si="245"/>
        <v>0</v>
      </c>
      <c r="AY447" s="3168">
        <f t="shared" si="246"/>
        <v>0</v>
      </c>
      <c r="AZ447" s="3123">
        <f t="shared" si="247"/>
        <v>0</v>
      </c>
      <c r="BA447" s="3123">
        <f t="shared" si="248"/>
        <v>0</v>
      </c>
      <c r="BB447" s="3123">
        <f t="shared" si="249"/>
        <v>0</v>
      </c>
      <c r="BC447" s="3123">
        <f t="shared" si="250"/>
        <v>0</v>
      </c>
      <c r="BD447" s="3123">
        <f t="shared" si="251"/>
        <v>0</v>
      </c>
      <c r="BE447" s="3123">
        <f t="shared" si="252"/>
        <v>0</v>
      </c>
      <c r="BF447" s="3123">
        <f t="shared" si="253"/>
        <v>0</v>
      </c>
      <c r="BG447" s="3123">
        <f t="shared" si="254"/>
        <v>0</v>
      </c>
      <c r="BH447" s="3123">
        <f t="shared" si="255"/>
        <v>0</v>
      </c>
      <c r="BI447" s="3123">
        <f t="shared" si="256"/>
        <v>0</v>
      </c>
      <c r="BJ447" s="3123">
        <f t="shared" si="257"/>
        <v>0</v>
      </c>
      <c r="BK447" s="3123">
        <f t="shared" si="258"/>
        <v>0</v>
      </c>
      <c r="BL447" s="3123">
        <f t="shared" si="259"/>
        <v>0</v>
      </c>
      <c r="BM447" s="3123">
        <f t="shared" si="260"/>
        <v>0</v>
      </c>
      <c r="BN447" s="3123">
        <f t="shared" si="261"/>
        <v>0</v>
      </c>
      <c r="BO447" s="3123">
        <f t="shared" si="262"/>
        <v>0</v>
      </c>
      <c r="BP447" s="3123">
        <f t="shared" si="263"/>
        <v>0</v>
      </c>
      <c r="BQ447" s="3123">
        <f t="shared" si="264"/>
        <v>0</v>
      </c>
      <c r="BR447" s="3123">
        <f t="shared" si="265"/>
        <v>0</v>
      </c>
      <c r="BS447" s="3123">
        <f t="shared" si="266"/>
        <v>0</v>
      </c>
      <c r="BT447" s="3175">
        <f t="shared" si="267"/>
        <v>0</v>
      </c>
    </row>
    <row r="448" spans="1:72">
      <c r="A448" s="3120"/>
      <c r="B448" s="3121"/>
      <c r="C448" s="3121"/>
      <c r="D448" s="3122"/>
      <c r="E448" s="3123">
        <f t="shared" si="239"/>
        <v>0</v>
      </c>
      <c r="F448" s="3124"/>
      <c r="G448" s="3125">
        <f t="shared" si="240"/>
        <v>0</v>
      </c>
      <c r="H448" s="3126">
        <f t="shared" si="241"/>
        <v>0</v>
      </c>
      <c r="I448" s="3133"/>
      <c r="J448" s="3133"/>
      <c r="K448" s="3133"/>
      <c r="L448" s="3133"/>
      <c r="M448" s="3133"/>
      <c r="N448" s="3133"/>
      <c r="O448" s="3133"/>
      <c r="P448" s="3133"/>
      <c r="Q448" s="3133"/>
      <c r="R448" s="3133"/>
      <c r="S448" s="3133"/>
      <c r="T448" s="3133"/>
      <c r="U448" s="3133"/>
      <c r="V448" s="3133"/>
      <c r="W448" s="3133"/>
      <c r="X448" s="3133"/>
      <c r="Y448" s="3133"/>
      <c r="Z448" s="3133"/>
      <c r="AA448" s="3133"/>
      <c r="AB448" s="3133"/>
      <c r="AC448" s="3123">
        <f t="shared" si="242"/>
        <v>0</v>
      </c>
      <c r="AD448" s="3143"/>
      <c r="AE448" s="3143"/>
      <c r="AF448" s="3143"/>
      <c r="AG448" s="3143"/>
      <c r="AH448" s="3143"/>
      <c r="AI448" s="3143"/>
      <c r="AJ448" s="3143"/>
      <c r="AK448" s="3143"/>
      <c r="AL448" s="3143"/>
      <c r="AM448" s="3143"/>
      <c r="AN448" s="3143"/>
      <c r="AO448" s="3143"/>
      <c r="AP448" s="3143"/>
      <c r="AQ448" s="3143"/>
      <c r="AR448" s="3143"/>
      <c r="AS448" s="3143"/>
      <c r="AT448" s="3153"/>
      <c r="AU448" s="3154"/>
      <c r="AV448" s="270">
        <f t="shared" si="243"/>
        <v>0</v>
      </c>
      <c r="AW448" s="270">
        <f t="shared" si="244"/>
        <v>0</v>
      </c>
      <c r="AX448" s="270">
        <f t="shared" si="245"/>
        <v>0</v>
      </c>
      <c r="AY448" s="3168">
        <f t="shared" si="246"/>
        <v>0</v>
      </c>
      <c r="AZ448" s="3123">
        <f t="shared" si="247"/>
        <v>0</v>
      </c>
      <c r="BA448" s="3123">
        <f t="shared" si="248"/>
        <v>0</v>
      </c>
      <c r="BB448" s="3123">
        <f t="shared" si="249"/>
        <v>0</v>
      </c>
      <c r="BC448" s="3123">
        <f t="shared" si="250"/>
        <v>0</v>
      </c>
      <c r="BD448" s="3123">
        <f t="shared" si="251"/>
        <v>0</v>
      </c>
      <c r="BE448" s="3123">
        <f t="shared" si="252"/>
        <v>0</v>
      </c>
      <c r="BF448" s="3123">
        <f t="shared" si="253"/>
        <v>0</v>
      </c>
      <c r="BG448" s="3123">
        <f t="shared" si="254"/>
        <v>0</v>
      </c>
      <c r="BH448" s="3123">
        <f t="shared" si="255"/>
        <v>0</v>
      </c>
      <c r="BI448" s="3123">
        <f t="shared" si="256"/>
        <v>0</v>
      </c>
      <c r="BJ448" s="3123">
        <f t="shared" si="257"/>
        <v>0</v>
      </c>
      <c r="BK448" s="3123">
        <f t="shared" si="258"/>
        <v>0</v>
      </c>
      <c r="BL448" s="3123">
        <f t="shared" si="259"/>
        <v>0</v>
      </c>
      <c r="BM448" s="3123">
        <f t="shared" si="260"/>
        <v>0</v>
      </c>
      <c r="BN448" s="3123">
        <f t="shared" si="261"/>
        <v>0</v>
      </c>
      <c r="BO448" s="3123">
        <f t="shared" si="262"/>
        <v>0</v>
      </c>
      <c r="BP448" s="3123">
        <f t="shared" si="263"/>
        <v>0</v>
      </c>
      <c r="BQ448" s="3123">
        <f t="shared" si="264"/>
        <v>0</v>
      </c>
      <c r="BR448" s="3123">
        <f t="shared" si="265"/>
        <v>0</v>
      </c>
      <c r="BS448" s="3123">
        <f t="shared" si="266"/>
        <v>0</v>
      </c>
      <c r="BT448" s="3175">
        <f t="shared" si="267"/>
        <v>0</v>
      </c>
    </row>
    <row r="449" spans="1:72">
      <c r="A449" s="3120"/>
      <c r="B449" s="3121"/>
      <c r="C449" s="3121"/>
      <c r="D449" s="3122"/>
      <c r="E449" s="3123">
        <f t="shared" si="239"/>
        <v>0</v>
      </c>
      <c r="F449" s="3124"/>
      <c r="G449" s="3125">
        <f t="shared" si="240"/>
        <v>0</v>
      </c>
      <c r="H449" s="3126">
        <f t="shared" si="241"/>
        <v>0</v>
      </c>
      <c r="I449" s="3133"/>
      <c r="J449" s="3133"/>
      <c r="K449" s="3133"/>
      <c r="L449" s="3133"/>
      <c r="M449" s="3133"/>
      <c r="N449" s="3133"/>
      <c r="O449" s="3133"/>
      <c r="P449" s="3133"/>
      <c r="Q449" s="3133"/>
      <c r="R449" s="3133"/>
      <c r="S449" s="3133"/>
      <c r="T449" s="3133"/>
      <c r="U449" s="3133"/>
      <c r="V449" s="3133"/>
      <c r="W449" s="3133"/>
      <c r="X449" s="3133"/>
      <c r="Y449" s="3133"/>
      <c r="Z449" s="3133"/>
      <c r="AA449" s="3133"/>
      <c r="AB449" s="3133"/>
      <c r="AC449" s="3123">
        <f t="shared" si="242"/>
        <v>0</v>
      </c>
      <c r="AD449" s="3143"/>
      <c r="AE449" s="3143"/>
      <c r="AF449" s="3143"/>
      <c r="AG449" s="3143"/>
      <c r="AH449" s="3143"/>
      <c r="AI449" s="3143"/>
      <c r="AJ449" s="3143"/>
      <c r="AK449" s="3143"/>
      <c r="AL449" s="3143"/>
      <c r="AM449" s="3143"/>
      <c r="AN449" s="3143"/>
      <c r="AO449" s="3143"/>
      <c r="AP449" s="3143"/>
      <c r="AQ449" s="3143"/>
      <c r="AR449" s="3143"/>
      <c r="AS449" s="3143"/>
      <c r="AT449" s="3153"/>
      <c r="AU449" s="3154"/>
      <c r="AV449" s="270">
        <f t="shared" si="243"/>
        <v>0</v>
      </c>
      <c r="AW449" s="270">
        <f t="shared" si="244"/>
        <v>0</v>
      </c>
      <c r="AX449" s="270">
        <f t="shared" si="245"/>
        <v>0</v>
      </c>
      <c r="AY449" s="3168">
        <f t="shared" si="246"/>
        <v>0</v>
      </c>
      <c r="AZ449" s="3123">
        <f t="shared" si="247"/>
        <v>0</v>
      </c>
      <c r="BA449" s="3123">
        <f t="shared" si="248"/>
        <v>0</v>
      </c>
      <c r="BB449" s="3123">
        <f t="shared" si="249"/>
        <v>0</v>
      </c>
      <c r="BC449" s="3123">
        <f t="shared" si="250"/>
        <v>0</v>
      </c>
      <c r="BD449" s="3123">
        <f t="shared" si="251"/>
        <v>0</v>
      </c>
      <c r="BE449" s="3123">
        <f t="shared" si="252"/>
        <v>0</v>
      </c>
      <c r="BF449" s="3123">
        <f t="shared" si="253"/>
        <v>0</v>
      </c>
      <c r="BG449" s="3123">
        <f t="shared" si="254"/>
        <v>0</v>
      </c>
      <c r="BH449" s="3123">
        <f t="shared" si="255"/>
        <v>0</v>
      </c>
      <c r="BI449" s="3123">
        <f t="shared" si="256"/>
        <v>0</v>
      </c>
      <c r="BJ449" s="3123">
        <f t="shared" si="257"/>
        <v>0</v>
      </c>
      <c r="BK449" s="3123">
        <f t="shared" si="258"/>
        <v>0</v>
      </c>
      <c r="BL449" s="3123">
        <f t="shared" si="259"/>
        <v>0</v>
      </c>
      <c r="BM449" s="3123">
        <f t="shared" si="260"/>
        <v>0</v>
      </c>
      <c r="BN449" s="3123">
        <f t="shared" si="261"/>
        <v>0</v>
      </c>
      <c r="BO449" s="3123">
        <f t="shared" si="262"/>
        <v>0</v>
      </c>
      <c r="BP449" s="3123">
        <f t="shared" si="263"/>
        <v>0</v>
      </c>
      <c r="BQ449" s="3123">
        <f t="shared" si="264"/>
        <v>0</v>
      </c>
      <c r="BR449" s="3123">
        <f t="shared" si="265"/>
        <v>0</v>
      </c>
      <c r="BS449" s="3123">
        <f t="shared" si="266"/>
        <v>0</v>
      </c>
      <c r="BT449" s="3175">
        <f t="shared" si="267"/>
        <v>0</v>
      </c>
    </row>
    <row r="450" spans="1:72">
      <c r="A450" s="3120"/>
      <c r="B450" s="3121"/>
      <c r="C450" s="3121"/>
      <c r="D450" s="3122"/>
      <c r="E450" s="3123">
        <f t="shared" si="239"/>
        <v>0</v>
      </c>
      <c r="F450" s="3124"/>
      <c r="G450" s="3125">
        <f t="shared" si="240"/>
        <v>0</v>
      </c>
      <c r="H450" s="3126">
        <f t="shared" si="241"/>
        <v>0</v>
      </c>
      <c r="I450" s="3133"/>
      <c r="J450" s="3133"/>
      <c r="K450" s="3133"/>
      <c r="L450" s="3133"/>
      <c r="M450" s="3133"/>
      <c r="N450" s="3133"/>
      <c r="O450" s="3133"/>
      <c r="P450" s="3133"/>
      <c r="Q450" s="3133"/>
      <c r="R450" s="3133"/>
      <c r="S450" s="3133"/>
      <c r="T450" s="3133"/>
      <c r="U450" s="3133"/>
      <c r="V450" s="3133"/>
      <c r="W450" s="3133"/>
      <c r="X450" s="3133"/>
      <c r="Y450" s="3133"/>
      <c r="Z450" s="3133"/>
      <c r="AA450" s="3133"/>
      <c r="AB450" s="3133"/>
      <c r="AC450" s="3123">
        <f t="shared" si="242"/>
        <v>0</v>
      </c>
      <c r="AD450" s="3143"/>
      <c r="AE450" s="3143"/>
      <c r="AF450" s="3143"/>
      <c r="AG450" s="3143"/>
      <c r="AH450" s="3143"/>
      <c r="AI450" s="3143"/>
      <c r="AJ450" s="3143"/>
      <c r="AK450" s="3143"/>
      <c r="AL450" s="3143"/>
      <c r="AM450" s="3143"/>
      <c r="AN450" s="3143"/>
      <c r="AO450" s="3143"/>
      <c r="AP450" s="3143"/>
      <c r="AQ450" s="3143"/>
      <c r="AR450" s="3143"/>
      <c r="AS450" s="3143"/>
      <c r="AT450" s="3153"/>
      <c r="AU450" s="3154"/>
      <c r="AV450" s="270">
        <f t="shared" si="243"/>
        <v>0</v>
      </c>
      <c r="AW450" s="270">
        <f t="shared" si="244"/>
        <v>0</v>
      </c>
      <c r="AX450" s="270">
        <f t="shared" si="245"/>
        <v>0</v>
      </c>
      <c r="AY450" s="3168">
        <f t="shared" si="246"/>
        <v>0</v>
      </c>
      <c r="AZ450" s="3123">
        <f t="shared" si="247"/>
        <v>0</v>
      </c>
      <c r="BA450" s="3123">
        <f t="shared" si="248"/>
        <v>0</v>
      </c>
      <c r="BB450" s="3123">
        <f t="shared" si="249"/>
        <v>0</v>
      </c>
      <c r="BC450" s="3123">
        <f t="shared" si="250"/>
        <v>0</v>
      </c>
      <c r="BD450" s="3123">
        <f t="shared" si="251"/>
        <v>0</v>
      </c>
      <c r="BE450" s="3123">
        <f t="shared" si="252"/>
        <v>0</v>
      </c>
      <c r="BF450" s="3123">
        <f t="shared" si="253"/>
        <v>0</v>
      </c>
      <c r="BG450" s="3123">
        <f t="shared" si="254"/>
        <v>0</v>
      </c>
      <c r="BH450" s="3123">
        <f t="shared" si="255"/>
        <v>0</v>
      </c>
      <c r="BI450" s="3123">
        <f t="shared" si="256"/>
        <v>0</v>
      </c>
      <c r="BJ450" s="3123">
        <f t="shared" si="257"/>
        <v>0</v>
      </c>
      <c r="BK450" s="3123">
        <f t="shared" si="258"/>
        <v>0</v>
      </c>
      <c r="BL450" s="3123">
        <f t="shared" si="259"/>
        <v>0</v>
      </c>
      <c r="BM450" s="3123">
        <f t="shared" si="260"/>
        <v>0</v>
      </c>
      <c r="BN450" s="3123">
        <f t="shared" si="261"/>
        <v>0</v>
      </c>
      <c r="BO450" s="3123">
        <f t="shared" si="262"/>
        <v>0</v>
      </c>
      <c r="BP450" s="3123">
        <f t="shared" si="263"/>
        <v>0</v>
      </c>
      <c r="BQ450" s="3123">
        <f t="shared" si="264"/>
        <v>0</v>
      </c>
      <c r="BR450" s="3123">
        <f t="shared" si="265"/>
        <v>0</v>
      </c>
      <c r="BS450" s="3123">
        <f t="shared" si="266"/>
        <v>0</v>
      </c>
      <c r="BT450" s="3175">
        <f t="shared" si="267"/>
        <v>0</v>
      </c>
    </row>
    <row r="451" spans="1:72">
      <c r="A451" s="3120"/>
      <c r="B451" s="3121"/>
      <c r="C451" s="3121"/>
      <c r="D451" s="3122"/>
      <c r="E451" s="3123">
        <f t="shared" si="239"/>
        <v>0</v>
      </c>
      <c r="F451" s="3124"/>
      <c r="G451" s="3125">
        <f t="shared" si="240"/>
        <v>0</v>
      </c>
      <c r="H451" s="3126">
        <f t="shared" si="241"/>
        <v>0</v>
      </c>
      <c r="I451" s="3133"/>
      <c r="J451" s="3133"/>
      <c r="K451" s="3133"/>
      <c r="L451" s="3133"/>
      <c r="M451" s="3133"/>
      <c r="N451" s="3133"/>
      <c r="O451" s="3133"/>
      <c r="P451" s="3133"/>
      <c r="Q451" s="3133"/>
      <c r="R451" s="3133"/>
      <c r="S451" s="3133"/>
      <c r="T451" s="3133"/>
      <c r="U451" s="3133"/>
      <c r="V451" s="3133"/>
      <c r="W451" s="3133"/>
      <c r="X451" s="3133"/>
      <c r="Y451" s="3133"/>
      <c r="Z451" s="3133"/>
      <c r="AA451" s="3133"/>
      <c r="AB451" s="3133"/>
      <c r="AC451" s="3123">
        <f t="shared" si="242"/>
        <v>0</v>
      </c>
      <c r="AD451" s="3143"/>
      <c r="AE451" s="3143"/>
      <c r="AF451" s="3143"/>
      <c r="AG451" s="3143"/>
      <c r="AH451" s="3143"/>
      <c r="AI451" s="3143"/>
      <c r="AJ451" s="3143"/>
      <c r="AK451" s="3143"/>
      <c r="AL451" s="3143"/>
      <c r="AM451" s="3143"/>
      <c r="AN451" s="3143"/>
      <c r="AO451" s="3143"/>
      <c r="AP451" s="3143"/>
      <c r="AQ451" s="3143"/>
      <c r="AR451" s="3143"/>
      <c r="AS451" s="3143"/>
      <c r="AT451" s="3153"/>
      <c r="AU451" s="3154"/>
      <c r="AV451" s="270">
        <f t="shared" si="243"/>
        <v>0</v>
      </c>
      <c r="AW451" s="270">
        <f t="shared" si="244"/>
        <v>0</v>
      </c>
      <c r="AX451" s="270">
        <f t="shared" si="245"/>
        <v>0</v>
      </c>
      <c r="AY451" s="3168">
        <f t="shared" si="246"/>
        <v>0</v>
      </c>
      <c r="AZ451" s="3123">
        <f t="shared" si="247"/>
        <v>0</v>
      </c>
      <c r="BA451" s="3123">
        <f t="shared" si="248"/>
        <v>0</v>
      </c>
      <c r="BB451" s="3123">
        <f t="shared" si="249"/>
        <v>0</v>
      </c>
      <c r="BC451" s="3123">
        <f t="shared" si="250"/>
        <v>0</v>
      </c>
      <c r="BD451" s="3123">
        <f t="shared" si="251"/>
        <v>0</v>
      </c>
      <c r="BE451" s="3123">
        <f t="shared" si="252"/>
        <v>0</v>
      </c>
      <c r="BF451" s="3123">
        <f t="shared" si="253"/>
        <v>0</v>
      </c>
      <c r="BG451" s="3123">
        <f t="shared" si="254"/>
        <v>0</v>
      </c>
      <c r="BH451" s="3123">
        <f t="shared" si="255"/>
        <v>0</v>
      </c>
      <c r="BI451" s="3123">
        <f t="shared" si="256"/>
        <v>0</v>
      </c>
      <c r="BJ451" s="3123">
        <f t="shared" si="257"/>
        <v>0</v>
      </c>
      <c r="BK451" s="3123">
        <f t="shared" si="258"/>
        <v>0</v>
      </c>
      <c r="BL451" s="3123">
        <f t="shared" si="259"/>
        <v>0</v>
      </c>
      <c r="BM451" s="3123">
        <f t="shared" si="260"/>
        <v>0</v>
      </c>
      <c r="BN451" s="3123">
        <f t="shared" si="261"/>
        <v>0</v>
      </c>
      <c r="BO451" s="3123">
        <f t="shared" si="262"/>
        <v>0</v>
      </c>
      <c r="BP451" s="3123">
        <f t="shared" si="263"/>
        <v>0</v>
      </c>
      <c r="BQ451" s="3123">
        <f t="shared" si="264"/>
        <v>0</v>
      </c>
      <c r="BR451" s="3123">
        <f t="shared" si="265"/>
        <v>0</v>
      </c>
      <c r="BS451" s="3123">
        <f t="shared" si="266"/>
        <v>0</v>
      </c>
      <c r="BT451" s="3175">
        <f t="shared" si="267"/>
        <v>0</v>
      </c>
    </row>
    <row r="452" spans="1:72">
      <c r="A452" s="3120"/>
      <c r="B452" s="3121"/>
      <c r="C452" s="3121"/>
      <c r="D452" s="3122"/>
      <c r="E452" s="3123">
        <f t="shared" si="239"/>
        <v>0</v>
      </c>
      <c r="F452" s="3124"/>
      <c r="G452" s="3125">
        <f t="shared" si="240"/>
        <v>0</v>
      </c>
      <c r="H452" s="3126">
        <f t="shared" si="241"/>
        <v>0</v>
      </c>
      <c r="I452" s="3133"/>
      <c r="J452" s="3133"/>
      <c r="K452" s="3133"/>
      <c r="L452" s="3133"/>
      <c r="M452" s="3133"/>
      <c r="N452" s="3133"/>
      <c r="O452" s="3133"/>
      <c r="P452" s="3133"/>
      <c r="Q452" s="3133"/>
      <c r="R452" s="3133"/>
      <c r="S452" s="3133"/>
      <c r="T452" s="3133"/>
      <c r="U452" s="3133"/>
      <c r="V452" s="3133"/>
      <c r="W452" s="3133"/>
      <c r="X452" s="3133"/>
      <c r="Y452" s="3133"/>
      <c r="Z452" s="3133"/>
      <c r="AA452" s="3133"/>
      <c r="AB452" s="3133"/>
      <c r="AC452" s="3123">
        <f t="shared" si="242"/>
        <v>0</v>
      </c>
      <c r="AD452" s="3143"/>
      <c r="AE452" s="3143"/>
      <c r="AF452" s="3143"/>
      <c r="AG452" s="3143"/>
      <c r="AH452" s="3143"/>
      <c r="AI452" s="3143"/>
      <c r="AJ452" s="3143"/>
      <c r="AK452" s="3143"/>
      <c r="AL452" s="3143"/>
      <c r="AM452" s="3143"/>
      <c r="AN452" s="3143"/>
      <c r="AO452" s="3143"/>
      <c r="AP452" s="3143"/>
      <c r="AQ452" s="3143"/>
      <c r="AR452" s="3143"/>
      <c r="AS452" s="3143"/>
      <c r="AT452" s="3153"/>
      <c r="AU452" s="3154"/>
      <c r="AV452" s="270">
        <f t="shared" si="243"/>
        <v>0</v>
      </c>
      <c r="AW452" s="270">
        <f t="shared" si="244"/>
        <v>0</v>
      </c>
      <c r="AX452" s="270">
        <f t="shared" si="245"/>
        <v>0</v>
      </c>
      <c r="AY452" s="3168">
        <f t="shared" si="246"/>
        <v>0</v>
      </c>
      <c r="AZ452" s="3123">
        <f t="shared" si="247"/>
        <v>0</v>
      </c>
      <c r="BA452" s="3123">
        <f t="shared" si="248"/>
        <v>0</v>
      </c>
      <c r="BB452" s="3123">
        <f t="shared" si="249"/>
        <v>0</v>
      </c>
      <c r="BC452" s="3123">
        <f t="shared" si="250"/>
        <v>0</v>
      </c>
      <c r="BD452" s="3123">
        <f t="shared" si="251"/>
        <v>0</v>
      </c>
      <c r="BE452" s="3123">
        <f t="shared" si="252"/>
        <v>0</v>
      </c>
      <c r="BF452" s="3123">
        <f t="shared" si="253"/>
        <v>0</v>
      </c>
      <c r="BG452" s="3123">
        <f t="shared" si="254"/>
        <v>0</v>
      </c>
      <c r="BH452" s="3123">
        <f t="shared" si="255"/>
        <v>0</v>
      </c>
      <c r="BI452" s="3123">
        <f t="shared" si="256"/>
        <v>0</v>
      </c>
      <c r="BJ452" s="3123">
        <f t="shared" si="257"/>
        <v>0</v>
      </c>
      <c r="BK452" s="3123">
        <f t="shared" si="258"/>
        <v>0</v>
      </c>
      <c r="BL452" s="3123">
        <f t="shared" si="259"/>
        <v>0</v>
      </c>
      <c r="BM452" s="3123">
        <f t="shared" si="260"/>
        <v>0</v>
      </c>
      <c r="BN452" s="3123">
        <f t="shared" si="261"/>
        <v>0</v>
      </c>
      <c r="BO452" s="3123">
        <f t="shared" si="262"/>
        <v>0</v>
      </c>
      <c r="BP452" s="3123">
        <f t="shared" si="263"/>
        <v>0</v>
      </c>
      <c r="BQ452" s="3123">
        <f t="shared" si="264"/>
        <v>0</v>
      </c>
      <c r="BR452" s="3123">
        <f t="shared" si="265"/>
        <v>0</v>
      </c>
      <c r="BS452" s="3123">
        <f t="shared" si="266"/>
        <v>0</v>
      </c>
      <c r="BT452" s="3175">
        <f t="shared" si="267"/>
        <v>0</v>
      </c>
    </row>
    <row r="453" spans="1:72">
      <c r="A453" s="3120"/>
      <c r="B453" s="3121"/>
      <c r="C453" s="3121"/>
      <c r="D453" s="3122"/>
      <c r="E453" s="3123">
        <f t="shared" si="239"/>
        <v>0</v>
      </c>
      <c r="F453" s="3124"/>
      <c r="G453" s="3125">
        <f t="shared" si="240"/>
        <v>0</v>
      </c>
      <c r="H453" s="3126">
        <f t="shared" si="241"/>
        <v>0</v>
      </c>
      <c r="I453" s="3133"/>
      <c r="J453" s="3133"/>
      <c r="K453" s="3133"/>
      <c r="L453" s="3133"/>
      <c r="M453" s="3133"/>
      <c r="N453" s="3133"/>
      <c r="O453" s="3133"/>
      <c r="P453" s="3133"/>
      <c r="Q453" s="3133"/>
      <c r="R453" s="3133"/>
      <c r="S453" s="3133"/>
      <c r="T453" s="3133"/>
      <c r="U453" s="3133"/>
      <c r="V453" s="3133"/>
      <c r="W453" s="3133"/>
      <c r="X453" s="3133"/>
      <c r="Y453" s="3133"/>
      <c r="Z453" s="3133"/>
      <c r="AA453" s="3133"/>
      <c r="AB453" s="3133"/>
      <c r="AC453" s="3123">
        <f t="shared" si="242"/>
        <v>0</v>
      </c>
      <c r="AD453" s="3143"/>
      <c r="AE453" s="3143"/>
      <c r="AF453" s="3143"/>
      <c r="AG453" s="3143"/>
      <c r="AH453" s="3143"/>
      <c r="AI453" s="3143"/>
      <c r="AJ453" s="3143"/>
      <c r="AK453" s="3143"/>
      <c r="AL453" s="3143"/>
      <c r="AM453" s="3143"/>
      <c r="AN453" s="3143"/>
      <c r="AO453" s="3143"/>
      <c r="AP453" s="3143"/>
      <c r="AQ453" s="3143"/>
      <c r="AR453" s="3143"/>
      <c r="AS453" s="3143"/>
      <c r="AT453" s="3153"/>
      <c r="AU453" s="3154"/>
      <c r="AV453" s="270">
        <f t="shared" si="243"/>
        <v>0</v>
      </c>
      <c r="AW453" s="270">
        <f t="shared" si="244"/>
        <v>0</v>
      </c>
      <c r="AX453" s="270">
        <f t="shared" si="245"/>
        <v>0</v>
      </c>
      <c r="AY453" s="3168">
        <f t="shared" si="246"/>
        <v>0</v>
      </c>
      <c r="AZ453" s="3123">
        <f t="shared" si="247"/>
        <v>0</v>
      </c>
      <c r="BA453" s="3123">
        <f t="shared" si="248"/>
        <v>0</v>
      </c>
      <c r="BB453" s="3123">
        <f t="shared" si="249"/>
        <v>0</v>
      </c>
      <c r="BC453" s="3123">
        <f t="shared" si="250"/>
        <v>0</v>
      </c>
      <c r="BD453" s="3123">
        <f t="shared" si="251"/>
        <v>0</v>
      </c>
      <c r="BE453" s="3123">
        <f t="shared" si="252"/>
        <v>0</v>
      </c>
      <c r="BF453" s="3123">
        <f t="shared" si="253"/>
        <v>0</v>
      </c>
      <c r="BG453" s="3123">
        <f t="shared" si="254"/>
        <v>0</v>
      </c>
      <c r="BH453" s="3123">
        <f t="shared" si="255"/>
        <v>0</v>
      </c>
      <c r="BI453" s="3123">
        <f t="shared" si="256"/>
        <v>0</v>
      </c>
      <c r="BJ453" s="3123">
        <f t="shared" si="257"/>
        <v>0</v>
      </c>
      <c r="BK453" s="3123">
        <f t="shared" si="258"/>
        <v>0</v>
      </c>
      <c r="BL453" s="3123">
        <f t="shared" si="259"/>
        <v>0</v>
      </c>
      <c r="BM453" s="3123">
        <f t="shared" si="260"/>
        <v>0</v>
      </c>
      <c r="BN453" s="3123">
        <f t="shared" si="261"/>
        <v>0</v>
      </c>
      <c r="BO453" s="3123">
        <f t="shared" si="262"/>
        <v>0</v>
      </c>
      <c r="BP453" s="3123">
        <f t="shared" si="263"/>
        <v>0</v>
      </c>
      <c r="BQ453" s="3123">
        <f t="shared" si="264"/>
        <v>0</v>
      </c>
      <c r="BR453" s="3123">
        <f t="shared" si="265"/>
        <v>0</v>
      </c>
      <c r="BS453" s="3123">
        <f t="shared" si="266"/>
        <v>0</v>
      </c>
      <c r="BT453" s="3175">
        <f t="shared" si="267"/>
        <v>0</v>
      </c>
    </row>
    <row r="454" spans="1:72">
      <c r="A454" s="3120"/>
      <c r="B454" s="3121"/>
      <c r="C454" s="3121"/>
      <c r="D454" s="3122"/>
      <c r="E454" s="3123">
        <f t="shared" si="239"/>
        <v>0</v>
      </c>
      <c r="F454" s="3124"/>
      <c r="G454" s="3125">
        <f t="shared" si="240"/>
        <v>0</v>
      </c>
      <c r="H454" s="3126">
        <f t="shared" si="241"/>
        <v>0</v>
      </c>
      <c r="I454" s="3133"/>
      <c r="J454" s="3133"/>
      <c r="K454" s="3133"/>
      <c r="L454" s="3133"/>
      <c r="M454" s="3133"/>
      <c r="N454" s="3133"/>
      <c r="O454" s="3133"/>
      <c r="P454" s="3133"/>
      <c r="Q454" s="3133"/>
      <c r="R454" s="3133"/>
      <c r="S454" s="3133"/>
      <c r="T454" s="3133"/>
      <c r="U454" s="3133"/>
      <c r="V454" s="3133"/>
      <c r="W454" s="3133"/>
      <c r="X454" s="3133"/>
      <c r="Y454" s="3133"/>
      <c r="Z454" s="3133"/>
      <c r="AA454" s="3133"/>
      <c r="AB454" s="3133"/>
      <c r="AC454" s="3123">
        <f t="shared" si="242"/>
        <v>0</v>
      </c>
      <c r="AD454" s="3143"/>
      <c r="AE454" s="3143"/>
      <c r="AF454" s="3143"/>
      <c r="AG454" s="3143"/>
      <c r="AH454" s="3143"/>
      <c r="AI454" s="3143"/>
      <c r="AJ454" s="3143"/>
      <c r="AK454" s="3143"/>
      <c r="AL454" s="3143"/>
      <c r="AM454" s="3143"/>
      <c r="AN454" s="3143"/>
      <c r="AO454" s="3143"/>
      <c r="AP454" s="3143"/>
      <c r="AQ454" s="3143"/>
      <c r="AR454" s="3143"/>
      <c r="AS454" s="3143"/>
      <c r="AT454" s="3153"/>
      <c r="AU454" s="3154"/>
      <c r="AV454" s="270">
        <f t="shared" si="243"/>
        <v>0</v>
      </c>
      <c r="AW454" s="270">
        <f t="shared" si="244"/>
        <v>0</v>
      </c>
      <c r="AX454" s="270">
        <f t="shared" si="245"/>
        <v>0</v>
      </c>
      <c r="AY454" s="3168">
        <f t="shared" si="246"/>
        <v>0</v>
      </c>
      <c r="AZ454" s="3123">
        <f t="shared" si="247"/>
        <v>0</v>
      </c>
      <c r="BA454" s="3123">
        <f t="shared" si="248"/>
        <v>0</v>
      </c>
      <c r="BB454" s="3123">
        <f t="shared" si="249"/>
        <v>0</v>
      </c>
      <c r="BC454" s="3123">
        <f t="shared" si="250"/>
        <v>0</v>
      </c>
      <c r="BD454" s="3123">
        <f t="shared" si="251"/>
        <v>0</v>
      </c>
      <c r="BE454" s="3123">
        <f t="shared" si="252"/>
        <v>0</v>
      </c>
      <c r="BF454" s="3123">
        <f t="shared" si="253"/>
        <v>0</v>
      </c>
      <c r="BG454" s="3123">
        <f t="shared" si="254"/>
        <v>0</v>
      </c>
      <c r="BH454" s="3123">
        <f t="shared" si="255"/>
        <v>0</v>
      </c>
      <c r="BI454" s="3123">
        <f t="shared" si="256"/>
        <v>0</v>
      </c>
      <c r="BJ454" s="3123">
        <f t="shared" si="257"/>
        <v>0</v>
      </c>
      <c r="BK454" s="3123">
        <f t="shared" si="258"/>
        <v>0</v>
      </c>
      <c r="BL454" s="3123">
        <f t="shared" si="259"/>
        <v>0</v>
      </c>
      <c r="BM454" s="3123">
        <f t="shared" si="260"/>
        <v>0</v>
      </c>
      <c r="BN454" s="3123">
        <f t="shared" si="261"/>
        <v>0</v>
      </c>
      <c r="BO454" s="3123">
        <f t="shared" si="262"/>
        <v>0</v>
      </c>
      <c r="BP454" s="3123">
        <f t="shared" si="263"/>
        <v>0</v>
      </c>
      <c r="BQ454" s="3123">
        <f t="shared" si="264"/>
        <v>0</v>
      </c>
      <c r="BR454" s="3123">
        <f t="shared" si="265"/>
        <v>0</v>
      </c>
      <c r="BS454" s="3123">
        <f t="shared" si="266"/>
        <v>0</v>
      </c>
      <c r="BT454" s="3175">
        <f t="shared" si="267"/>
        <v>0</v>
      </c>
    </row>
    <row r="455" spans="1:72">
      <c r="A455" s="3120"/>
      <c r="B455" s="3121"/>
      <c r="C455" s="3121"/>
      <c r="D455" s="3122"/>
      <c r="E455" s="3123">
        <f t="shared" si="239"/>
        <v>0</v>
      </c>
      <c r="F455" s="3124"/>
      <c r="G455" s="3125">
        <f t="shared" si="240"/>
        <v>0</v>
      </c>
      <c r="H455" s="3126">
        <f t="shared" si="241"/>
        <v>0</v>
      </c>
      <c r="I455" s="3133"/>
      <c r="J455" s="3133"/>
      <c r="K455" s="3133"/>
      <c r="L455" s="3133"/>
      <c r="M455" s="3133"/>
      <c r="N455" s="3133"/>
      <c r="O455" s="3133"/>
      <c r="P455" s="3133"/>
      <c r="Q455" s="3133"/>
      <c r="R455" s="3133"/>
      <c r="S455" s="3133"/>
      <c r="T455" s="3133"/>
      <c r="U455" s="3133"/>
      <c r="V455" s="3133"/>
      <c r="W455" s="3133"/>
      <c r="X455" s="3133"/>
      <c r="Y455" s="3133"/>
      <c r="Z455" s="3133"/>
      <c r="AA455" s="3133"/>
      <c r="AB455" s="3133"/>
      <c r="AC455" s="3123">
        <f t="shared" si="242"/>
        <v>0</v>
      </c>
      <c r="AD455" s="3143"/>
      <c r="AE455" s="3143"/>
      <c r="AF455" s="3143"/>
      <c r="AG455" s="3143"/>
      <c r="AH455" s="3143"/>
      <c r="AI455" s="3143"/>
      <c r="AJ455" s="3143"/>
      <c r="AK455" s="3143"/>
      <c r="AL455" s="3143"/>
      <c r="AM455" s="3143"/>
      <c r="AN455" s="3143"/>
      <c r="AO455" s="3143"/>
      <c r="AP455" s="3143"/>
      <c r="AQ455" s="3143"/>
      <c r="AR455" s="3143"/>
      <c r="AS455" s="3143"/>
      <c r="AT455" s="3153"/>
      <c r="AU455" s="3154"/>
      <c r="AV455" s="270">
        <f t="shared" si="243"/>
        <v>0</v>
      </c>
      <c r="AW455" s="270">
        <f t="shared" si="244"/>
        <v>0</v>
      </c>
      <c r="AX455" s="270">
        <f t="shared" si="245"/>
        <v>0</v>
      </c>
      <c r="AY455" s="3168">
        <f t="shared" si="246"/>
        <v>0</v>
      </c>
      <c r="AZ455" s="3123">
        <f t="shared" si="247"/>
        <v>0</v>
      </c>
      <c r="BA455" s="3123">
        <f t="shared" si="248"/>
        <v>0</v>
      </c>
      <c r="BB455" s="3123">
        <f t="shared" si="249"/>
        <v>0</v>
      </c>
      <c r="BC455" s="3123">
        <f t="shared" si="250"/>
        <v>0</v>
      </c>
      <c r="BD455" s="3123">
        <f t="shared" si="251"/>
        <v>0</v>
      </c>
      <c r="BE455" s="3123">
        <f t="shared" si="252"/>
        <v>0</v>
      </c>
      <c r="BF455" s="3123">
        <f t="shared" si="253"/>
        <v>0</v>
      </c>
      <c r="BG455" s="3123">
        <f t="shared" si="254"/>
        <v>0</v>
      </c>
      <c r="BH455" s="3123">
        <f t="shared" si="255"/>
        <v>0</v>
      </c>
      <c r="BI455" s="3123">
        <f t="shared" si="256"/>
        <v>0</v>
      </c>
      <c r="BJ455" s="3123">
        <f t="shared" si="257"/>
        <v>0</v>
      </c>
      <c r="BK455" s="3123">
        <f t="shared" si="258"/>
        <v>0</v>
      </c>
      <c r="BL455" s="3123">
        <f t="shared" si="259"/>
        <v>0</v>
      </c>
      <c r="BM455" s="3123">
        <f t="shared" si="260"/>
        <v>0</v>
      </c>
      <c r="BN455" s="3123">
        <f t="shared" si="261"/>
        <v>0</v>
      </c>
      <c r="BO455" s="3123">
        <f t="shared" si="262"/>
        <v>0</v>
      </c>
      <c r="BP455" s="3123">
        <f t="shared" si="263"/>
        <v>0</v>
      </c>
      <c r="BQ455" s="3123">
        <f t="shared" si="264"/>
        <v>0</v>
      </c>
      <c r="BR455" s="3123">
        <f t="shared" si="265"/>
        <v>0</v>
      </c>
      <c r="BS455" s="3123">
        <f t="shared" si="266"/>
        <v>0</v>
      </c>
      <c r="BT455" s="3175">
        <f t="shared" si="267"/>
        <v>0</v>
      </c>
    </row>
    <row r="456" spans="1:72">
      <c r="A456" s="3120"/>
      <c r="B456" s="3121"/>
      <c r="C456" s="3121"/>
      <c r="D456" s="3122"/>
      <c r="E456" s="3123">
        <f t="shared" si="239"/>
        <v>0</v>
      </c>
      <c r="F456" s="3124"/>
      <c r="G456" s="3125">
        <f t="shared" si="240"/>
        <v>0</v>
      </c>
      <c r="H456" s="3126">
        <f t="shared" si="241"/>
        <v>0</v>
      </c>
      <c r="I456" s="3133"/>
      <c r="J456" s="3133"/>
      <c r="K456" s="3133"/>
      <c r="L456" s="3133"/>
      <c r="M456" s="3133"/>
      <c r="N456" s="3133"/>
      <c r="O456" s="3133"/>
      <c r="P456" s="3133"/>
      <c r="Q456" s="3133"/>
      <c r="R456" s="3133"/>
      <c r="S456" s="3133"/>
      <c r="T456" s="3133"/>
      <c r="U456" s="3133"/>
      <c r="V456" s="3133"/>
      <c r="W456" s="3133"/>
      <c r="X456" s="3133"/>
      <c r="Y456" s="3133"/>
      <c r="Z456" s="3133"/>
      <c r="AA456" s="3133"/>
      <c r="AB456" s="3133"/>
      <c r="AC456" s="3123">
        <f t="shared" si="242"/>
        <v>0</v>
      </c>
      <c r="AD456" s="3143"/>
      <c r="AE456" s="3143"/>
      <c r="AF456" s="3143"/>
      <c r="AG456" s="3143"/>
      <c r="AH456" s="3143"/>
      <c r="AI456" s="3143"/>
      <c r="AJ456" s="3143"/>
      <c r="AK456" s="3143"/>
      <c r="AL456" s="3143"/>
      <c r="AM456" s="3143"/>
      <c r="AN456" s="3143"/>
      <c r="AO456" s="3143"/>
      <c r="AP456" s="3143"/>
      <c r="AQ456" s="3143"/>
      <c r="AR456" s="3143"/>
      <c r="AS456" s="3143"/>
      <c r="AT456" s="3153"/>
      <c r="AU456" s="3154"/>
      <c r="AV456" s="270">
        <f t="shared" si="243"/>
        <v>0</v>
      </c>
      <c r="AW456" s="270">
        <f t="shared" si="244"/>
        <v>0</v>
      </c>
      <c r="AX456" s="270">
        <f t="shared" si="245"/>
        <v>0</v>
      </c>
      <c r="AY456" s="3168">
        <f t="shared" si="246"/>
        <v>0</v>
      </c>
      <c r="AZ456" s="3123">
        <f t="shared" si="247"/>
        <v>0</v>
      </c>
      <c r="BA456" s="3123">
        <f t="shared" si="248"/>
        <v>0</v>
      </c>
      <c r="BB456" s="3123">
        <f t="shared" si="249"/>
        <v>0</v>
      </c>
      <c r="BC456" s="3123">
        <f t="shared" si="250"/>
        <v>0</v>
      </c>
      <c r="BD456" s="3123">
        <f t="shared" si="251"/>
        <v>0</v>
      </c>
      <c r="BE456" s="3123">
        <f t="shared" si="252"/>
        <v>0</v>
      </c>
      <c r="BF456" s="3123">
        <f t="shared" si="253"/>
        <v>0</v>
      </c>
      <c r="BG456" s="3123">
        <f t="shared" si="254"/>
        <v>0</v>
      </c>
      <c r="BH456" s="3123">
        <f t="shared" si="255"/>
        <v>0</v>
      </c>
      <c r="BI456" s="3123">
        <f t="shared" si="256"/>
        <v>0</v>
      </c>
      <c r="BJ456" s="3123">
        <f t="shared" si="257"/>
        <v>0</v>
      </c>
      <c r="BK456" s="3123">
        <f t="shared" si="258"/>
        <v>0</v>
      </c>
      <c r="BL456" s="3123">
        <f t="shared" si="259"/>
        <v>0</v>
      </c>
      <c r="BM456" s="3123">
        <f t="shared" si="260"/>
        <v>0</v>
      </c>
      <c r="BN456" s="3123">
        <f t="shared" si="261"/>
        <v>0</v>
      </c>
      <c r="BO456" s="3123">
        <f t="shared" si="262"/>
        <v>0</v>
      </c>
      <c r="BP456" s="3123">
        <f t="shared" si="263"/>
        <v>0</v>
      </c>
      <c r="BQ456" s="3123">
        <f t="shared" si="264"/>
        <v>0</v>
      </c>
      <c r="BR456" s="3123">
        <f t="shared" si="265"/>
        <v>0</v>
      </c>
      <c r="BS456" s="3123">
        <f t="shared" si="266"/>
        <v>0</v>
      </c>
      <c r="BT456" s="3175">
        <f t="shared" si="267"/>
        <v>0</v>
      </c>
    </row>
    <row r="457" spans="1:72">
      <c r="A457" s="3120"/>
      <c r="B457" s="3121"/>
      <c r="C457" s="3121"/>
      <c r="D457" s="3122"/>
      <c r="E457" s="3123">
        <f t="shared" si="239"/>
        <v>0</v>
      </c>
      <c r="F457" s="3124"/>
      <c r="G457" s="3125">
        <f t="shared" si="240"/>
        <v>0</v>
      </c>
      <c r="H457" s="3126">
        <f t="shared" si="241"/>
        <v>0</v>
      </c>
      <c r="I457" s="3133"/>
      <c r="J457" s="3133"/>
      <c r="K457" s="3133"/>
      <c r="L457" s="3133"/>
      <c r="M457" s="3133"/>
      <c r="N457" s="3133"/>
      <c r="O457" s="3133"/>
      <c r="P457" s="3133"/>
      <c r="Q457" s="3133"/>
      <c r="R457" s="3133"/>
      <c r="S457" s="3133"/>
      <c r="T457" s="3133"/>
      <c r="U457" s="3133"/>
      <c r="V457" s="3133"/>
      <c r="W457" s="3133"/>
      <c r="X457" s="3133"/>
      <c r="Y457" s="3133"/>
      <c r="Z457" s="3133"/>
      <c r="AA457" s="3133"/>
      <c r="AB457" s="3133"/>
      <c r="AC457" s="3123">
        <f t="shared" si="242"/>
        <v>0</v>
      </c>
      <c r="AD457" s="3143"/>
      <c r="AE457" s="3143"/>
      <c r="AF457" s="3143"/>
      <c r="AG457" s="3143"/>
      <c r="AH457" s="3143"/>
      <c r="AI457" s="3143"/>
      <c r="AJ457" s="3143"/>
      <c r="AK457" s="3143"/>
      <c r="AL457" s="3143"/>
      <c r="AM457" s="3143"/>
      <c r="AN457" s="3143"/>
      <c r="AO457" s="3143"/>
      <c r="AP457" s="3143"/>
      <c r="AQ457" s="3143"/>
      <c r="AR457" s="3143"/>
      <c r="AS457" s="3143"/>
      <c r="AT457" s="3153"/>
      <c r="AU457" s="3154"/>
      <c r="AV457" s="270">
        <f t="shared" si="243"/>
        <v>0</v>
      </c>
      <c r="AW457" s="270">
        <f t="shared" si="244"/>
        <v>0</v>
      </c>
      <c r="AX457" s="270">
        <f t="shared" si="245"/>
        <v>0</v>
      </c>
      <c r="AY457" s="3168">
        <f t="shared" si="246"/>
        <v>0</v>
      </c>
      <c r="AZ457" s="3123">
        <f t="shared" si="247"/>
        <v>0</v>
      </c>
      <c r="BA457" s="3123">
        <f t="shared" si="248"/>
        <v>0</v>
      </c>
      <c r="BB457" s="3123">
        <f t="shared" si="249"/>
        <v>0</v>
      </c>
      <c r="BC457" s="3123">
        <f t="shared" si="250"/>
        <v>0</v>
      </c>
      <c r="BD457" s="3123">
        <f t="shared" si="251"/>
        <v>0</v>
      </c>
      <c r="BE457" s="3123">
        <f t="shared" si="252"/>
        <v>0</v>
      </c>
      <c r="BF457" s="3123">
        <f t="shared" si="253"/>
        <v>0</v>
      </c>
      <c r="BG457" s="3123">
        <f t="shared" si="254"/>
        <v>0</v>
      </c>
      <c r="BH457" s="3123">
        <f t="shared" si="255"/>
        <v>0</v>
      </c>
      <c r="BI457" s="3123">
        <f t="shared" si="256"/>
        <v>0</v>
      </c>
      <c r="BJ457" s="3123">
        <f t="shared" si="257"/>
        <v>0</v>
      </c>
      <c r="BK457" s="3123">
        <f t="shared" si="258"/>
        <v>0</v>
      </c>
      <c r="BL457" s="3123">
        <f t="shared" si="259"/>
        <v>0</v>
      </c>
      <c r="BM457" s="3123">
        <f t="shared" si="260"/>
        <v>0</v>
      </c>
      <c r="BN457" s="3123">
        <f t="shared" si="261"/>
        <v>0</v>
      </c>
      <c r="BO457" s="3123">
        <f t="shared" si="262"/>
        <v>0</v>
      </c>
      <c r="BP457" s="3123">
        <f t="shared" si="263"/>
        <v>0</v>
      </c>
      <c r="BQ457" s="3123">
        <f t="shared" si="264"/>
        <v>0</v>
      </c>
      <c r="BR457" s="3123">
        <f t="shared" si="265"/>
        <v>0</v>
      </c>
      <c r="BS457" s="3123">
        <f t="shared" si="266"/>
        <v>0</v>
      </c>
      <c r="BT457" s="3175">
        <f t="shared" si="267"/>
        <v>0</v>
      </c>
    </row>
    <row r="458" spans="1:72">
      <c r="A458" s="3120"/>
      <c r="B458" s="3121"/>
      <c r="C458" s="3121"/>
      <c r="D458" s="3122"/>
      <c r="E458" s="3123">
        <f t="shared" si="239"/>
        <v>0</v>
      </c>
      <c r="F458" s="3124"/>
      <c r="G458" s="3125">
        <f t="shared" si="240"/>
        <v>0</v>
      </c>
      <c r="H458" s="3126">
        <f t="shared" si="241"/>
        <v>0</v>
      </c>
      <c r="I458" s="3133"/>
      <c r="J458" s="3133"/>
      <c r="K458" s="3133"/>
      <c r="L458" s="3133"/>
      <c r="M458" s="3133"/>
      <c r="N458" s="3133"/>
      <c r="O458" s="3133"/>
      <c r="P458" s="3133"/>
      <c r="Q458" s="3133"/>
      <c r="R458" s="3133"/>
      <c r="S458" s="3133"/>
      <c r="T458" s="3133"/>
      <c r="U458" s="3133"/>
      <c r="V458" s="3133"/>
      <c r="W458" s="3133"/>
      <c r="X458" s="3133"/>
      <c r="Y458" s="3133"/>
      <c r="Z458" s="3133"/>
      <c r="AA458" s="3133"/>
      <c r="AB458" s="3133"/>
      <c r="AC458" s="3123">
        <f t="shared" si="242"/>
        <v>0</v>
      </c>
      <c r="AD458" s="3143"/>
      <c r="AE458" s="3143"/>
      <c r="AF458" s="3143"/>
      <c r="AG458" s="3143"/>
      <c r="AH458" s="3143"/>
      <c r="AI458" s="3143"/>
      <c r="AJ458" s="3143"/>
      <c r="AK458" s="3143"/>
      <c r="AL458" s="3143"/>
      <c r="AM458" s="3143"/>
      <c r="AN458" s="3143"/>
      <c r="AO458" s="3143"/>
      <c r="AP458" s="3143"/>
      <c r="AQ458" s="3143"/>
      <c r="AR458" s="3143"/>
      <c r="AS458" s="3143"/>
      <c r="AT458" s="3153"/>
      <c r="AU458" s="3154"/>
      <c r="AV458" s="270">
        <f t="shared" si="243"/>
        <v>0</v>
      </c>
      <c r="AW458" s="270">
        <f t="shared" si="244"/>
        <v>0</v>
      </c>
      <c r="AX458" s="270">
        <f t="shared" si="245"/>
        <v>0</v>
      </c>
      <c r="AY458" s="3168">
        <f t="shared" si="246"/>
        <v>0</v>
      </c>
      <c r="AZ458" s="3123">
        <f t="shared" si="247"/>
        <v>0</v>
      </c>
      <c r="BA458" s="3123">
        <f t="shared" si="248"/>
        <v>0</v>
      </c>
      <c r="BB458" s="3123">
        <f t="shared" si="249"/>
        <v>0</v>
      </c>
      <c r="BC458" s="3123">
        <f t="shared" si="250"/>
        <v>0</v>
      </c>
      <c r="BD458" s="3123">
        <f t="shared" si="251"/>
        <v>0</v>
      </c>
      <c r="BE458" s="3123">
        <f t="shared" si="252"/>
        <v>0</v>
      </c>
      <c r="BF458" s="3123">
        <f t="shared" si="253"/>
        <v>0</v>
      </c>
      <c r="BG458" s="3123">
        <f t="shared" si="254"/>
        <v>0</v>
      </c>
      <c r="BH458" s="3123">
        <f t="shared" si="255"/>
        <v>0</v>
      </c>
      <c r="BI458" s="3123">
        <f t="shared" si="256"/>
        <v>0</v>
      </c>
      <c r="BJ458" s="3123">
        <f t="shared" si="257"/>
        <v>0</v>
      </c>
      <c r="BK458" s="3123">
        <f t="shared" si="258"/>
        <v>0</v>
      </c>
      <c r="BL458" s="3123">
        <f t="shared" si="259"/>
        <v>0</v>
      </c>
      <c r="BM458" s="3123">
        <f t="shared" si="260"/>
        <v>0</v>
      </c>
      <c r="BN458" s="3123">
        <f t="shared" si="261"/>
        <v>0</v>
      </c>
      <c r="BO458" s="3123">
        <f t="shared" si="262"/>
        <v>0</v>
      </c>
      <c r="BP458" s="3123">
        <f t="shared" si="263"/>
        <v>0</v>
      </c>
      <c r="BQ458" s="3123">
        <f t="shared" si="264"/>
        <v>0</v>
      </c>
      <c r="BR458" s="3123">
        <f t="shared" si="265"/>
        <v>0</v>
      </c>
      <c r="BS458" s="3123">
        <f t="shared" si="266"/>
        <v>0</v>
      </c>
      <c r="BT458" s="3175">
        <f t="shared" si="267"/>
        <v>0</v>
      </c>
    </row>
    <row r="459" spans="1:72">
      <c r="A459" s="3120"/>
      <c r="B459" s="3121"/>
      <c r="C459" s="3121"/>
      <c r="D459" s="3122"/>
      <c r="E459" s="3123">
        <f t="shared" si="239"/>
        <v>0</v>
      </c>
      <c r="F459" s="3124"/>
      <c r="G459" s="3125">
        <f t="shared" si="240"/>
        <v>0</v>
      </c>
      <c r="H459" s="3126">
        <f t="shared" si="241"/>
        <v>0</v>
      </c>
      <c r="I459" s="3133"/>
      <c r="J459" s="3133"/>
      <c r="K459" s="3133"/>
      <c r="L459" s="3133"/>
      <c r="M459" s="3133"/>
      <c r="N459" s="3133"/>
      <c r="O459" s="3133"/>
      <c r="P459" s="3133"/>
      <c r="Q459" s="3133"/>
      <c r="R459" s="3133"/>
      <c r="S459" s="3133"/>
      <c r="T459" s="3133"/>
      <c r="U459" s="3133"/>
      <c r="V459" s="3133"/>
      <c r="W459" s="3133"/>
      <c r="X459" s="3133"/>
      <c r="Y459" s="3133"/>
      <c r="Z459" s="3133"/>
      <c r="AA459" s="3133"/>
      <c r="AB459" s="3133"/>
      <c r="AC459" s="3123">
        <f t="shared" si="242"/>
        <v>0</v>
      </c>
      <c r="AD459" s="3143"/>
      <c r="AE459" s="3143"/>
      <c r="AF459" s="3143"/>
      <c r="AG459" s="3143"/>
      <c r="AH459" s="3143"/>
      <c r="AI459" s="3143"/>
      <c r="AJ459" s="3143"/>
      <c r="AK459" s="3143"/>
      <c r="AL459" s="3143"/>
      <c r="AM459" s="3143"/>
      <c r="AN459" s="3143"/>
      <c r="AO459" s="3143"/>
      <c r="AP459" s="3143"/>
      <c r="AQ459" s="3143"/>
      <c r="AR459" s="3143"/>
      <c r="AS459" s="3143"/>
      <c r="AT459" s="3153"/>
      <c r="AU459" s="3154"/>
      <c r="AV459" s="270">
        <f t="shared" si="243"/>
        <v>0</v>
      </c>
      <c r="AW459" s="270">
        <f t="shared" si="244"/>
        <v>0</v>
      </c>
      <c r="AX459" s="270">
        <f t="shared" si="245"/>
        <v>0</v>
      </c>
      <c r="AY459" s="3168">
        <f t="shared" si="246"/>
        <v>0</v>
      </c>
      <c r="AZ459" s="3123">
        <f t="shared" si="247"/>
        <v>0</v>
      </c>
      <c r="BA459" s="3123">
        <f t="shared" si="248"/>
        <v>0</v>
      </c>
      <c r="BB459" s="3123">
        <f t="shared" si="249"/>
        <v>0</v>
      </c>
      <c r="BC459" s="3123">
        <f t="shared" si="250"/>
        <v>0</v>
      </c>
      <c r="BD459" s="3123">
        <f t="shared" si="251"/>
        <v>0</v>
      </c>
      <c r="BE459" s="3123">
        <f t="shared" si="252"/>
        <v>0</v>
      </c>
      <c r="BF459" s="3123">
        <f t="shared" si="253"/>
        <v>0</v>
      </c>
      <c r="BG459" s="3123">
        <f t="shared" si="254"/>
        <v>0</v>
      </c>
      <c r="BH459" s="3123">
        <f t="shared" si="255"/>
        <v>0</v>
      </c>
      <c r="BI459" s="3123">
        <f t="shared" si="256"/>
        <v>0</v>
      </c>
      <c r="BJ459" s="3123">
        <f t="shared" si="257"/>
        <v>0</v>
      </c>
      <c r="BK459" s="3123">
        <f t="shared" si="258"/>
        <v>0</v>
      </c>
      <c r="BL459" s="3123">
        <f t="shared" si="259"/>
        <v>0</v>
      </c>
      <c r="BM459" s="3123">
        <f t="shared" si="260"/>
        <v>0</v>
      </c>
      <c r="BN459" s="3123">
        <f t="shared" si="261"/>
        <v>0</v>
      </c>
      <c r="BO459" s="3123">
        <f t="shared" si="262"/>
        <v>0</v>
      </c>
      <c r="BP459" s="3123">
        <f t="shared" si="263"/>
        <v>0</v>
      </c>
      <c r="BQ459" s="3123">
        <f t="shared" si="264"/>
        <v>0</v>
      </c>
      <c r="BR459" s="3123">
        <f t="shared" si="265"/>
        <v>0</v>
      </c>
      <c r="BS459" s="3123">
        <f t="shared" si="266"/>
        <v>0</v>
      </c>
      <c r="BT459" s="3175">
        <f t="shared" si="267"/>
        <v>0</v>
      </c>
    </row>
    <row r="460" spans="1:72">
      <c r="A460" s="3120"/>
      <c r="B460" s="3121"/>
      <c r="C460" s="3121"/>
      <c r="D460" s="3122"/>
      <c r="E460" s="3123">
        <f t="shared" si="239"/>
        <v>0</v>
      </c>
      <c r="F460" s="3124"/>
      <c r="G460" s="3125">
        <f t="shared" si="240"/>
        <v>0</v>
      </c>
      <c r="H460" s="3126">
        <f t="shared" si="241"/>
        <v>0</v>
      </c>
      <c r="I460" s="3133"/>
      <c r="J460" s="3133"/>
      <c r="K460" s="3133"/>
      <c r="L460" s="3133"/>
      <c r="M460" s="3133"/>
      <c r="N460" s="3133"/>
      <c r="O460" s="3133"/>
      <c r="P460" s="3133"/>
      <c r="Q460" s="3133"/>
      <c r="R460" s="3133"/>
      <c r="S460" s="3133"/>
      <c r="T460" s="3133"/>
      <c r="U460" s="3133"/>
      <c r="V460" s="3133"/>
      <c r="W460" s="3133"/>
      <c r="X460" s="3133"/>
      <c r="Y460" s="3133"/>
      <c r="Z460" s="3133"/>
      <c r="AA460" s="3133"/>
      <c r="AB460" s="3133"/>
      <c r="AC460" s="3123">
        <f t="shared" si="242"/>
        <v>0</v>
      </c>
      <c r="AD460" s="3143"/>
      <c r="AE460" s="3143"/>
      <c r="AF460" s="3143"/>
      <c r="AG460" s="3143"/>
      <c r="AH460" s="3143"/>
      <c r="AI460" s="3143"/>
      <c r="AJ460" s="3143"/>
      <c r="AK460" s="3143"/>
      <c r="AL460" s="3143"/>
      <c r="AM460" s="3143"/>
      <c r="AN460" s="3143"/>
      <c r="AO460" s="3143"/>
      <c r="AP460" s="3143"/>
      <c r="AQ460" s="3143"/>
      <c r="AR460" s="3143"/>
      <c r="AS460" s="3143"/>
      <c r="AT460" s="3153"/>
      <c r="AU460" s="3154"/>
      <c r="AV460" s="270">
        <f t="shared" si="243"/>
        <v>0</v>
      </c>
      <c r="AW460" s="270">
        <f t="shared" si="244"/>
        <v>0</v>
      </c>
      <c r="AX460" s="270">
        <f t="shared" si="245"/>
        <v>0</v>
      </c>
      <c r="AY460" s="3168">
        <f t="shared" si="246"/>
        <v>0</v>
      </c>
      <c r="AZ460" s="3123">
        <f t="shared" si="247"/>
        <v>0</v>
      </c>
      <c r="BA460" s="3123">
        <f t="shared" si="248"/>
        <v>0</v>
      </c>
      <c r="BB460" s="3123">
        <f t="shared" si="249"/>
        <v>0</v>
      </c>
      <c r="BC460" s="3123">
        <f t="shared" si="250"/>
        <v>0</v>
      </c>
      <c r="BD460" s="3123">
        <f t="shared" si="251"/>
        <v>0</v>
      </c>
      <c r="BE460" s="3123">
        <f t="shared" si="252"/>
        <v>0</v>
      </c>
      <c r="BF460" s="3123">
        <f t="shared" si="253"/>
        <v>0</v>
      </c>
      <c r="BG460" s="3123">
        <f t="shared" si="254"/>
        <v>0</v>
      </c>
      <c r="BH460" s="3123">
        <f t="shared" si="255"/>
        <v>0</v>
      </c>
      <c r="BI460" s="3123">
        <f t="shared" si="256"/>
        <v>0</v>
      </c>
      <c r="BJ460" s="3123">
        <f t="shared" si="257"/>
        <v>0</v>
      </c>
      <c r="BK460" s="3123">
        <f t="shared" si="258"/>
        <v>0</v>
      </c>
      <c r="BL460" s="3123">
        <f t="shared" si="259"/>
        <v>0</v>
      </c>
      <c r="BM460" s="3123">
        <f t="shared" si="260"/>
        <v>0</v>
      </c>
      <c r="BN460" s="3123">
        <f t="shared" si="261"/>
        <v>0</v>
      </c>
      <c r="BO460" s="3123">
        <f t="shared" si="262"/>
        <v>0</v>
      </c>
      <c r="BP460" s="3123">
        <f t="shared" si="263"/>
        <v>0</v>
      </c>
      <c r="BQ460" s="3123">
        <f t="shared" si="264"/>
        <v>0</v>
      </c>
      <c r="BR460" s="3123">
        <f t="shared" si="265"/>
        <v>0</v>
      </c>
      <c r="BS460" s="3123">
        <f t="shared" si="266"/>
        <v>0</v>
      </c>
      <c r="BT460" s="3175">
        <f t="shared" si="267"/>
        <v>0</v>
      </c>
    </row>
    <row r="461" spans="1:72">
      <c r="A461" s="3120"/>
      <c r="B461" s="3121"/>
      <c r="C461" s="3121"/>
      <c r="D461" s="3122"/>
      <c r="E461" s="3123">
        <f t="shared" si="239"/>
        <v>0</v>
      </c>
      <c r="F461" s="3124"/>
      <c r="G461" s="3125">
        <f t="shared" si="240"/>
        <v>0</v>
      </c>
      <c r="H461" s="3126">
        <f t="shared" si="241"/>
        <v>0</v>
      </c>
      <c r="I461" s="3133"/>
      <c r="J461" s="3133"/>
      <c r="K461" s="3133"/>
      <c r="L461" s="3133"/>
      <c r="M461" s="3133"/>
      <c r="N461" s="3133"/>
      <c r="O461" s="3133"/>
      <c r="P461" s="3133"/>
      <c r="Q461" s="3133"/>
      <c r="R461" s="3133"/>
      <c r="S461" s="3133"/>
      <c r="T461" s="3133"/>
      <c r="U461" s="3133"/>
      <c r="V461" s="3133"/>
      <c r="W461" s="3133"/>
      <c r="X461" s="3133"/>
      <c r="Y461" s="3133"/>
      <c r="Z461" s="3133"/>
      <c r="AA461" s="3133"/>
      <c r="AB461" s="3133"/>
      <c r="AC461" s="3123">
        <f t="shared" si="242"/>
        <v>0</v>
      </c>
      <c r="AD461" s="3143"/>
      <c r="AE461" s="3143"/>
      <c r="AF461" s="3143"/>
      <c r="AG461" s="3143"/>
      <c r="AH461" s="3143"/>
      <c r="AI461" s="3143"/>
      <c r="AJ461" s="3143"/>
      <c r="AK461" s="3143"/>
      <c r="AL461" s="3143"/>
      <c r="AM461" s="3143"/>
      <c r="AN461" s="3143"/>
      <c r="AO461" s="3143"/>
      <c r="AP461" s="3143"/>
      <c r="AQ461" s="3143"/>
      <c r="AR461" s="3143"/>
      <c r="AS461" s="3143"/>
      <c r="AT461" s="3153"/>
      <c r="AU461" s="3154"/>
      <c r="AV461" s="270">
        <f t="shared" si="243"/>
        <v>0</v>
      </c>
      <c r="AW461" s="270">
        <f t="shared" si="244"/>
        <v>0</v>
      </c>
      <c r="AX461" s="270">
        <f t="shared" si="245"/>
        <v>0</v>
      </c>
      <c r="AY461" s="3168">
        <f t="shared" si="246"/>
        <v>0</v>
      </c>
      <c r="AZ461" s="3123">
        <f t="shared" si="247"/>
        <v>0</v>
      </c>
      <c r="BA461" s="3123">
        <f t="shared" si="248"/>
        <v>0</v>
      </c>
      <c r="BB461" s="3123">
        <f t="shared" si="249"/>
        <v>0</v>
      </c>
      <c r="BC461" s="3123">
        <f t="shared" si="250"/>
        <v>0</v>
      </c>
      <c r="BD461" s="3123">
        <f t="shared" si="251"/>
        <v>0</v>
      </c>
      <c r="BE461" s="3123">
        <f t="shared" si="252"/>
        <v>0</v>
      </c>
      <c r="BF461" s="3123">
        <f t="shared" si="253"/>
        <v>0</v>
      </c>
      <c r="BG461" s="3123">
        <f t="shared" si="254"/>
        <v>0</v>
      </c>
      <c r="BH461" s="3123">
        <f t="shared" si="255"/>
        <v>0</v>
      </c>
      <c r="BI461" s="3123">
        <f t="shared" si="256"/>
        <v>0</v>
      </c>
      <c r="BJ461" s="3123">
        <f t="shared" si="257"/>
        <v>0</v>
      </c>
      <c r="BK461" s="3123">
        <f t="shared" si="258"/>
        <v>0</v>
      </c>
      <c r="BL461" s="3123">
        <f t="shared" si="259"/>
        <v>0</v>
      </c>
      <c r="BM461" s="3123">
        <f t="shared" si="260"/>
        <v>0</v>
      </c>
      <c r="BN461" s="3123">
        <f t="shared" si="261"/>
        <v>0</v>
      </c>
      <c r="BO461" s="3123">
        <f t="shared" si="262"/>
        <v>0</v>
      </c>
      <c r="BP461" s="3123">
        <f t="shared" si="263"/>
        <v>0</v>
      </c>
      <c r="BQ461" s="3123">
        <f t="shared" si="264"/>
        <v>0</v>
      </c>
      <c r="BR461" s="3123">
        <f t="shared" si="265"/>
        <v>0</v>
      </c>
      <c r="BS461" s="3123">
        <f t="shared" si="266"/>
        <v>0</v>
      </c>
      <c r="BT461" s="3175">
        <f t="shared" si="267"/>
        <v>0</v>
      </c>
    </row>
    <row r="462" spans="1:72">
      <c r="A462" s="3120"/>
      <c r="B462" s="3121"/>
      <c r="C462" s="3121"/>
      <c r="D462" s="3122"/>
      <c r="E462" s="3123">
        <f t="shared" si="239"/>
        <v>0</v>
      </c>
      <c r="F462" s="3124"/>
      <c r="G462" s="3125">
        <f t="shared" si="240"/>
        <v>0</v>
      </c>
      <c r="H462" s="3126">
        <f t="shared" si="241"/>
        <v>0</v>
      </c>
      <c r="I462" s="3133"/>
      <c r="J462" s="3133"/>
      <c r="K462" s="3133"/>
      <c r="L462" s="3133"/>
      <c r="M462" s="3133"/>
      <c r="N462" s="3133"/>
      <c r="O462" s="3133"/>
      <c r="P462" s="3133"/>
      <c r="Q462" s="3133"/>
      <c r="R462" s="3133"/>
      <c r="S462" s="3133"/>
      <c r="T462" s="3133"/>
      <c r="U462" s="3133"/>
      <c r="V462" s="3133"/>
      <c r="W462" s="3133"/>
      <c r="X462" s="3133"/>
      <c r="Y462" s="3133"/>
      <c r="Z462" s="3133"/>
      <c r="AA462" s="3133"/>
      <c r="AB462" s="3133"/>
      <c r="AC462" s="3123">
        <f t="shared" si="242"/>
        <v>0</v>
      </c>
      <c r="AD462" s="3143"/>
      <c r="AE462" s="3143"/>
      <c r="AF462" s="3143"/>
      <c r="AG462" s="3143"/>
      <c r="AH462" s="3143"/>
      <c r="AI462" s="3143"/>
      <c r="AJ462" s="3143"/>
      <c r="AK462" s="3143"/>
      <c r="AL462" s="3143"/>
      <c r="AM462" s="3143"/>
      <c r="AN462" s="3143"/>
      <c r="AO462" s="3143"/>
      <c r="AP462" s="3143"/>
      <c r="AQ462" s="3143"/>
      <c r="AR462" s="3143"/>
      <c r="AS462" s="3143"/>
      <c r="AT462" s="3153"/>
      <c r="AU462" s="3154"/>
      <c r="AV462" s="270">
        <f t="shared" si="243"/>
        <v>0</v>
      </c>
      <c r="AW462" s="270">
        <f t="shared" si="244"/>
        <v>0</v>
      </c>
      <c r="AX462" s="270">
        <f t="shared" si="245"/>
        <v>0</v>
      </c>
      <c r="AY462" s="3168">
        <f t="shared" si="246"/>
        <v>0</v>
      </c>
      <c r="AZ462" s="3123">
        <f t="shared" si="247"/>
        <v>0</v>
      </c>
      <c r="BA462" s="3123">
        <f t="shared" si="248"/>
        <v>0</v>
      </c>
      <c r="BB462" s="3123">
        <f t="shared" si="249"/>
        <v>0</v>
      </c>
      <c r="BC462" s="3123">
        <f t="shared" si="250"/>
        <v>0</v>
      </c>
      <c r="BD462" s="3123">
        <f t="shared" si="251"/>
        <v>0</v>
      </c>
      <c r="BE462" s="3123">
        <f t="shared" si="252"/>
        <v>0</v>
      </c>
      <c r="BF462" s="3123">
        <f t="shared" si="253"/>
        <v>0</v>
      </c>
      <c r="BG462" s="3123">
        <f t="shared" si="254"/>
        <v>0</v>
      </c>
      <c r="BH462" s="3123">
        <f t="shared" si="255"/>
        <v>0</v>
      </c>
      <c r="BI462" s="3123">
        <f t="shared" si="256"/>
        <v>0</v>
      </c>
      <c r="BJ462" s="3123">
        <f t="shared" si="257"/>
        <v>0</v>
      </c>
      <c r="BK462" s="3123">
        <f t="shared" si="258"/>
        <v>0</v>
      </c>
      <c r="BL462" s="3123">
        <f t="shared" si="259"/>
        <v>0</v>
      </c>
      <c r="BM462" s="3123">
        <f t="shared" si="260"/>
        <v>0</v>
      </c>
      <c r="BN462" s="3123">
        <f t="shared" si="261"/>
        <v>0</v>
      </c>
      <c r="BO462" s="3123">
        <f t="shared" si="262"/>
        <v>0</v>
      </c>
      <c r="BP462" s="3123">
        <f t="shared" si="263"/>
        <v>0</v>
      </c>
      <c r="BQ462" s="3123">
        <f t="shared" si="264"/>
        <v>0</v>
      </c>
      <c r="BR462" s="3123">
        <f t="shared" si="265"/>
        <v>0</v>
      </c>
      <c r="BS462" s="3123">
        <f t="shared" si="266"/>
        <v>0</v>
      </c>
      <c r="BT462" s="3175">
        <f t="shared" si="267"/>
        <v>0</v>
      </c>
    </row>
    <row r="463" spans="1:72">
      <c r="A463" s="3120"/>
      <c r="B463" s="3121"/>
      <c r="C463" s="3121"/>
      <c r="D463" s="3122"/>
      <c r="E463" s="3123">
        <f t="shared" si="239"/>
        <v>0</v>
      </c>
      <c r="F463" s="3124"/>
      <c r="G463" s="3125">
        <f t="shared" si="240"/>
        <v>0</v>
      </c>
      <c r="H463" s="3126">
        <f t="shared" si="241"/>
        <v>0</v>
      </c>
      <c r="I463" s="3133"/>
      <c r="J463" s="3133"/>
      <c r="K463" s="3133"/>
      <c r="L463" s="3133"/>
      <c r="M463" s="3133"/>
      <c r="N463" s="3133"/>
      <c r="O463" s="3133"/>
      <c r="P463" s="3133"/>
      <c r="Q463" s="3133"/>
      <c r="R463" s="3133"/>
      <c r="S463" s="3133"/>
      <c r="T463" s="3133"/>
      <c r="U463" s="3133"/>
      <c r="V463" s="3133"/>
      <c r="W463" s="3133"/>
      <c r="X463" s="3133"/>
      <c r="Y463" s="3133"/>
      <c r="Z463" s="3133"/>
      <c r="AA463" s="3133"/>
      <c r="AB463" s="3133"/>
      <c r="AC463" s="3123">
        <f t="shared" si="242"/>
        <v>0</v>
      </c>
      <c r="AD463" s="3143"/>
      <c r="AE463" s="3143"/>
      <c r="AF463" s="3143"/>
      <c r="AG463" s="3143"/>
      <c r="AH463" s="3143"/>
      <c r="AI463" s="3143"/>
      <c r="AJ463" s="3143"/>
      <c r="AK463" s="3143"/>
      <c r="AL463" s="3143"/>
      <c r="AM463" s="3143"/>
      <c r="AN463" s="3143"/>
      <c r="AO463" s="3143"/>
      <c r="AP463" s="3143"/>
      <c r="AQ463" s="3143"/>
      <c r="AR463" s="3143"/>
      <c r="AS463" s="3143"/>
      <c r="AT463" s="3153"/>
      <c r="AU463" s="3154"/>
      <c r="AV463" s="270">
        <f t="shared" si="243"/>
        <v>0</v>
      </c>
      <c r="AW463" s="270">
        <f t="shared" si="244"/>
        <v>0</v>
      </c>
      <c r="AX463" s="270">
        <f t="shared" si="245"/>
        <v>0</v>
      </c>
      <c r="AY463" s="3168">
        <f t="shared" si="246"/>
        <v>0</v>
      </c>
      <c r="AZ463" s="3123">
        <f t="shared" si="247"/>
        <v>0</v>
      </c>
      <c r="BA463" s="3123">
        <f t="shared" si="248"/>
        <v>0</v>
      </c>
      <c r="BB463" s="3123">
        <f t="shared" si="249"/>
        <v>0</v>
      </c>
      <c r="BC463" s="3123">
        <f t="shared" si="250"/>
        <v>0</v>
      </c>
      <c r="BD463" s="3123">
        <f t="shared" si="251"/>
        <v>0</v>
      </c>
      <c r="BE463" s="3123">
        <f t="shared" si="252"/>
        <v>0</v>
      </c>
      <c r="BF463" s="3123">
        <f t="shared" si="253"/>
        <v>0</v>
      </c>
      <c r="BG463" s="3123">
        <f t="shared" si="254"/>
        <v>0</v>
      </c>
      <c r="BH463" s="3123">
        <f t="shared" si="255"/>
        <v>0</v>
      </c>
      <c r="BI463" s="3123">
        <f t="shared" si="256"/>
        <v>0</v>
      </c>
      <c r="BJ463" s="3123">
        <f t="shared" si="257"/>
        <v>0</v>
      </c>
      <c r="BK463" s="3123">
        <f t="shared" si="258"/>
        <v>0</v>
      </c>
      <c r="BL463" s="3123">
        <f t="shared" si="259"/>
        <v>0</v>
      </c>
      <c r="BM463" s="3123">
        <f t="shared" si="260"/>
        <v>0</v>
      </c>
      <c r="BN463" s="3123">
        <f t="shared" si="261"/>
        <v>0</v>
      </c>
      <c r="BO463" s="3123">
        <f t="shared" si="262"/>
        <v>0</v>
      </c>
      <c r="BP463" s="3123">
        <f t="shared" si="263"/>
        <v>0</v>
      </c>
      <c r="BQ463" s="3123">
        <f t="shared" si="264"/>
        <v>0</v>
      </c>
      <c r="BR463" s="3123">
        <f t="shared" si="265"/>
        <v>0</v>
      </c>
      <c r="BS463" s="3123">
        <f t="shared" si="266"/>
        <v>0</v>
      </c>
      <c r="BT463" s="3175">
        <f t="shared" si="267"/>
        <v>0</v>
      </c>
    </row>
    <row r="464" spans="1:72">
      <c r="A464" s="3120"/>
      <c r="B464" s="3121"/>
      <c r="C464" s="3121"/>
      <c r="D464" s="3122"/>
      <c r="E464" s="3123">
        <f t="shared" si="239"/>
        <v>0</v>
      </c>
      <c r="F464" s="3124"/>
      <c r="G464" s="3125">
        <f t="shared" si="240"/>
        <v>0</v>
      </c>
      <c r="H464" s="3126">
        <f t="shared" si="241"/>
        <v>0</v>
      </c>
      <c r="I464" s="3133"/>
      <c r="J464" s="3133"/>
      <c r="K464" s="3133"/>
      <c r="L464" s="3133"/>
      <c r="M464" s="3133"/>
      <c r="N464" s="3133"/>
      <c r="O464" s="3133"/>
      <c r="P464" s="3133"/>
      <c r="Q464" s="3133"/>
      <c r="R464" s="3133"/>
      <c r="S464" s="3133"/>
      <c r="T464" s="3133"/>
      <c r="U464" s="3133"/>
      <c r="V464" s="3133"/>
      <c r="W464" s="3133"/>
      <c r="X464" s="3133"/>
      <c r="Y464" s="3133"/>
      <c r="Z464" s="3133"/>
      <c r="AA464" s="3133"/>
      <c r="AB464" s="3133"/>
      <c r="AC464" s="3123">
        <f t="shared" si="242"/>
        <v>0</v>
      </c>
      <c r="AD464" s="3143"/>
      <c r="AE464" s="3143"/>
      <c r="AF464" s="3143"/>
      <c r="AG464" s="3143"/>
      <c r="AH464" s="3143"/>
      <c r="AI464" s="3143"/>
      <c r="AJ464" s="3143"/>
      <c r="AK464" s="3143"/>
      <c r="AL464" s="3143"/>
      <c r="AM464" s="3143"/>
      <c r="AN464" s="3143"/>
      <c r="AO464" s="3143"/>
      <c r="AP464" s="3143"/>
      <c r="AQ464" s="3143"/>
      <c r="AR464" s="3143"/>
      <c r="AS464" s="3143"/>
      <c r="AT464" s="3153"/>
      <c r="AU464" s="3154"/>
      <c r="AV464" s="270">
        <f t="shared" si="243"/>
        <v>0</v>
      </c>
      <c r="AW464" s="270">
        <f t="shared" si="244"/>
        <v>0</v>
      </c>
      <c r="AX464" s="270">
        <f t="shared" si="245"/>
        <v>0</v>
      </c>
      <c r="AY464" s="3168">
        <f t="shared" si="246"/>
        <v>0</v>
      </c>
      <c r="AZ464" s="3123">
        <f t="shared" si="247"/>
        <v>0</v>
      </c>
      <c r="BA464" s="3123">
        <f t="shared" si="248"/>
        <v>0</v>
      </c>
      <c r="BB464" s="3123">
        <f t="shared" si="249"/>
        <v>0</v>
      </c>
      <c r="BC464" s="3123">
        <f t="shared" si="250"/>
        <v>0</v>
      </c>
      <c r="BD464" s="3123">
        <f t="shared" si="251"/>
        <v>0</v>
      </c>
      <c r="BE464" s="3123">
        <f t="shared" si="252"/>
        <v>0</v>
      </c>
      <c r="BF464" s="3123">
        <f t="shared" si="253"/>
        <v>0</v>
      </c>
      <c r="BG464" s="3123">
        <f t="shared" si="254"/>
        <v>0</v>
      </c>
      <c r="BH464" s="3123">
        <f t="shared" si="255"/>
        <v>0</v>
      </c>
      <c r="BI464" s="3123">
        <f t="shared" si="256"/>
        <v>0</v>
      </c>
      <c r="BJ464" s="3123">
        <f t="shared" si="257"/>
        <v>0</v>
      </c>
      <c r="BK464" s="3123">
        <f t="shared" si="258"/>
        <v>0</v>
      </c>
      <c r="BL464" s="3123">
        <f t="shared" si="259"/>
        <v>0</v>
      </c>
      <c r="BM464" s="3123">
        <f t="shared" si="260"/>
        <v>0</v>
      </c>
      <c r="BN464" s="3123">
        <f t="shared" si="261"/>
        <v>0</v>
      </c>
      <c r="BO464" s="3123">
        <f t="shared" si="262"/>
        <v>0</v>
      </c>
      <c r="BP464" s="3123">
        <f t="shared" si="263"/>
        <v>0</v>
      </c>
      <c r="BQ464" s="3123">
        <f t="shared" si="264"/>
        <v>0</v>
      </c>
      <c r="BR464" s="3123">
        <f t="shared" si="265"/>
        <v>0</v>
      </c>
      <c r="BS464" s="3123">
        <f t="shared" si="266"/>
        <v>0</v>
      </c>
      <c r="BT464" s="3175">
        <f t="shared" si="267"/>
        <v>0</v>
      </c>
    </row>
    <row r="465" spans="1:72">
      <c r="A465" s="3120"/>
      <c r="B465" s="3121"/>
      <c r="C465" s="3121"/>
      <c r="D465" s="3122"/>
      <c r="E465" s="3123">
        <f t="shared" si="239"/>
        <v>0</v>
      </c>
      <c r="F465" s="3124"/>
      <c r="G465" s="3125">
        <f t="shared" si="240"/>
        <v>0</v>
      </c>
      <c r="H465" s="3126">
        <f t="shared" si="241"/>
        <v>0</v>
      </c>
      <c r="I465" s="3133"/>
      <c r="J465" s="3133"/>
      <c r="K465" s="3133"/>
      <c r="L465" s="3133"/>
      <c r="M465" s="3133"/>
      <c r="N465" s="3133"/>
      <c r="O465" s="3133"/>
      <c r="P465" s="3133"/>
      <c r="Q465" s="3133"/>
      <c r="R465" s="3133"/>
      <c r="S465" s="3133"/>
      <c r="T465" s="3133"/>
      <c r="U465" s="3133"/>
      <c r="V465" s="3133"/>
      <c r="W465" s="3133"/>
      <c r="X465" s="3133"/>
      <c r="Y465" s="3133"/>
      <c r="Z465" s="3133"/>
      <c r="AA465" s="3133"/>
      <c r="AB465" s="3133"/>
      <c r="AC465" s="3123">
        <f t="shared" si="242"/>
        <v>0</v>
      </c>
      <c r="AD465" s="3143"/>
      <c r="AE465" s="3143"/>
      <c r="AF465" s="3143"/>
      <c r="AG465" s="3143"/>
      <c r="AH465" s="3143"/>
      <c r="AI465" s="3143"/>
      <c r="AJ465" s="3143"/>
      <c r="AK465" s="3143"/>
      <c r="AL465" s="3143"/>
      <c r="AM465" s="3143"/>
      <c r="AN465" s="3143"/>
      <c r="AO465" s="3143"/>
      <c r="AP465" s="3143"/>
      <c r="AQ465" s="3143"/>
      <c r="AR465" s="3143"/>
      <c r="AS465" s="3143"/>
      <c r="AT465" s="3153"/>
      <c r="AU465" s="3154"/>
      <c r="AV465" s="270">
        <f t="shared" si="243"/>
        <v>0</v>
      </c>
      <c r="AW465" s="270">
        <f t="shared" si="244"/>
        <v>0</v>
      </c>
      <c r="AX465" s="270">
        <f t="shared" si="245"/>
        <v>0</v>
      </c>
      <c r="AY465" s="3168">
        <f t="shared" si="246"/>
        <v>0</v>
      </c>
      <c r="AZ465" s="3123">
        <f t="shared" si="247"/>
        <v>0</v>
      </c>
      <c r="BA465" s="3123">
        <f t="shared" si="248"/>
        <v>0</v>
      </c>
      <c r="BB465" s="3123">
        <f t="shared" si="249"/>
        <v>0</v>
      </c>
      <c r="BC465" s="3123">
        <f t="shared" si="250"/>
        <v>0</v>
      </c>
      <c r="BD465" s="3123">
        <f t="shared" si="251"/>
        <v>0</v>
      </c>
      <c r="BE465" s="3123">
        <f t="shared" si="252"/>
        <v>0</v>
      </c>
      <c r="BF465" s="3123">
        <f t="shared" si="253"/>
        <v>0</v>
      </c>
      <c r="BG465" s="3123">
        <f t="shared" si="254"/>
        <v>0</v>
      </c>
      <c r="BH465" s="3123">
        <f t="shared" si="255"/>
        <v>0</v>
      </c>
      <c r="BI465" s="3123">
        <f t="shared" si="256"/>
        <v>0</v>
      </c>
      <c r="BJ465" s="3123">
        <f t="shared" si="257"/>
        <v>0</v>
      </c>
      <c r="BK465" s="3123">
        <f t="shared" si="258"/>
        <v>0</v>
      </c>
      <c r="BL465" s="3123">
        <f t="shared" si="259"/>
        <v>0</v>
      </c>
      <c r="BM465" s="3123">
        <f t="shared" si="260"/>
        <v>0</v>
      </c>
      <c r="BN465" s="3123">
        <f t="shared" si="261"/>
        <v>0</v>
      </c>
      <c r="BO465" s="3123">
        <f t="shared" si="262"/>
        <v>0</v>
      </c>
      <c r="BP465" s="3123">
        <f t="shared" si="263"/>
        <v>0</v>
      </c>
      <c r="BQ465" s="3123">
        <f t="shared" si="264"/>
        <v>0</v>
      </c>
      <c r="BR465" s="3123">
        <f t="shared" si="265"/>
        <v>0</v>
      </c>
      <c r="BS465" s="3123">
        <f t="shared" si="266"/>
        <v>0</v>
      </c>
      <c r="BT465" s="3175">
        <f t="shared" si="267"/>
        <v>0</v>
      </c>
    </row>
    <row r="466" spans="1:72">
      <c r="A466" s="3120"/>
      <c r="B466" s="3121"/>
      <c r="C466" s="3121"/>
      <c r="D466" s="3122"/>
      <c r="E466" s="3123">
        <f t="shared" si="239"/>
        <v>0</v>
      </c>
      <c r="F466" s="3124"/>
      <c r="G466" s="3125">
        <f t="shared" si="240"/>
        <v>0</v>
      </c>
      <c r="H466" s="3126">
        <f t="shared" si="241"/>
        <v>0</v>
      </c>
      <c r="I466" s="3133"/>
      <c r="J466" s="3133"/>
      <c r="K466" s="3133"/>
      <c r="L466" s="3133"/>
      <c r="M466" s="3133"/>
      <c r="N466" s="3133"/>
      <c r="O466" s="3133"/>
      <c r="P466" s="3133"/>
      <c r="Q466" s="3133"/>
      <c r="R466" s="3133"/>
      <c r="S466" s="3133"/>
      <c r="T466" s="3133"/>
      <c r="U466" s="3133"/>
      <c r="V466" s="3133"/>
      <c r="W466" s="3133"/>
      <c r="X466" s="3133"/>
      <c r="Y466" s="3133"/>
      <c r="Z466" s="3133"/>
      <c r="AA466" s="3133"/>
      <c r="AB466" s="3133"/>
      <c r="AC466" s="3123">
        <f t="shared" si="242"/>
        <v>0</v>
      </c>
      <c r="AD466" s="3143"/>
      <c r="AE466" s="3143"/>
      <c r="AF466" s="3143"/>
      <c r="AG466" s="3143"/>
      <c r="AH466" s="3143"/>
      <c r="AI466" s="3143"/>
      <c r="AJ466" s="3143"/>
      <c r="AK466" s="3143"/>
      <c r="AL466" s="3143"/>
      <c r="AM466" s="3143"/>
      <c r="AN466" s="3143"/>
      <c r="AO466" s="3143"/>
      <c r="AP466" s="3143"/>
      <c r="AQ466" s="3143"/>
      <c r="AR466" s="3143"/>
      <c r="AS466" s="3143"/>
      <c r="AT466" s="3153"/>
      <c r="AU466" s="3154"/>
      <c r="AV466" s="270">
        <f t="shared" si="243"/>
        <v>0</v>
      </c>
      <c r="AW466" s="270">
        <f t="shared" si="244"/>
        <v>0</v>
      </c>
      <c r="AX466" s="270">
        <f t="shared" si="245"/>
        <v>0</v>
      </c>
      <c r="AY466" s="3168">
        <f t="shared" si="246"/>
        <v>0</v>
      </c>
      <c r="AZ466" s="3123">
        <f t="shared" si="247"/>
        <v>0</v>
      </c>
      <c r="BA466" s="3123">
        <f t="shared" si="248"/>
        <v>0</v>
      </c>
      <c r="BB466" s="3123">
        <f t="shared" si="249"/>
        <v>0</v>
      </c>
      <c r="BC466" s="3123">
        <f t="shared" si="250"/>
        <v>0</v>
      </c>
      <c r="BD466" s="3123">
        <f t="shared" si="251"/>
        <v>0</v>
      </c>
      <c r="BE466" s="3123">
        <f t="shared" si="252"/>
        <v>0</v>
      </c>
      <c r="BF466" s="3123">
        <f t="shared" si="253"/>
        <v>0</v>
      </c>
      <c r="BG466" s="3123">
        <f t="shared" si="254"/>
        <v>0</v>
      </c>
      <c r="BH466" s="3123">
        <f t="shared" si="255"/>
        <v>0</v>
      </c>
      <c r="BI466" s="3123">
        <f t="shared" si="256"/>
        <v>0</v>
      </c>
      <c r="BJ466" s="3123">
        <f t="shared" si="257"/>
        <v>0</v>
      </c>
      <c r="BK466" s="3123">
        <f t="shared" si="258"/>
        <v>0</v>
      </c>
      <c r="BL466" s="3123">
        <f t="shared" si="259"/>
        <v>0</v>
      </c>
      <c r="BM466" s="3123">
        <f t="shared" si="260"/>
        <v>0</v>
      </c>
      <c r="BN466" s="3123">
        <f t="shared" si="261"/>
        <v>0</v>
      </c>
      <c r="BO466" s="3123">
        <f t="shared" si="262"/>
        <v>0</v>
      </c>
      <c r="BP466" s="3123">
        <f t="shared" si="263"/>
        <v>0</v>
      </c>
      <c r="BQ466" s="3123">
        <f t="shared" si="264"/>
        <v>0</v>
      </c>
      <c r="BR466" s="3123">
        <f t="shared" si="265"/>
        <v>0</v>
      </c>
      <c r="BS466" s="3123">
        <f t="shared" si="266"/>
        <v>0</v>
      </c>
      <c r="BT466" s="3175">
        <f t="shared" si="267"/>
        <v>0</v>
      </c>
    </row>
    <row r="467" spans="1:72">
      <c r="A467" s="3120"/>
      <c r="B467" s="3121"/>
      <c r="C467" s="3121"/>
      <c r="D467" s="3122"/>
      <c r="E467" s="3123">
        <f t="shared" si="239"/>
        <v>0</v>
      </c>
      <c r="F467" s="3124"/>
      <c r="G467" s="3125">
        <f t="shared" si="240"/>
        <v>0</v>
      </c>
      <c r="H467" s="3126">
        <f t="shared" si="241"/>
        <v>0</v>
      </c>
      <c r="I467" s="3133"/>
      <c r="J467" s="3133"/>
      <c r="K467" s="3133"/>
      <c r="L467" s="3133"/>
      <c r="M467" s="3133"/>
      <c r="N467" s="3133"/>
      <c r="O467" s="3133"/>
      <c r="P467" s="3133"/>
      <c r="Q467" s="3133"/>
      <c r="R467" s="3133"/>
      <c r="S467" s="3133"/>
      <c r="T467" s="3133"/>
      <c r="U467" s="3133"/>
      <c r="V467" s="3133"/>
      <c r="W467" s="3133"/>
      <c r="X467" s="3133"/>
      <c r="Y467" s="3133"/>
      <c r="Z467" s="3133"/>
      <c r="AA467" s="3133"/>
      <c r="AB467" s="3133"/>
      <c r="AC467" s="3123">
        <f t="shared" si="242"/>
        <v>0</v>
      </c>
      <c r="AD467" s="3143"/>
      <c r="AE467" s="3143"/>
      <c r="AF467" s="3143"/>
      <c r="AG467" s="3143"/>
      <c r="AH467" s="3143"/>
      <c r="AI467" s="3143"/>
      <c r="AJ467" s="3143"/>
      <c r="AK467" s="3143"/>
      <c r="AL467" s="3143"/>
      <c r="AM467" s="3143"/>
      <c r="AN467" s="3143"/>
      <c r="AO467" s="3143"/>
      <c r="AP467" s="3143"/>
      <c r="AQ467" s="3143"/>
      <c r="AR467" s="3143"/>
      <c r="AS467" s="3143"/>
      <c r="AT467" s="3153"/>
      <c r="AU467" s="3154"/>
      <c r="AV467" s="270">
        <f t="shared" si="243"/>
        <v>0</v>
      </c>
      <c r="AW467" s="270">
        <f t="shared" si="244"/>
        <v>0</v>
      </c>
      <c r="AX467" s="270">
        <f t="shared" si="245"/>
        <v>0</v>
      </c>
      <c r="AY467" s="3168">
        <f t="shared" si="246"/>
        <v>0</v>
      </c>
      <c r="AZ467" s="3123">
        <f t="shared" si="247"/>
        <v>0</v>
      </c>
      <c r="BA467" s="3123">
        <f t="shared" si="248"/>
        <v>0</v>
      </c>
      <c r="BB467" s="3123">
        <f t="shared" si="249"/>
        <v>0</v>
      </c>
      <c r="BC467" s="3123">
        <f t="shared" si="250"/>
        <v>0</v>
      </c>
      <c r="BD467" s="3123">
        <f t="shared" si="251"/>
        <v>0</v>
      </c>
      <c r="BE467" s="3123">
        <f t="shared" si="252"/>
        <v>0</v>
      </c>
      <c r="BF467" s="3123">
        <f t="shared" si="253"/>
        <v>0</v>
      </c>
      <c r="BG467" s="3123">
        <f t="shared" si="254"/>
        <v>0</v>
      </c>
      <c r="BH467" s="3123">
        <f t="shared" si="255"/>
        <v>0</v>
      </c>
      <c r="BI467" s="3123">
        <f t="shared" si="256"/>
        <v>0</v>
      </c>
      <c r="BJ467" s="3123">
        <f t="shared" si="257"/>
        <v>0</v>
      </c>
      <c r="BK467" s="3123">
        <f t="shared" si="258"/>
        <v>0</v>
      </c>
      <c r="BL467" s="3123">
        <f t="shared" si="259"/>
        <v>0</v>
      </c>
      <c r="BM467" s="3123">
        <f t="shared" si="260"/>
        <v>0</v>
      </c>
      <c r="BN467" s="3123">
        <f t="shared" si="261"/>
        <v>0</v>
      </c>
      <c r="BO467" s="3123">
        <f t="shared" si="262"/>
        <v>0</v>
      </c>
      <c r="BP467" s="3123">
        <f t="shared" si="263"/>
        <v>0</v>
      </c>
      <c r="BQ467" s="3123">
        <f t="shared" si="264"/>
        <v>0</v>
      </c>
      <c r="BR467" s="3123">
        <f t="shared" si="265"/>
        <v>0</v>
      </c>
      <c r="BS467" s="3123">
        <f t="shared" si="266"/>
        <v>0</v>
      </c>
      <c r="BT467" s="3175">
        <f t="shared" si="267"/>
        <v>0</v>
      </c>
    </row>
    <row r="468" spans="1:72">
      <c r="A468" s="3120"/>
      <c r="B468" s="3121"/>
      <c r="C468" s="3121"/>
      <c r="D468" s="3122"/>
      <c r="E468" s="3123">
        <f t="shared" si="239"/>
        <v>0</v>
      </c>
      <c r="F468" s="3124"/>
      <c r="G468" s="3125">
        <f t="shared" si="240"/>
        <v>0</v>
      </c>
      <c r="H468" s="3126">
        <f t="shared" si="241"/>
        <v>0</v>
      </c>
      <c r="I468" s="3133"/>
      <c r="J468" s="3133"/>
      <c r="K468" s="3133"/>
      <c r="L468" s="3133"/>
      <c r="M468" s="3133"/>
      <c r="N468" s="3133"/>
      <c r="O468" s="3133"/>
      <c r="P468" s="3133"/>
      <c r="Q468" s="3133"/>
      <c r="R468" s="3133"/>
      <c r="S468" s="3133"/>
      <c r="T468" s="3133"/>
      <c r="U468" s="3133"/>
      <c r="V468" s="3133"/>
      <c r="W468" s="3133"/>
      <c r="X468" s="3133"/>
      <c r="Y468" s="3133"/>
      <c r="Z468" s="3133"/>
      <c r="AA468" s="3133"/>
      <c r="AB468" s="3133"/>
      <c r="AC468" s="3123">
        <f t="shared" si="242"/>
        <v>0</v>
      </c>
      <c r="AD468" s="3143"/>
      <c r="AE468" s="3143"/>
      <c r="AF468" s="3143"/>
      <c r="AG468" s="3143"/>
      <c r="AH468" s="3143"/>
      <c r="AI468" s="3143"/>
      <c r="AJ468" s="3143"/>
      <c r="AK468" s="3143"/>
      <c r="AL468" s="3143"/>
      <c r="AM468" s="3143"/>
      <c r="AN468" s="3143"/>
      <c r="AO468" s="3143"/>
      <c r="AP468" s="3143"/>
      <c r="AQ468" s="3143"/>
      <c r="AR468" s="3143"/>
      <c r="AS468" s="3143"/>
      <c r="AT468" s="3153"/>
      <c r="AU468" s="3154"/>
      <c r="AV468" s="270">
        <f t="shared" si="243"/>
        <v>0</v>
      </c>
      <c r="AW468" s="270">
        <f t="shared" si="244"/>
        <v>0</v>
      </c>
      <c r="AX468" s="270">
        <f t="shared" si="245"/>
        <v>0</v>
      </c>
      <c r="AY468" s="3168">
        <f t="shared" si="246"/>
        <v>0</v>
      </c>
      <c r="AZ468" s="3123">
        <f t="shared" si="247"/>
        <v>0</v>
      </c>
      <c r="BA468" s="3123">
        <f t="shared" si="248"/>
        <v>0</v>
      </c>
      <c r="BB468" s="3123">
        <f t="shared" si="249"/>
        <v>0</v>
      </c>
      <c r="BC468" s="3123">
        <f t="shared" si="250"/>
        <v>0</v>
      </c>
      <c r="BD468" s="3123">
        <f t="shared" si="251"/>
        <v>0</v>
      </c>
      <c r="BE468" s="3123">
        <f t="shared" si="252"/>
        <v>0</v>
      </c>
      <c r="BF468" s="3123">
        <f t="shared" si="253"/>
        <v>0</v>
      </c>
      <c r="BG468" s="3123">
        <f t="shared" si="254"/>
        <v>0</v>
      </c>
      <c r="BH468" s="3123">
        <f t="shared" si="255"/>
        <v>0</v>
      </c>
      <c r="BI468" s="3123">
        <f t="shared" si="256"/>
        <v>0</v>
      </c>
      <c r="BJ468" s="3123">
        <f t="shared" si="257"/>
        <v>0</v>
      </c>
      <c r="BK468" s="3123">
        <f t="shared" si="258"/>
        <v>0</v>
      </c>
      <c r="BL468" s="3123">
        <f t="shared" si="259"/>
        <v>0</v>
      </c>
      <c r="BM468" s="3123">
        <f t="shared" si="260"/>
        <v>0</v>
      </c>
      <c r="BN468" s="3123">
        <f t="shared" si="261"/>
        <v>0</v>
      </c>
      <c r="BO468" s="3123">
        <f t="shared" si="262"/>
        <v>0</v>
      </c>
      <c r="BP468" s="3123">
        <f t="shared" si="263"/>
        <v>0</v>
      </c>
      <c r="BQ468" s="3123">
        <f t="shared" si="264"/>
        <v>0</v>
      </c>
      <c r="BR468" s="3123">
        <f t="shared" si="265"/>
        <v>0</v>
      </c>
      <c r="BS468" s="3123">
        <f t="shared" si="266"/>
        <v>0</v>
      </c>
      <c r="BT468" s="3175">
        <f t="shared" si="267"/>
        <v>0</v>
      </c>
    </row>
    <row r="469" spans="1:72">
      <c r="A469" s="3120"/>
      <c r="B469" s="3121"/>
      <c r="C469" s="3121"/>
      <c r="D469" s="3122"/>
      <c r="E469" s="3123">
        <f t="shared" si="239"/>
        <v>0</v>
      </c>
      <c r="F469" s="3124"/>
      <c r="G469" s="3125">
        <f t="shared" si="240"/>
        <v>0</v>
      </c>
      <c r="H469" s="3126">
        <f t="shared" si="241"/>
        <v>0</v>
      </c>
      <c r="I469" s="3133"/>
      <c r="J469" s="3133"/>
      <c r="K469" s="3133"/>
      <c r="L469" s="3133"/>
      <c r="M469" s="3133"/>
      <c r="N469" s="3133"/>
      <c r="O469" s="3133"/>
      <c r="P469" s="3133"/>
      <c r="Q469" s="3133"/>
      <c r="R469" s="3133"/>
      <c r="S469" s="3133"/>
      <c r="T469" s="3133"/>
      <c r="U469" s="3133"/>
      <c r="V469" s="3133"/>
      <c r="W469" s="3133"/>
      <c r="X469" s="3133"/>
      <c r="Y469" s="3133"/>
      <c r="Z469" s="3133"/>
      <c r="AA469" s="3133"/>
      <c r="AB469" s="3133"/>
      <c r="AC469" s="3123">
        <f t="shared" si="242"/>
        <v>0</v>
      </c>
      <c r="AD469" s="3143"/>
      <c r="AE469" s="3143"/>
      <c r="AF469" s="3143"/>
      <c r="AG469" s="3143"/>
      <c r="AH469" s="3143"/>
      <c r="AI469" s="3143"/>
      <c r="AJ469" s="3143"/>
      <c r="AK469" s="3143"/>
      <c r="AL469" s="3143"/>
      <c r="AM469" s="3143"/>
      <c r="AN469" s="3143"/>
      <c r="AO469" s="3143"/>
      <c r="AP469" s="3143"/>
      <c r="AQ469" s="3143"/>
      <c r="AR469" s="3143"/>
      <c r="AS469" s="3143"/>
      <c r="AT469" s="3153"/>
      <c r="AU469" s="3154"/>
      <c r="AV469" s="270">
        <f t="shared" si="243"/>
        <v>0</v>
      </c>
      <c r="AW469" s="270">
        <f t="shared" si="244"/>
        <v>0</v>
      </c>
      <c r="AX469" s="270">
        <f t="shared" si="245"/>
        <v>0</v>
      </c>
      <c r="AY469" s="3168">
        <f t="shared" si="246"/>
        <v>0</v>
      </c>
      <c r="AZ469" s="3123">
        <f t="shared" si="247"/>
        <v>0</v>
      </c>
      <c r="BA469" s="3123">
        <f t="shared" si="248"/>
        <v>0</v>
      </c>
      <c r="BB469" s="3123">
        <f t="shared" si="249"/>
        <v>0</v>
      </c>
      <c r="BC469" s="3123">
        <f t="shared" si="250"/>
        <v>0</v>
      </c>
      <c r="BD469" s="3123">
        <f t="shared" si="251"/>
        <v>0</v>
      </c>
      <c r="BE469" s="3123">
        <f t="shared" si="252"/>
        <v>0</v>
      </c>
      <c r="BF469" s="3123">
        <f t="shared" si="253"/>
        <v>0</v>
      </c>
      <c r="BG469" s="3123">
        <f t="shared" si="254"/>
        <v>0</v>
      </c>
      <c r="BH469" s="3123">
        <f t="shared" si="255"/>
        <v>0</v>
      </c>
      <c r="BI469" s="3123">
        <f t="shared" si="256"/>
        <v>0</v>
      </c>
      <c r="BJ469" s="3123">
        <f t="shared" si="257"/>
        <v>0</v>
      </c>
      <c r="BK469" s="3123">
        <f t="shared" si="258"/>
        <v>0</v>
      </c>
      <c r="BL469" s="3123">
        <f t="shared" si="259"/>
        <v>0</v>
      </c>
      <c r="BM469" s="3123">
        <f t="shared" si="260"/>
        <v>0</v>
      </c>
      <c r="BN469" s="3123">
        <f t="shared" si="261"/>
        <v>0</v>
      </c>
      <c r="BO469" s="3123">
        <f t="shared" si="262"/>
        <v>0</v>
      </c>
      <c r="BP469" s="3123">
        <f t="shared" si="263"/>
        <v>0</v>
      </c>
      <c r="BQ469" s="3123">
        <f t="shared" si="264"/>
        <v>0</v>
      </c>
      <c r="BR469" s="3123">
        <f t="shared" si="265"/>
        <v>0</v>
      </c>
      <c r="BS469" s="3123">
        <f t="shared" si="266"/>
        <v>0</v>
      </c>
      <c r="BT469" s="3175">
        <f t="shared" si="267"/>
        <v>0</v>
      </c>
    </row>
    <row r="470" spans="1:72">
      <c r="A470" s="3120"/>
      <c r="B470" s="3121"/>
      <c r="C470" s="3121"/>
      <c r="D470" s="3122"/>
      <c r="E470" s="3123">
        <f t="shared" si="239"/>
        <v>0</v>
      </c>
      <c r="F470" s="3124"/>
      <c r="G470" s="3125">
        <f t="shared" si="240"/>
        <v>0</v>
      </c>
      <c r="H470" s="3126">
        <f t="shared" si="241"/>
        <v>0</v>
      </c>
      <c r="I470" s="3133"/>
      <c r="J470" s="3133"/>
      <c r="K470" s="3133"/>
      <c r="L470" s="3133"/>
      <c r="M470" s="3133"/>
      <c r="N470" s="3133"/>
      <c r="O470" s="3133"/>
      <c r="P470" s="3133"/>
      <c r="Q470" s="3133"/>
      <c r="R470" s="3133"/>
      <c r="S470" s="3133"/>
      <c r="T470" s="3133"/>
      <c r="U470" s="3133"/>
      <c r="V470" s="3133"/>
      <c r="W470" s="3133"/>
      <c r="X470" s="3133"/>
      <c r="Y470" s="3133"/>
      <c r="Z470" s="3133"/>
      <c r="AA470" s="3133"/>
      <c r="AB470" s="3133"/>
      <c r="AC470" s="3123">
        <f t="shared" si="242"/>
        <v>0</v>
      </c>
      <c r="AD470" s="3143"/>
      <c r="AE470" s="3143"/>
      <c r="AF470" s="3143"/>
      <c r="AG470" s="3143"/>
      <c r="AH470" s="3143"/>
      <c r="AI470" s="3143"/>
      <c r="AJ470" s="3143"/>
      <c r="AK470" s="3143"/>
      <c r="AL470" s="3143"/>
      <c r="AM470" s="3143"/>
      <c r="AN470" s="3143"/>
      <c r="AO470" s="3143"/>
      <c r="AP470" s="3143"/>
      <c r="AQ470" s="3143"/>
      <c r="AR470" s="3143"/>
      <c r="AS470" s="3143"/>
      <c r="AT470" s="3153"/>
      <c r="AU470" s="3154"/>
      <c r="AV470" s="270">
        <f t="shared" si="243"/>
        <v>0</v>
      </c>
      <c r="AW470" s="270">
        <f t="shared" si="244"/>
        <v>0</v>
      </c>
      <c r="AX470" s="270">
        <f t="shared" si="245"/>
        <v>0</v>
      </c>
      <c r="AY470" s="3168">
        <f t="shared" si="246"/>
        <v>0</v>
      </c>
      <c r="AZ470" s="3123">
        <f t="shared" si="247"/>
        <v>0</v>
      </c>
      <c r="BA470" s="3123">
        <f t="shared" si="248"/>
        <v>0</v>
      </c>
      <c r="BB470" s="3123">
        <f t="shared" si="249"/>
        <v>0</v>
      </c>
      <c r="BC470" s="3123">
        <f t="shared" si="250"/>
        <v>0</v>
      </c>
      <c r="BD470" s="3123">
        <f t="shared" si="251"/>
        <v>0</v>
      </c>
      <c r="BE470" s="3123">
        <f t="shared" si="252"/>
        <v>0</v>
      </c>
      <c r="BF470" s="3123">
        <f t="shared" si="253"/>
        <v>0</v>
      </c>
      <c r="BG470" s="3123">
        <f t="shared" si="254"/>
        <v>0</v>
      </c>
      <c r="BH470" s="3123">
        <f t="shared" si="255"/>
        <v>0</v>
      </c>
      <c r="BI470" s="3123">
        <f t="shared" si="256"/>
        <v>0</v>
      </c>
      <c r="BJ470" s="3123">
        <f t="shared" si="257"/>
        <v>0</v>
      </c>
      <c r="BK470" s="3123">
        <f t="shared" si="258"/>
        <v>0</v>
      </c>
      <c r="BL470" s="3123">
        <f t="shared" si="259"/>
        <v>0</v>
      </c>
      <c r="BM470" s="3123">
        <f t="shared" si="260"/>
        <v>0</v>
      </c>
      <c r="BN470" s="3123">
        <f t="shared" si="261"/>
        <v>0</v>
      </c>
      <c r="BO470" s="3123">
        <f t="shared" si="262"/>
        <v>0</v>
      </c>
      <c r="BP470" s="3123">
        <f t="shared" si="263"/>
        <v>0</v>
      </c>
      <c r="BQ470" s="3123">
        <f t="shared" si="264"/>
        <v>0</v>
      </c>
      <c r="BR470" s="3123">
        <f t="shared" si="265"/>
        <v>0</v>
      </c>
      <c r="BS470" s="3123">
        <f t="shared" si="266"/>
        <v>0</v>
      </c>
      <c r="BT470" s="3175">
        <f t="shared" si="267"/>
        <v>0</v>
      </c>
    </row>
    <row r="471" spans="1:72">
      <c r="A471" s="3120"/>
      <c r="B471" s="3121"/>
      <c r="C471" s="3121"/>
      <c r="D471" s="3122"/>
      <c r="E471" s="3123">
        <f t="shared" si="239"/>
        <v>0</v>
      </c>
      <c r="F471" s="3124"/>
      <c r="G471" s="3125">
        <f t="shared" si="240"/>
        <v>0</v>
      </c>
      <c r="H471" s="3126">
        <f t="shared" si="241"/>
        <v>0</v>
      </c>
      <c r="I471" s="3133"/>
      <c r="J471" s="3133"/>
      <c r="K471" s="3133"/>
      <c r="L471" s="3133"/>
      <c r="M471" s="3133"/>
      <c r="N471" s="3133"/>
      <c r="O471" s="3133"/>
      <c r="P471" s="3133"/>
      <c r="Q471" s="3133"/>
      <c r="R471" s="3133"/>
      <c r="S471" s="3133"/>
      <c r="T471" s="3133"/>
      <c r="U471" s="3133"/>
      <c r="V471" s="3133"/>
      <c r="W471" s="3133"/>
      <c r="X471" s="3133"/>
      <c r="Y471" s="3133"/>
      <c r="Z471" s="3133"/>
      <c r="AA471" s="3133"/>
      <c r="AB471" s="3133"/>
      <c r="AC471" s="3123">
        <f t="shared" si="242"/>
        <v>0</v>
      </c>
      <c r="AD471" s="3143"/>
      <c r="AE471" s="3143"/>
      <c r="AF471" s="3143"/>
      <c r="AG471" s="3143"/>
      <c r="AH471" s="3143"/>
      <c r="AI471" s="3143"/>
      <c r="AJ471" s="3143"/>
      <c r="AK471" s="3143"/>
      <c r="AL471" s="3143"/>
      <c r="AM471" s="3143"/>
      <c r="AN471" s="3143"/>
      <c r="AO471" s="3143"/>
      <c r="AP471" s="3143"/>
      <c r="AQ471" s="3143"/>
      <c r="AR471" s="3143"/>
      <c r="AS471" s="3143"/>
      <c r="AT471" s="3153"/>
      <c r="AU471" s="3154"/>
      <c r="AV471" s="270">
        <f t="shared" si="243"/>
        <v>0</v>
      </c>
      <c r="AW471" s="270">
        <f t="shared" si="244"/>
        <v>0</v>
      </c>
      <c r="AX471" s="270">
        <f t="shared" si="245"/>
        <v>0</v>
      </c>
      <c r="AY471" s="3168">
        <f t="shared" si="246"/>
        <v>0</v>
      </c>
      <c r="AZ471" s="3123">
        <f t="shared" si="247"/>
        <v>0</v>
      </c>
      <c r="BA471" s="3123">
        <f t="shared" si="248"/>
        <v>0</v>
      </c>
      <c r="BB471" s="3123">
        <f t="shared" si="249"/>
        <v>0</v>
      </c>
      <c r="BC471" s="3123">
        <f t="shared" si="250"/>
        <v>0</v>
      </c>
      <c r="BD471" s="3123">
        <f t="shared" si="251"/>
        <v>0</v>
      </c>
      <c r="BE471" s="3123">
        <f t="shared" si="252"/>
        <v>0</v>
      </c>
      <c r="BF471" s="3123">
        <f t="shared" si="253"/>
        <v>0</v>
      </c>
      <c r="BG471" s="3123">
        <f t="shared" si="254"/>
        <v>0</v>
      </c>
      <c r="BH471" s="3123">
        <f t="shared" si="255"/>
        <v>0</v>
      </c>
      <c r="BI471" s="3123">
        <f t="shared" si="256"/>
        <v>0</v>
      </c>
      <c r="BJ471" s="3123">
        <f t="shared" si="257"/>
        <v>0</v>
      </c>
      <c r="BK471" s="3123">
        <f t="shared" si="258"/>
        <v>0</v>
      </c>
      <c r="BL471" s="3123">
        <f t="shared" si="259"/>
        <v>0</v>
      </c>
      <c r="BM471" s="3123">
        <f t="shared" si="260"/>
        <v>0</v>
      </c>
      <c r="BN471" s="3123">
        <f t="shared" si="261"/>
        <v>0</v>
      </c>
      <c r="BO471" s="3123">
        <f t="shared" si="262"/>
        <v>0</v>
      </c>
      <c r="BP471" s="3123">
        <f t="shared" si="263"/>
        <v>0</v>
      </c>
      <c r="BQ471" s="3123">
        <f t="shared" si="264"/>
        <v>0</v>
      </c>
      <c r="BR471" s="3123">
        <f t="shared" si="265"/>
        <v>0</v>
      </c>
      <c r="BS471" s="3123">
        <f t="shared" si="266"/>
        <v>0</v>
      </c>
      <c r="BT471" s="3175">
        <f t="shared" si="267"/>
        <v>0</v>
      </c>
    </row>
    <row r="472" spans="1:72">
      <c r="A472" s="3120"/>
      <c r="B472" s="3121"/>
      <c r="C472" s="3121"/>
      <c r="D472" s="3122"/>
      <c r="E472" s="3123">
        <f t="shared" si="239"/>
        <v>0</v>
      </c>
      <c r="F472" s="3124"/>
      <c r="G472" s="3125">
        <f t="shared" si="240"/>
        <v>0</v>
      </c>
      <c r="H472" s="3126">
        <f t="shared" si="241"/>
        <v>0</v>
      </c>
      <c r="I472" s="3133"/>
      <c r="J472" s="3133"/>
      <c r="K472" s="3133"/>
      <c r="L472" s="3133"/>
      <c r="M472" s="3133"/>
      <c r="N472" s="3133"/>
      <c r="O472" s="3133"/>
      <c r="P472" s="3133"/>
      <c r="Q472" s="3133"/>
      <c r="R472" s="3133"/>
      <c r="S472" s="3133"/>
      <c r="T472" s="3133"/>
      <c r="U472" s="3133"/>
      <c r="V472" s="3133"/>
      <c r="W472" s="3133"/>
      <c r="X472" s="3133"/>
      <c r="Y472" s="3133"/>
      <c r="Z472" s="3133"/>
      <c r="AA472" s="3133"/>
      <c r="AB472" s="3133"/>
      <c r="AC472" s="3123">
        <f t="shared" si="242"/>
        <v>0</v>
      </c>
      <c r="AD472" s="3143"/>
      <c r="AE472" s="3143"/>
      <c r="AF472" s="3143"/>
      <c r="AG472" s="3143"/>
      <c r="AH472" s="3143"/>
      <c r="AI472" s="3143"/>
      <c r="AJ472" s="3143"/>
      <c r="AK472" s="3143"/>
      <c r="AL472" s="3143"/>
      <c r="AM472" s="3143"/>
      <c r="AN472" s="3143"/>
      <c r="AO472" s="3143"/>
      <c r="AP472" s="3143"/>
      <c r="AQ472" s="3143"/>
      <c r="AR472" s="3143"/>
      <c r="AS472" s="3143"/>
      <c r="AT472" s="3153"/>
      <c r="AU472" s="3154"/>
      <c r="AV472" s="270">
        <f t="shared" si="243"/>
        <v>0</v>
      </c>
      <c r="AW472" s="270">
        <f t="shared" si="244"/>
        <v>0</v>
      </c>
      <c r="AX472" s="270">
        <f t="shared" si="245"/>
        <v>0</v>
      </c>
      <c r="AY472" s="3168">
        <f t="shared" si="246"/>
        <v>0</v>
      </c>
      <c r="AZ472" s="3123">
        <f t="shared" si="247"/>
        <v>0</v>
      </c>
      <c r="BA472" s="3123">
        <f t="shared" si="248"/>
        <v>0</v>
      </c>
      <c r="BB472" s="3123">
        <f t="shared" si="249"/>
        <v>0</v>
      </c>
      <c r="BC472" s="3123">
        <f t="shared" si="250"/>
        <v>0</v>
      </c>
      <c r="BD472" s="3123">
        <f t="shared" si="251"/>
        <v>0</v>
      </c>
      <c r="BE472" s="3123">
        <f t="shared" si="252"/>
        <v>0</v>
      </c>
      <c r="BF472" s="3123">
        <f t="shared" si="253"/>
        <v>0</v>
      </c>
      <c r="BG472" s="3123">
        <f t="shared" si="254"/>
        <v>0</v>
      </c>
      <c r="BH472" s="3123">
        <f t="shared" si="255"/>
        <v>0</v>
      </c>
      <c r="BI472" s="3123">
        <f t="shared" si="256"/>
        <v>0</v>
      </c>
      <c r="BJ472" s="3123">
        <f t="shared" si="257"/>
        <v>0</v>
      </c>
      <c r="BK472" s="3123">
        <f t="shared" si="258"/>
        <v>0</v>
      </c>
      <c r="BL472" s="3123">
        <f t="shared" si="259"/>
        <v>0</v>
      </c>
      <c r="BM472" s="3123">
        <f t="shared" si="260"/>
        <v>0</v>
      </c>
      <c r="BN472" s="3123">
        <f t="shared" si="261"/>
        <v>0</v>
      </c>
      <c r="BO472" s="3123">
        <f t="shared" si="262"/>
        <v>0</v>
      </c>
      <c r="BP472" s="3123">
        <f t="shared" si="263"/>
        <v>0</v>
      </c>
      <c r="BQ472" s="3123">
        <f t="shared" si="264"/>
        <v>0</v>
      </c>
      <c r="BR472" s="3123">
        <f t="shared" si="265"/>
        <v>0</v>
      </c>
      <c r="BS472" s="3123">
        <f t="shared" si="266"/>
        <v>0</v>
      </c>
      <c r="BT472" s="3175">
        <f t="shared" si="267"/>
        <v>0</v>
      </c>
    </row>
    <row r="473" spans="1:72">
      <c r="A473" s="3120"/>
      <c r="B473" s="3121"/>
      <c r="C473" s="3121"/>
      <c r="D473" s="3122"/>
      <c r="E473" s="3123">
        <f t="shared" si="239"/>
        <v>0</v>
      </c>
      <c r="F473" s="3124"/>
      <c r="G473" s="3125">
        <f t="shared" si="240"/>
        <v>0</v>
      </c>
      <c r="H473" s="3126">
        <f t="shared" si="241"/>
        <v>0</v>
      </c>
      <c r="I473" s="3133"/>
      <c r="J473" s="3133"/>
      <c r="K473" s="3133"/>
      <c r="L473" s="3133"/>
      <c r="M473" s="3133"/>
      <c r="N473" s="3133"/>
      <c r="O473" s="3133"/>
      <c r="P473" s="3133"/>
      <c r="Q473" s="3133"/>
      <c r="R473" s="3133"/>
      <c r="S473" s="3133"/>
      <c r="T473" s="3133"/>
      <c r="U473" s="3133"/>
      <c r="V473" s="3133"/>
      <c r="W473" s="3133"/>
      <c r="X473" s="3133"/>
      <c r="Y473" s="3133"/>
      <c r="Z473" s="3133"/>
      <c r="AA473" s="3133"/>
      <c r="AB473" s="3133"/>
      <c r="AC473" s="3123">
        <f t="shared" si="242"/>
        <v>0</v>
      </c>
      <c r="AD473" s="3143"/>
      <c r="AE473" s="3143"/>
      <c r="AF473" s="3143"/>
      <c r="AG473" s="3143"/>
      <c r="AH473" s="3143"/>
      <c r="AI473" s="3143"/>
      <c r="AJ473" s="3143"/>
      <c r="AK473" s="3143"/>
      <c r="AL473" s="3143"/>
      <c r="AM473" s="3143"/>
      <c r="AN473" s="3143"/>
      <c r="AO473" s="3143"/>
      <c r="AP473" s="3143"/>
      <c r="AQ473" s="3143"/>
      <c r="AR473" s="3143"/>
      <c r="AS473" s="3143"/>
      <c r="AT473" s="3153"/>
      <c r="AU473" s="3154"/>
      <c r="AV473" s="270">
        <f t="shared" si="243"/>
        <v>0</v>
      </c>
      <c r="AW473" s="270">
        <f t="shared" si="244"/>
        <v>0</v>
      </c>
      <c r="AX473" s="270">
        <f t="shared" si="245"/>
        <v>0</v>
      </c>
      <c r="AY473" s="3168">
        <f t="shared" si="246"/>
        <v>0</v>
      </c>
      <c r="AZ473" s="3123">
        <f t="shared" si="247"/>
        <v>0</v>
      </c>
      <c r="BA473" s="3123">
        <f t="shared" si="248"/>
        <v>0</v>
      </c>
      <c r="BB473" s="3123">
        <f t="shared" si="249"/>
        <v>0</v>
      </c>
      <c r="BC473" s="3123">
        <f t="shared" si="250"/>
        <v>0</v>
      </c>
      <c r="BD473" s="3123">
        <f t="shared" si="251"/>
        <v>0</v>
      </c>
      <c r="BE473" s="3123">
        <f t="shared" si="252"/>
        <v>0</v>
      </c>
      <c r="BF473" s="3123">
        <f t="shared" si="253"/>
        <v>0</v>
      </c>
      <c r="BG473" s="3123">
        <f t="shared" si="254"/>
        <v>0</v>
      </c>
      <c r="BH473" s="3123">
        <f t="shared" si="255"/>
        <v>0</v>
      </c>
      <c r="BI473" s="3123">
        <f t="shared" si="256"/>
        <v>0</v>
      </c>
      <c r="BJ473" s="3123">
        <f t="shared" si="257"/>
        <v>0</v>
      </c>
      <c r="BK473" s="3123">
        <f t="shared" si="258"/>
        <v>0</v>
      </c>
      <c r="BL473" s="3123">
        <f t="shared" si="259"/>
        <v>0</v>
      </c>
      <c r="BM473" s="3123">
        <f t="shared" si="260"/>
        <v>0</v>
      </c>
      <c r="BN473" s="3123">
        <f t="shared" si="261"/>
        <v>0</v>
      </c>
      <c r="BO473" s="3123">
        <f t="shared" si="262"/>
        <v>0</v>
      </c>
      <c r="BP473" s="3123">
        <f t="shared" si="263"/>
        <v>0</v>
      </c>
      <c r="BQ473" s="3123">
        <f t="shared" si="264"/>
        <v>0</v>
      </c>
      <c r="BR473" s="3123">
        <f t="shared" si="265"/>
        <v>0</v>
      </c>
      <c r="BS473" s="3123">
        <f t="shared" si="266"/>
        <v>0</v>
      </c>
      <c r="BT473" s="3175">
        <f t="shared" si="267"/>
        <v>0</v>
      </c>
    </row>
    <row r="474" spans="1:72">
      <c r="A474" s="3120"/>
      <c r="B474" s="3121"/>
      <c r="C474" s="3121"/>
      <c r="D474" s="3122"/>
      <c r="E474" s="3123">
        <f t="shared" si="239"/>
        <v>0</v>
      </c>
      <c r="F474" s="3124"/>
      <c r="G474" s="3125">
        <f t="shared" si="240"/>
        <v>0</v>
      </c>
      <c r="H474" s="3126">
        <f t="shared" si="241"/>
        <v>0</v>
      </c>
      <c r="I474" s="3133"/>
      <c r="J474" s="3133"/>
      <c r="K474" s="3133"/>
      <c r="L474" s="3133"/>
      <c r="M474" s="3133"/>
      <c r="N474" s="3133"/>
      <c r="O474" s="3133"/>
      <c r="P474" s="3133"/>
      <c r="Q474" s="3133"/>
      <c r="R474" s="3133"/>
      <c r="S474" s="3133"/>
      <c r="T474" s="3133"/>
      <c r="U474" s="3133"/>
      <c r="V474" s="3133"/>
      <c r="W474" s="3133"/>
      <c r="X474" s="3133"/>
      <c r="Y474" s="3133"/>
      <c r="Z474" s="3133"/>
      <c r="AA474" s="3133"/>
      <c r="AB474" s="3133"/>
      <c r="AC474" s="3123">
        <f t="shared" si="242"/>
        <v>0</v>
      </c>
      <c r="AD474" s="3143"/>
      <c r="AE474" s="3143"/>
      <c r="AF474" s="3143"/>
      <c r="AG474" s="3143"/>
      <c r="AH474" s="3143"/>
      <c r="AI474" s="3143"/>
      <c r="AJ474" s="3143"/>
      <c r="AK474" s="3143"/>
      <c r="AL474" s="3143"/>
      <c r="AM474" s="3143"/>
      <c r="AN474" s="3143"/>
      <c r="AO474" s="3143"/>
      <c r="AP474" s="3143"/>
      <c r="AQ474" s="3143"/>
      <c r="AR474" s="3143"/>
      <c r="AS474" s="3143"/>
      <c r="AT474" s="3153"/>
      <c r="AU474" s="3154"/>
      <c r="AV474" s="270">
        <f t="shared" si="243"/>
        <v>0</v>
      </c>
      <c r="AW474" s="270">
        <f t="shared" si="244"/>
        <v>0</v>
      </c>
      <c r="AX474" s="270">
        <f t="shared" si="245"/>
        <v>0</v>
      </c>
      <c r="AY474" s="3168">
        <f t="shared" si="246"/>
        <v>0</v>
      </c>
      <c r="AZ474" s="3123">
        <f t="shared" si="247"/>
        <v>0</v>
      </c>
      <c r="BA474" s="3123">
        <f t="shared" si="248"/>
        <v>0</v>
      </c>
      <c r="BB474" s="3123">
        <f t="shared" si="249"/>
        <v>0</v>
      </c>
      <c r="BC474" s="3123">
        <f t="shared" si="250"/>
        <v>0</v>
      </c>
      <c r="BD474" s="3123">
        <f t="shared" si="251"/>
        <v>0</v>
      </c>
      <c r="BE474" s="3123">
        <f t="shared" si="252"/>
        <v>0</v>
      </c>
      <c r="BF474" s="3123">
        <f t="shared" si="253"/>
        <v>0</v>
      </c>
      <c r="BG474" s="3123">
        <f t="shared" si="254"/>
        <v>0</v>
      </c>
      <c r="BH474" s="3123">
        <f t="shared" si="255"/>
        <v>0</v>
      </c>
      <c r="BI474" s="3123">
        <f t="shared" si="256"/>
        <v>0</v>
      </c>
      <c r="BJ474" s="3123">
        <f t="shared" si="257"/>
        <v>0</v>
      </c>
      <c r="BK474" s="3123">
        <f t="shared" si="258"/>
        <v>0</v>
      </c>
      <c r="BL474" s="3123">
        <f t="shared" si="259"/>
        <v>0</v>
      </c>
      <c r="BM474" s="3123">
        <f t="shared" si="260"/>
        <v>0</v>
      </c>
      <c r="BN474" s="3123">
        <f t="shared" si="261"/>
        <v>0</v>
      </c>
      <c r="BO474" s="3123">
        <f t="shared" si="262"/>
        <v>0</v>
      </c>
      <c r="BP474" s="3123">
        <f t="shared" si="263"/>
        <v>0</v>
      </c>
      <c r="BQ474" s="3123">
        <f t="shared" si="264"/>
        <v>0</v>
      </c>
      <c r="BR474" s="3123">
        <f t="shared" si="265"/>
        <v>0</v>
      </c>
      <c r="BS474" s="3123">
        <f t="shared" si="266"/>
        <v>0</v>
      </c>
      <c r="BT474" s="3175">
        <f t="shared" si="267"/>
        <v>0</v>
      </c>
    </row>
    <row r="475" spans="1:72">
      <c r="A475" s="3120"/>
      <c r="B475" s="3121"/>
      <c r="C475" s="3121"/>
      <c r="D475" s="3122"/>
      <c r="E475" s="3123">
        <f t="shared" si="239"/>
        <v>0</v>
      </c>
      <c r="F475" s="3124"/>
      <c r="G475" s="3125">
        <f t="shared" si="240"/>
        <v>0</v>
      </c>
      <c r="H475" s="3126">
        <f t="shared" si="241"/>
        <v>0</v>
      </c>
      <c r="I475" s="3133"/>
      <c r="J475" s="3133"/>
      <c r="K475" s="3133"/>
      <c r="L475" s="3133"/>
      <c r="M475" s="3133"/>
      <c r="N475" s="3133"/>
      <c r="O475" s="3133"/>
      <c r="P475" s="3133"/>
      <c r="Q475" s="3133"/>
      <c r="R475" s="3133"/>
      <c r="S475" s="3133"/>
      <c r="T475" s="3133"/>
      <c r="U475" s="3133"/>
      <c r="V475" s="3133"/>
      <c r="W475" s="3133"/>
      <c r="X475" s="3133"/>
      <c r="Y475" s="3133"/>
      <c r="Z475" s="3133"/>
      <c r="AA475" s="3133"/>
      <c r="AB475" s="3133"/>
      <c r="AC475" s="3123">
        <f t="shared" si="242"/>
        <v>0</v>
      </c>
      <c r="AD475" s="3143"/>
      <c r="AE475" s="3143"/>
      <c r="AF475" s="3143"/>
      <c r="AG475" s="3143"/>
      <c r="AH475" s="3143"/>
      <c r="AI475" s="3143"/>
      <c r="AJ475" s="3143"/>
      <c r="AK475" s="3143"/>
      <c r="AL475" s="3143"/>
      <c r="AM475" s="3143"/>
      <c r="AN475" s="3143"/>
      <c r="AO475" s="3143"/>
      <c r="AP475" s="3143"/>
      <c r="AQ475" s="3143"/>
      <c r="AR475" s="3143"/>
      <c r="AS475" s="3143"/>
      <c r="AT475" s="3153"/>
      <c r="AU475" s="3154"/>
      <c r="AV475" s="270">
        <f t="shared" si="243"/>
        <v>0</v>
      </c>
      <c r="AW475" s="270">
        <f t="shared" si="244"/>
        <v>0</v>
      </c>
      <c r="AX475" s="270">
        <f t="shared" si="245"/>
        <v>0</v>
      </c>
      <c r="AY475" s="3168">
        <f t="shared" si="246"/>
        <v>0</v>
      </c>
      <c r="AZ475" s="3123">
        <f t="shared" si="247"/>
        <v>0</v>
      </c>
      <c r="BA475" s="3123">
        <f t="shared" si="248"/>
        <v>0</v>
      </c>
      <c r="BB475" s="3123">
        <f t="shared" si="249"/>
        <v>0</v>
      </c>
      <c r="BC475" s="3123">
        <f t="shared" si="250"/>
        <v>0</v>
      </c>
      <c r="BD475" s="3123">
        <f t="shared" si="251"/>
        <v>0</v>
      </c>
      <c r="BE475" s="3123">
        <f t="shared" si="252"/>
        <v>0</v>
      </c>
      <c r="BF475" s="3123">
        <f t="shared" si="253"/>
        <v>0</v>
      </c>
      <c r="BG475" s="3123">
        <f t="shared" si="254"/>
        <v>0</v>
      </c>
      <c r="BH475" s="3123">
        <f t="shared" si="255"/>
        <v>0</v>
      </c>
      <c r="BI475" s="3123">
        <f t="shared" si="256"/>
        <v>0</v>
      </c>
      <c r="BJ475" s="3123">
        <f t="shared" si="257"/>
        <v>0</v>
      </c>
      <c r="BK475" s="3123">
        <f t="shared" si="258"/>
        <v>0</v>
      </c>
      <c r="BL475" s="3123">
        <f t="shared" si="259"/>
        <v>0</v>
      </c>
      <c r="BM475" s="3123">
        <f t="shared" si="260"/>
        <v>0</v>
      </c>
      <c r="BN475" s="3123">
        <f t="shared" si="261"/>
        <v>0</v>
      </c>
      <c r="BO475" s="3123">
        <f t="shared" si="262"/>
        <v>0</v>
      </c>
      <c r="BP475" s="3123">
        <f t="shared" si="263"/>
        <v>0</v>
      </c>
      <c r="BQ475" s="3123">
        <f t="shared" si="264"/>
        <v>0</v>
      </c>
      <c r="BR475" s="3123">
        <f t="shared" si="265"/>
        <v>0</v>
      </c>
      <c r="BS475" s="3123">
        <f t="shared" si="266"/>
        <v>0</v>
      </c>
      <c r="BT475" s="3175">
        <f t="shared" si="267"/>
        <v>0</v>
      </c>
    </row>
    <row r="476" spans="1:72">
      <c r="A476" s="3120"/>
      <c r="B476" s="3121"/>
      <c r="C476" s="3121"/>
      <c r="D476" s="3122"/>
      <c r="E476" s="3123">
        <f t="shared" si="239"/>
        <v>0</v>
      </c>
      <c r="F476" s="3124"/>
      <c r="G476" s="3125">
        <f t="shared" si="240"/>
        <v>0</v>
      </c>
      <c r="H476" s="3126">
        <f t="shared" si="241"/>
        <v>0</v>
      </c>
      <c r="I476" s="3133"/>
      <c r="J476" s="3133"/>
      <c r="K476" s="3133"/>
      <c r="L476" s="3133"/>
      <c r="M476" s="3133"/>
      <c r="N476" s="3133"/>
      <c r="O476" s="3133"/>
      <c r="P476" s="3133"/>
      <c r="Q476" s="3133"/>
      <c r="R476" s="3133"/>
      <c r="S476" s="3133"/>
      <c r="T476" s="3133"/>
      <c r="U476" s="3133"/>
      <c r="V476" s="3133"/>
      <c r="W476" s="3133"/>
      <c r="X476" s="3133"/>
      <c r="Y476" s="3133"/>
      <c r="Z476" s="3133"/>
      <c r="AA476" s="3133"/>
      <c r="AB476" s="3133"/>
      <c r="AC476" s="3123">
        <f t="shared" si="242"/>
        <v>0</v>
      </c>
      <c r="AD476" s="3143"/>
      <c r="AE476" s="3143"/>
      <c r="AF476" s="3143"/>
      <c r="AG476" s="3143"/>
      <c r="AH476" s="3143"/>
      <c r="AI476" s="3143"/>
      <c r="AJ476" s="3143"/>
      <c r="AK476" s="3143"/>
      <c r="AL476" s="3143"/>
      <c r="AM476" s="3143"/>
      <c r="AN476" s="3143"/>
      <c r="AO476" s="3143"/>
      <c r="AP476" s="3143"/>
      <c r="AQ476" s="3143"/>
      <c r="AR476" s="3143"/>
      <c r="AS476" s="3143"/>
      <c r="AT476" s="3153"/>
      <c r="AU476" s="3154"/>
      <c r="AV476" s="270">
        <f t="shared" si="243"/>
        <v>0</v>
      </c>
      <c r="AW476" s="270">
        <f t="shared" si="244"/>
        <v>0</v>
      </c>
      <c r="AX476" s="270">
        <f t="shared" si="245"/>
        <v>0</v>
      </c>
      <c r="AY476" s="3168">
        <f t="shared" si="246"/>
        <v>0</v>
      </c>
      <c r="AZ476" s="3123">
        <f t="shared" si="247"/>
        <v>0</v>
      </c>
      <c r="BA476" s="3123">
        <f t="shared" si="248"/>
        <v>0</v>
      </c>
      <c r="BB476" s="3123">
        <f t="shared" si="249"/>
        <v>0</v>
      </c>
      <c r="BC476" s="3123">
        <f t="shared" si="250"/>
        <v>0</v>
      </c>
      <c r="BD476" s="3123">
        <f t="shared" si="251"/>
        <v>0</v>
      </c>
      <c r="BE476" s="3123">
        <f t="shared" si="252"/>
        <v>0</v>
      </c>
      <c r="BF476" s="3123">
        <f t="shared" si="253"/>
        <v>0</v>
      </c>
      <c r="BG476" s="3123">
        <f t="shared" si="254"/>
        <v>0</v>
      </c>
      <c r="BH476" s="3123">
        <f t="shared" si="255"/>
        <v>0</v>
      </c>
      <c r="BI476" s="3123">
        <f t="shared" si="256"/>
        <v>0</v>
      </c>
      <c r="BJ476" s="3123">
        <f t="shared" si="257"/>
        <v>0</v>
      </c>
      <c r="BK476" s="3123">
        <f t="shared" si="258"/>
        <v>0</v>
      </c>
      <c r="BL476" s="3123">
        <f t="shared" si="259"/>
        <v>0</v>
      </c>
      <c r="BM476" s="3123">
        <f t="shared" si="260"/>
        <v>0</v>
      </c>
      <c r="BN476" s="3123">
        <f t="shared" si="261"/>
        <v>0</v>
      </c>
      <c r="BO476" s="3123">
        <f t="shared" si="262"/>
        <v>0</v>
      </c>
      <c r="BP476" s="3123">
        <f t="shared" si="263"/>
        <v>0</v>
      </c>
      <c r="BQ476" s="3123">
        <f t="shared" si="264"/>
        <v>0</v>
      </c>
      <c r="BR476" s="3123">
        <f t="shared" si="265"/>
        <v>0</v>
      </c>
      <c r="BS476" s="3123">
        <f t="shared" si="266"/>
        <v>0</v>
      </c>
      <c r="BT476" s="3175">
        <f t="shared" si="267"/>
        <v>0</v>
      </c>
    </row>
    <row r="477" spans="1:72">
      <c r="A477" s="3120"/>
      <c r="B477" s="3121"/>
      <c r="C477" s="3121"/>
      <c r="D477" s="3122"/>
      <c r="E477" s="3123">
        <f t="shared" si="239"/>
        <v>0</v>
      </c>
      <c r="F477" s="3124"/>
      <c r="G477" s="3125">
        <f t="shared" si="240"/>
        <v>0</v>
      </c>
      <c r="H477" s="3126">
        <f t="shared" si="241"/>
        <v>0</v>
      </c>
      <c r="I477" s="3133"/>
      <c r="J477" s="3133"/>
      <c r="K477" s="3133"/>
      <c r="L477" s="3133"/>
      <c r="M477" s="3133"/>
      <c r="N477" s="3133"/>
      <c r="O477" s="3133"/>
      <c r="P477" s="3133"/>
      <c r="Q477" s="3133"/>
      <c r="R477" s="3133"/>
      <c r="S477" s="3133"/>
      <c r="T477" s="3133"/>
      <c r="U477" s="3133"/>
      <c r="V477" s="3133"/>
      <c r="W477" s="3133"/>
      <c r="X477" s="3133"/>
      <c r="Y477" s="3133"/>
      <c r="Z477" s="3133"/>
      <c r="AA477" s="3133"/>
      <c r="AB477" s="3133"/>
      <c r="AC477" s="3123">
        <f t="shared" si="242"/>
        <v>0</v>
      </c>
      <c r="AD477" s="3143"/>
      <c r="AE477" s="3143"/>
      <c r="AF477" s="3143"/>
      <c r="AG477" s="3143"/>
      <c r="AH477" s="3143"/>
      <c r="AI477" s="3143"/>
      <c r="AJ477" s="3143"/>
      <c r="AK477" s="3143"/>
      <c r="AL477" s="3143"/>
      <c r="AM477" s="3143"/>
      <c r="AN477" s="3143"/>
      <c r="AO477" s="3143"/>
      <c r="AP477" s="3143"/>
      <c r="AQ477" s="3143"/>
      <c r="AR477" s="3143"/>
      <c r="AS477" s="3143"/>
      <c r="AT477" s="3153"/>
      <c r="AU477" s="3154"/>
      <c r="AV477" s="270">
        <f t="shared" si="243"/>
        <v>0</v>
      </c>
      <c r="AW477" s="270">
        <f t="shared" si="244"/>
        <v>0</v>
      </c>
      <c r="AX477" s="270">
        <f t="shared" si="245"/>
        <v>0</v>
      </c>
      <c r="AY477" s="3168">
        <f t="shared" si="246"/>
        <v>0</v>
      </c>
      <c r="AZ477" s="3123">
        <f t="shared" si="247"/>
        <v>0</v>
      </c>
      <c r="BA477" s="3123">
        <f t="shared" si="248"/>
        <v>0</v>
      </c>
      <c r="BB477" s="3123">
        <f t="shared" si="249"/>
        <v>0</v>
      </c>
      <c r="BC477" s="3123">
        <f t="shared" si="250"/>
        <v>0</v>
      </c>
      <c r="BD477" s="3123">
        <f t="shared" si="251"/>
        <v>0</v>
      </c>
      <c r="BE477" s="3123">
        <f t="shared" si="252"/>
        <v>0</v>
      </c>
      <c r="BF477" s="3123">
        <f t="shared" si="253"/>
        <v>0</v>
      </c>
      <c r="BG477" s="3123">
        <f t="shared" si="254"/>
        <v>0</v>
      </c>
      <c r="BH477" s="3123">
        <f t="shared" si="255"/>
        <v>0</v>
      </c>
      <c r="BI477" s="3123">
        <f t="shared" si="256"/>
        <v>0</v>
      </c>
      <c r="BJ477" s="3123">
        <f t="shared" si="257"/>
        <v>0</v>
      </c>
      <c r="BK477" s="3123">
        <f t="shared" si="258"/>
        <v>0</v>
      </c>
      <c r="BL477" s="3123">
        <f t="shared" si="259"/>
        <v>0</v>
      </c>
      <c r="BM477" s="3123">
        <f t="shared" si="260"/>
        <v>0</v>
      </c>
      <c r="BN477" s="3123">
        <f t="shared" si="261"/>
        <v>0</v>
      </c>
      <c r="BO477" s="3123">
        <f t="shared" si="262"/>
        <v>0</v>
      </c>
      <c r="BP477" s="3123">
        <f t="shared" si="263"/>
        <v>0</v>
      </c>
      <c r="BQ477" s="3123">
        <f t="shared" si="264"/>
        <v>0</v>
      </c>
      <c r="BR477" s="3123">
        <f t="shared" si="265"/>
        <v>0</v>
      </c>
      <c r="BS477" s="3123">
        <f t="shared" si="266"/>
        <v>0</v>
      </c>
      <c r="BT477" s="3175">
        <f t="shared" si="267"/>
        <v>0</v>
      </c>
    </row>
    <row r="478" spans="1:72">
      <c r="A478" s="3120"/>
      <c r="B478" s="3121"/>
      <c r="C478" s="3121"/>
      <c r="D478" s="3122"/>
      <c r="E478" s="3123">
        <f t="shared" si="239"/>
        <v>0</v>
      </c>
      <c r="F478" s="3124"/>
      <c r="G478" s="3125">
        <f t="shared" si="240"/>
        <v>0</v>
      </c>
      <c r="H478" s="3126">
        <f t="shared" si="241"/>
        <v>0</v>
      </c>
      <c r="I478" s="3133"/>
      <c r="J478" s="3133"/>
      <c r="K478" s="3133"/>
      <c r="L478" s="3133"/>
      <c r="M478" s="3133"/>
      <c r="N478" s="3133"/>
      <c r="O478" s="3133"/>
      <c r="P478" s="3133"/>
      <c r="Q478" s="3133"/>
      <c r="R478" s="3133"/>
      <c r="S478" s="3133"/>
      <c r="T478" s="3133"/>
      <c r="U478" s="3133"/>
      <c r="V478" s="3133"/>
      <c r="W478" s="3133"/>
      <c r="X478" s="3133"/>
      <c r="Y478" s="3133"/>
      <c r="Z478" s="3133"/>
      <c r="AA478" s="3133"/>
      <c r="AB478" s="3133"/>
      <c r="AC478" s="3123">
        <f t="shared" si="242"/>
        <v>0</v>
      </c>
      <c r="AD478" s="3143"/>
      <c r="AE478" s="3143"/>
      <c r="AF478" s="3143"/>
      <c r="AG478" s="3143"/>
      <c r="AH478" s="3143"/>
      <c r="AI478" s="3143"/>
      <c r="AJ478" s="3143"/>
      <c r="AK478" s="3143"/>
      <c r="AL478" s="3143"/>
      <c r="AM478" s="3143"/>
      <c r="AN478" s="3143"/>
      <c r="AO478" s="3143"/>
      <c r="AP478" s="3143"/>
      <c r="AQ478" s="3143"/>
      <c r="AR478" s="3143"/>
      <c r="AS478" s="3143"/>
      <c r="AT478" s="3153"/>
      <c r="AU478" s="3154"/>
      <c r="AV478" s="270">
        <f t="shared" si="243"/>
        <v>0</v>
      </c>
      <c r="AW478" s="270">
        <f t="shared" si="244"/>
        <v>0</v>
      </c>
      <c r="AX478" s="270">
        <f t="shared" si="245"/>
        <v>0</v>
      </c>
      <c r="AY478" s="3168">
        <f t="shared" si="246"/>
        <v>0</v>
      </c>
      <c r="AZ478" s="3123">
        <f t="shared" si="247"/>
        <v>0</v>
      </c>
      <c r="BA478" s="3123">
        <f t="shared" si="248"/>
        <v>0</v>
      </c>
      <c r="BB478" s="3123">
        <f t="shared" si="249"/>
        <v>0</v>
      </c>
      <c r="BC478" s="3123">
        <f t="shared" si="250"/>
        <v>0</v>
      </c>
      <c r="BD478" s="3123">
        <f t="shared" si="251"/>
        <v>0</v>
      </c>
      <c r="BE478" s="3123">
        <f t="shared" si="252"/>
        <v>0</v>
      </c>
      <c r="BF478" s="3123">
        <f t="shared" si="253"/>
        <v>0</v>
      </c>
      <c r="BG478" s="3123">
        <f t="shared" si="254"/>
        <v>0</v>
      </c>
      <c r="BH478" s="3123">
        <f t="shared" si="255"/>
        <v>0</v>
      </c>
      <c r="BI478" s="3123">
        <f t="shared" si="256"/>
        <v>0</v>
      </c>
      <c r="BJ478" s="3123">
        <f t="shared" si="257"/>
        <v>0</v>
      </c>
      <c r="BK478" s="3123">
        <f t="shared" si="258"/>
        <v>0</v>
      </c>
      <c r="BL478" s="3123">
        <f t="shared" si="259"/>
        <v>0</v>
      </c>
      <c r="BM478" s="3123">
        <f t="shared" si="260"/>
        <v>0</v>
      </c>
      <c r="BN478" s="3123">
        <f t="shared" si="261"/>
        <v>0</v>
      </c>
      <c r="BO478" s="3123">
        <f t="shared" si="262"/>
        <v>0</v>
      </c>
      <c r="BP478" s="3123">
        <f t="shared" si="263"/>
        <v>0</v>
      </c>
      <c r="BQ478" s="3123">
        <f t="shared" si="264"/>
        <v>0</v>
      </c>
      <c r="BR478" s="3123">
        <f t="shared" si="265"/>
        <v>0</v>
      </c>
      <c r="BS478" s="3123">
        <f t="shared" si="266"/>
        <v>0</v>
      </c>
      <c r="BT478" s="3175">
        <f t="shared" si="267"/>
        <v>0</v>
      </c>
    </row>
    <row r="479" spans="1:72">
      <c r="A479" s="3120"/>
      <c r="B479" s="3121"/>
      <c r="C479" s="3121"/>
      <c r="D479" s="3122"/>
      <c r="E479" s="3123">
        <f t="shared" si="239"/>
        <v>0</v>
      </c>
      <c r="F479" s="3124"/>
      <c r="G479" s="3125">
        <f t="shared" si="240"/>
        <v>0</v>
      </c>
      <c r="H479" s="3126">
        <f t="shared" si="241"/>
        <v>0</v>
      </c>
      <c r="I479" s="3133"/>
      <c r="J479" s="3133"/>
      <c r="K479" s="3133"/>
      <c r="L479" s="3133"/>
      <c r="M479" s="3133"/>
      <c r="N479" s="3133"/>
      <c r="O479" s="3133"/>
      <c r="P479" s="3133"/>
      <c r="Q479" s="3133"/>
      <c r="R479" s="3133"/>
      <c r="S479" s="3133"/>
      <c r="T479" s="3133"/>
      <c r="U479" s="3133"/>
      <c r="V479" s="3133"/>
      <c r="W479" s="3133"/>
      <c r="X479" s="3133"/>
      <c r="Y479" s="3133"/>
      <c r="Z479" s="3133"/>
      <c r="AA479" s="3133"/>
      <c r="AB479" s="3133"/>
      <c r="AC479" s="3123">
        <f t="shared" si="242"/>
        <v>0</v>
      </c>
      <c r="AD479" s="3143"/>
      <c r="AE479" s="3143"/>
      <c r="AF479" s="3143"/>
      <c r="AG479" s="3143"/>
      <c r="AH479" s="3143"/>
      <c r="AI479" s="3143"/>
      <c r="AJ479" s="3143"/>
      <c r="AK479" s="3143"/>
      <c r="AL479" s="3143"/>
      <c r="AM479" s="3143"/>
      <c r="AN479" s="3143"/>
      <c r="AO479" s="3143"/>
      <c r="AP479" s="3143"/>
      <c r="AQ479" s="3143"/>
      <c r="AR479" s="3143"/>
      <c r="AS479" s="3143"/>
      <c r="AT479" s="3153"/>
      <c r="AU479" s="3154"/>
      <c r="AV479" s="270">
        <f t="shared" si="243"/>
        <v>0</v>
      </c>
      <c r="AW479" s="270">
        <f t="shared" si="244"/>
        <v>0</v>
      </c>
      <c r="AX479" s="270">
        <f t="shared" si="245"/>
        <v>0</v>
      </c>
      <c r="AY479" s="3168">
        <f t="shared" si="246"/>
        <v>0</v>
      </c>
      <c r="AZ479" s="3123">
        <f t="shared" si="247"/>
        <v>0</v>
      </c>
      <c r="BA479" s="3123">
        <f t="shared" si="248"/>
        <v>0</v>
      </c>
      <c r="BB479" s="3123">
        <f t="shared" si="249"/>
        <v>0</v>
      </c>
      <c r="BC479" s="3123">
        <f t="shared" si="250"/>
        <v>0</v>
      </c>
      <c r="BD479" s="3123">
        <f t="shared" si="251"/>
        <v>0</v>
      </c>
      <c r="BE479" s="3123">
        <f t="shared" si="252"/>
        <v>0</v>
      </c>
      <c r="BF479" s="3123">
        <f t="shared" si="253"/>
        <v>0</v>
      </c>
      <c r="BG479" s="3123">
        <f t="shared" si="254"/>
        <v>0</v>
      </c>
      <c r="BH479" s="3123">
        <f t="shared" si="255"/>
        <v>0</v>
      </c>
      <c r="BI479" s="3123">
        <f t="shared" si="256"/>
        <v>0</v>
      </c>
      <c r="BJ479" s="3123">
        <f t="shared" si="257"/>
        <v>0</v>
      </c>
      <c r="BK479" s="3123">
        <f t="shared" si="258"/>
        <v>0</v>
      </c>
      <c r="BL479" s="3123">
        <f t="shared" si="259"/>
        <v>0</v>
      </c>
      <c r="BM479" s="3123">
        <f t="shared" si="260"/>
        <v>0</v>
      </c>
      <c r="BN479" s="3123">
        <f t="shared" si="261"/>
        <v>0</v>
      </c>
      <c r="BO479" s="3123">
        <f t="shared" si="262"/>
        <v>0</v>
      </c>
      <c r="BP479" s="3123">
        <f t="shared" si="263"/>
        <v>0</v>
      </c>
      <c r="BQ479" s="3123">
        <f t="shared" si="264"/>
        <v>0</v>
      </c>
      <c r="BR479" s="3123">
        <f t="shared" si="265"/>
        <v>0</v>
      </c>
      <c r="BS479" s="3123">
        <f t="shared" si="266"/>
        <v>0</v>
      </c>
      <c r="BT479" s="3175">
        <f t="shared" si="267"/>
        <v>0</v>
      </c>
    </row>
    <row r="480" spans="1:72">
      <c r="A480" s="3120"/>
      <c r="B480" s="3121"/>
      <c r="C480" s="3121"/>
      <c r="D480" s="3122"/>
      <c r="E480" s="3123">
        <f t="shared" si="239"/>
        <v>0</v>
      </c>
      <c r="F480" s="3124"/>
      <c r="G480" s="3125">
        <f t="shared" si="240"/>
        <v>0</v>
      </c>
      <c r="H480" s="3126">
        <f t="shared" si="241"/>
        <v>0</v>
      </c>
      <c r="I480" s="3133"/>
      <c r="J480" s="3133"/>
      <c r="K480" s="3133"/>
      <c r="L480" s="3133"/>
      <c r="M480" s="3133"/>
      <c r="N480" s="3133"/>
      <c r="O480" s="3133"/>
      <c r="P480" s="3133"/>
      <c r="Q480" s="3133"/>
      <c r="R480" s="3133"/>
      <c r="S480" s="3133"/>
      <c r="T480" s="3133"/>
      <c r="U480" s="3133"/>
      <c r="V480" s="3133"/>
      <c r="W480" s="3133"/>
      <c r="X480" s="3133"/>
      <c r="Y480" s="3133"/>
      <c r="Z480" s="3133"/>
      <c r="AA480" s="3133"/>
      <c r="AB480" s="3133"/>
      <c r="AC480" s="3123">
        <f t="shared" si="242"/>
        <v>0</v>
      </c>
      <c r="AD480" s="3143"/>
      <c r="AE480" s="3143"/>
      <c r="AF480" s="3143"/>
      <c r="AG480" s="3143"/>
      <c r="AH480" s="3143"/>
      <c r="AI480" s="3143"/>
      <c r="AJ480" s="3143"/>
      <c r="AK480" s="3143"/>
      <c r="AL480" s="3143"/>
      <c r="AM480" s="3143"/>
      <c r="AN480" s="3143"/>
      <c r="AO480" s="3143"/>
      <c r="AP480" s="3143"/>
      <c r="AQ480" s="3143"/>
      <c r="AR480" s="3143"/>
      <c r="AS480" s="3143"/>
      <c r="AT480" s="3153"/>
      <c r="AU480" s="3154"/>
      <c r="AV480" s="270">
        <f t="shared" si="243"/>
        <v>0</v>
      </c>
      <c r="AW480" s="270">
        <f t="shared" si="244"/>
        <v>0</v>
      </c>
      <c r="AX480" s="270">
        <f t="shared" si="245"/>
        <v>0</v>
      </c>
      <c r="AY480" s="3168">
        <f t="shared" si="246"/>
        <v>0</v>
      </c>
      <c r="AZ480" s="3123">
        <f t="shared" si="247"/>
        <v>0</v>
      </c>
      <c r="BA480" s="3123">
        <f t="shared" si="248"/>
        <v>0</v>
      </c>
      <c r="BB480" s="3123">
        <f t="shared" si="249"/>
        <v>0</v>
      </c>
      <c r="BC480" s="3123">
        <f t="shared" si="250"/>
        <v>0</v>
      </c>
      <c r="BD480" s="3123">
        <f t="shared" si="251"/>
        <v>0</v>
      </c>
      <c r="BE480" s="3123">
        <f t="shared" si="252"/>
        <v>0</v>
      </c>
      <c r="BF480" s="3123">
        <f t="shared" si="253"/>
        <v>0</v>
      </c>
      <c r="BG480" s="3123">
        <f t="shared" si="254"/>
        <v>0</v>
      </c>
      <c r="BH480" s="3123">
        <f t="shared" si="255"/>
        <v>0</v>
      </c>
      <c r="BI480" s="3123">
        <f t="shared" si="256"/>
        <v>0</v>
      </c>
      <c r="BJ480" s="3123">
        <f t="shared" si="257"/>
        <v>0</v>
      </c>
      <c r="BK480" s="3123">
        <f t="shared" si="258"/>
        <v>0</v>
      </c>
      <c r="BL480" s="3123">
        <f t="shared" si="259"/>
        <v>0</v>
      </c>
      <c r="BM480" s="3123">
        <f t="shared" si="260"/>
        <v>0</v>
      </c>
      <c r="BN480" s="3123">
        <f t="shared" si="261"/>
        <v>0</v>
      </c>
      <c r="BO480" s="3123">
        <f t="shared" si="262"/>
        <v>0</v>
      </c>
      <c r="BP480" s="3123">
        <f t="shared" si="263"/>
        <v>0</v>
      </c>
      <c r="BQ480" s="3123">
        <f t="shared" si="264"/>
        <v>0</v>
      </c>
      <c r="BR480" s="3123">
        <f t="shared" si="265"/>
        <v>0</v>
      </c>
      <c r="BS480" s="3123">
        <f t="shared" si="266"/>
        <v>0</v>
      </c>
      <c r="BT480" s="3175">
        <f t="shared" si="267"/>
        <v>0</v>
      </c>
    </row>
    <row r="481" spans="1:72">
      <c r="A481" s="3120"/>
      <c r="B481" s="3121"/>
      <c r="C481" s="3121"/>
      <c r="D481" s="3122"/>
      <c r="E481" s="3123">
        <f t="shared" si="239"/>
        <v>0</v>
      </c>
      <c r="F481" s="3124"/>
      <c r="G481" s="3125">
        <f t="shared" si="240"/>
        <v>0</v>
      </c>
      <c r="H481" s="3126">
        <f t="shared" si="241"/>
        <v>0</v>
      </c>
      <c r="I481" s="3133"/>
      <c r="J481" s="3133"/>
      <c r="K481" s="3133"/>
      <c r="L481" s="3133"/>
      <c r="M481" s="3133"/>
      <c r="N481" s="3133"/>
      <c r="O481" s="3133"/>
      <c r="P481" s="3133"/>
      <c r="Q481" s="3133"/>
      <c r="R481" s="3133"/>
      <c r="S481" s="3133"/>
      <c r="T481" s="3133"/>
      <c r="U481" s="3133"/>
      <c r="V481" s="3133"/>
      <c r="W481" s="3133"/>
      <c r="X481" s="3133"/>
      <c r="Y481" s="3133"/>
      <c r="Z481" s="3133"/>
      <c r="AA481" s="3133"/>
      <c r="AB481" s="3133"/>
      <c r="AC481" s="3123">
        <f t="shared" si="242"/>
        <v>0</v>
      </c>
      <c r="AD481" s="3143"/>
      <c r="AE481" s="3143"/>
      <c r="AF481" s="3143"/>
      <c r="AG481" s="3143"/>
      <c r="AH481" s="3143"/>
      <c r="AI481" s="3143"/>
      <c r="AJ481" s="3143"/>
      <c r="AK481" s="3143"/>
      <c r="AL481" s="3143"/>
      <c r="AM481" s="3143"/>
      <c r="AN481" s="3143"/>
      <c r="AO481" s="3143"/>
      <c r="AP481" s="3143"/>
      <c r="AQ481" s="3143"/>
      <c r="AR481" s="3143"/>
      <c r="AS481" s="3143"/>
      <c r="AT481" s="3153"/>
      <c r="AU481" s="3154"/>
      <c r="AV481" s="270">
        <f t="shared" si="243"/>
        <v>0</v>
      </c>
      <c r="AW481" s="270">
        <f t="shared" si="244"/>
        <v>0</v>
      </c>
      <c r="AX481" s="270">
        <f t="shared" si="245"/>
        <v>0</v>
      </c>
      <c r="AY481" s="3168">
        <f t="shared" si="246"/>
        <v>0</v>
      </c>
      <c r="AZ481" s="3123">
        <f t="shared" si="247"/>
        <v>0</v>
      </c>
      <c r="BA481" s="3123">
        <f t="shared" si="248"/>
        <v>0</v>
      </c>
      <c r="BB481" s="3123">
        <f t="shared" si="249"/>
        <v>0</v>
      </c>
      <c r="BC481" s="3123">
        <f t="shared" si="250"/>
        <v>0</v>
      </c>
      <c r="BD481" s="3123">
        <f t="shared" si="251"/>
        <v>0</v>
      </c>
      <c r="BE481" s="3123">
        <f t="shared" si="252"/>
        <v>0</v>
      </c>
      <c r="BF481" s="3123">
        <f t="shared" si="253"/>
        <v>0</v>
      </c>
      <c r="BG481" s="3123">
        <f t="shared" si="254"/>
        <v>0</v>
      </c>
      <c r="BH481" s="3123">
        <f t="shared" si="255"/>
        <v>0</v>
      </c>
      <c r="BI481" s="3123">
        <f t="shared" si="256"/>
        <v>0</v>
      </c>
      <c r="BJ481" s="3123">
        <f t="shared" si="257"/>
        <v>0</v>
      </c>
      <c r="BK481" s="3123">
        <f t="shared" si="258"/>
        <v>0</v>
      </c>
      <c r="BL481" s="3123">
        <f t="shared" si="259"/>
        <v>0</v>
      </c>
      <c r="BM481" s="3123">
        <f t="shared" si="260"/>
        <v>0</v>
      </c>
      <c r="BN481" s="3123">
        <f t="shared" si="261"/>
        <v>0</v>
      </c>
      <c r="BO481" s="3123">
        <f t="shared" si="262"/>
        <v>0</v>
      </c>
      <c r="BP481" s="3123">
        <f t="shared" si="263"/>
        <v>0</v>
      </c>
      <c r="BQ481" s="3123">
        <f t="shared" si="264"/>
        <v>0</v>
      </c>
      <c r="BR481" s="3123">
        <f t="shared" si="265"/>
        <v>0</v>
      </c>
      <c r="BS481" s="3123">
        <f t="shared" si="266"/>
        <v>0</v>
      </c>
      <c r="BT481" s="3175">
        <f t="shared" si="267"/>
        <v>0</v>
      </c>
    </row>
    <row r="482" spans="1:72">
      <c r="A482" s="3120"/>
      <c r="B482" s="3121"/>
      <c r="C482" s="3121"/>
      <c r="D482" s="3122"/>
      <c r="E482" s="3123">
        <f t="shared" si="239"/>
        <v>0</v>
      </c>
      <c r="F482" s="3124"/>
      <c r="G482" s="3125">
        <f t="shared" si="240"/>
        <v>0</v>
      </c>
      <c r="H482" s="3126">
        <f t="shared" si="241"/>
        <v>0</v>
      </c>
      <c r="I482" s="3133"/>
      <c r="J482" s="3133"/>
      <c r="K482" s="3133"/>
      <c r="L482" s="3133"/>
      <c r="M482" s="3133"/>
      <c r="N482" s="3133"/>
      <c r="O482" s="3133"/>
      <c r="P482" s="3133"/>
      <c r="Q482" s="3133"/>
      <c r="R482" s="3133"/>
      <c r="S482" s="3133"/>
      <c r="T482" s="3133"/>
      <c r="U482" s="3133"/>
      <c r="V482" s="3133"/>
      <c r="W482" s="3133"/>
      <c r="X482" s="3133"/>
      <c r="Y482" s="3133"/>
      <c r="Z482" s="3133"/>
      <c r="AA482" s="3133"/>
      <c r="AB482" s="3133"/>
      <c r="AC482" s="3123">
        <f t="shared" si="242"/>
        <v>0</v>
      </c>
      <c r="AD482" s="3143"/>
      <c r="AE482" s="3143"/>
      <c r="AF482" s="3143"/>
      <c r="AG482" s="3143"/>
      <c r="AH482" s="3143"/>
      <c r="AI482" s="3143"/>
      <c r="AJ482" s="3143"/>
      <c r="AK482" s="3143"/>
      <c r="AL482" s="3143"/>
      <c r="AM482" s="3143"/>
      <c r="AN482" s="3143"/>
      <c r="AO482" s="3143"/>
      <c r="AP482" s="3143"/>
      <c r="AQ482" s="3143"/>
      <c r="AR482" s="3143"/>
      <c r="AS482" s="3143"/>
      <c r="AT482" s="3153"/>
      <c r="AU482" s="3154"/>
      <c r="AV482" s="270">
        <f t="shared" si="243"/>
        <v>0</v>
      </c>
      <c r="AW482" s="270">
        <f t="shared" si="244"/>
        <v>0</v>
      </c>
      <c r="AX482" s="270">
        <f t="shared" si="245"/>
        <v>0</v>
      </c>
      <c r="AY482" s="3168">
        <f t="shared" si="246"/>
        <v>0</v>
      </c>
      <c r="AZ482" s="3123">
        <f t="shared" si="247"/>
        <v>0</v>
      </c>
      <c r="BA482" s="3123">
        <f t="shared" si="248"/>
        <v>0</v>
      </c>
      <c r="BB482" s="3123">
        <f t="shared" si="249"/>
        <v>0</v>
      </c>
      <c r="BC482" s="3123">
        <f t="shared" si="250"/>
        <v>0</v>
      </c>
      <c r="BD482" s="3123">
        <f t="shared" si="251"/>
        <v>0</v>
      </c>
      <c r="BE482" s="3123">
        <f t="shared" si="252"/>
        <v>0</v>
      </c>
      <c r="BF482" s="3123">
        <f t="shared" si="253"/>
        <v>0</v>
      </c>
      <c r="BG482" s="3123">
        <f t="shared" si="254"/>
        <v>0</v>
      </c>
      <c r="BH482" s="3123">
        <f t="shared" si="255"/>
        <v>0</v>
      </c>
      <c r="BI482" s="3123">
        <f t="shared" si="256"/>
        <v>0</v>
      </c>
      <c r="BJ482" s="3123">
        <f t="shared" si="257"/>
        <v>0</v>
      </c>
      <c r="BK482" s="3123">
        <f t="shared" si="258"/>
        <v>0</v>
      </c>
      <c r="BL482" s="3123">
        <f t="shared" si="259"/>
        <v>0</v>
      </c>
      <c r="BM482" s="3123">
        <f t="shared" si="260"/>
        <v>0</v>
      </c>
      <c r="BN482" s="3123">
        <f t="shared" si="261"/>
        <v>0</v>
      </c>
      <c r="BO482" s="3123">
        <f t="shared" si="262"/>
        <v>0</v>
      </c>
      <c r="BP482" s="3123">
        <f t="shared" si="263"/>
        <v>0</v>
      </c>
      <c r="BQ482" s="3123">
        <f t="shared" si="264"/>
        <v>0</v>
      </c>
      <c r="BR482" s="3123">
        <f t="shared" si="265"/>
        <v>0</v>
      </c>
      <c r="BS482" s="3123">
        <f t="shared" si="266"/>
        <v>0</v>
      </c>
      <c r="BT482" s="3175">
        <f t="shared" si="267"/>
        <v>0</v>
      </c>
    </row>
    <row r="483" spans="1:72">
      <c r="A483" s="3120"/>
      <c r="B483" s="3121"/>
      <c r="C483" s="3121"/>
      <c r="D483" s="3122"/>
      <c r="E483" s="3123">
        <f t="shared" si="239"/>
        <v>0</v>
      </c>
      <c r="F483" s="3124"/>
      <c r="G483" s="3125">
        <f t="shared" si="240"/>
        <v>0</v>
      </c>
      <c r="H483" s="3126">
        <f t="shared" si="241"/>
        <v>0</v>
      </c>
      <c r="I483" s="3133"/>
      <c r="J483" s="3133"/>
      <c r="K483" s="3133"/>
      <c r="L483" s="3133"/>
      <c r="M483" s="3133"/>
      <c r="N483" s="3133"/>
      <c r="O483" s="3133"/>
      <c r="P483" s="3133"/>
      <c r="Q483" s="3133"/>
      <c r="R483" s="3133"/>
      <c r="S483" s="3133"/>
      <c r="T483" s="3133"/>
      <c r="U483" s="3133"/>
      <c r="V483" s="3133"/>
      <c r="W483" s="3133"/>
      <c r="X483" s="3133"/>
      <c r="Y483" s="3133"/>
      <c r="Z483" s="3133"/>
      <c r="AA483" s="3133"/>
      <c r="AB483" s="3133"/>
      <c r="AC483" s="3123">
        <f t="shared" si="242"/>
        <v>0</v>
      </c>
      <c r="AD483" s="3143"/>
      <c r="AE483" s="3143"/>
      <c r="AF483" s="3143"/>
      <c r="AG483" s="3143"/>
      <c r="AH483" s="3143"/>
      <c r="AI483" s="3143"/>
      <c r="AJ483" s="3143"/>
      <c r="AK483" s="3143"/>
      <c r="AL483" s="3143"/>
      <c r="AM483" s="3143"/>
      <c r="AN483" s="3143"/>
      <c r="AO483" s="3143"/>
      <c r="AP483" s="3143"/>
      <c r="AQ483" s="3143"/>
      <c r="AR483" s="3143"/>
      <c r="AS483" s="3143"/>
      <c r="AT483" s="3153"/>
      <c r="AU483" s="3154"/>
      <c r="AV483" s="270">
        <f t="shared" si="243"/>
        <v>0</v>
      </c>
      <c r="AW483" s="270">
        <f t="shared" si="244"/>
        <v>0</v>
      </c>
      <c r="AX483" s="270">
        <f t="shared" si="245"/>
        <v>0</v>
      </c>
      <c r="AY483" s="3168">
        <f t="shared" si="246"/>
        <v>0</v>
      </c>
      <c r="AZ483" s="3123">
        <f t="shared" si="247"/>
        <v>0</v>
      </c>
      <c r="BA483" s="3123">
        <f t="shared" si="248"/>
        <v>0</v>
      </c>
      <c r="BB483" s="3123">
        <f t="shared" si="249"/>
        <v>0</v>
      </c>
      <c r="BC483" s="3123">
        <f t="shared" si="250"/>
        <v>0</v>
      </c>
      <c r="BD483" s="3123">
        <f t="shared" si="251"/>
        <v>0</v>
      </c>
      <c r="BE483" s="3123">
        <f t="shared" si="252"/>
        <v>0</v>
      </c>
      <c r="BF483" s="3123">
        <f t="shared" si="253"/>
        <v>0</v>
      </c>
      <c r="BG483" s="3123">
        <f t="shared" si="254"/>
        <v>0</v>
      </c>
      <c r="BH483" s="3123">
        <f t="shared" si="255"/>
        <v>0</v>
      </c>
      <c r="BI483" s="3123">
        <f t="shared" si="256"/>
        <v>0</v>
      </c>
      <c r="BJ483" s="3123">
        <f t="shared" si="257"/>
        <v>0</v>
      </c>
      <c r="BK483" s="3123">
        <f t="shared" si="258"/>
        <v>0</v>
      </c>
      <c r="BL483" s="3123">
        <f t="shared" si="259"/>
        <v>0</v>
      </c>
      <c r="BM483" s="3123">
        <f t="shared" si="260"/>
        <v>0</v>
      </c>
      <c r="BN483" s="3123">
        <f t="shared" si="261"/>
        <v>0</v>
      </c>
      <c r="BO483" s="3123">
        <f t="shared" si="262"/>
        <v>0</v>
      </c>
      <c r="BP483" s="3123">
        <f t="shared" si="263"/>
        <v>0</v>
      </c>
      <c r="BQ483" s="3123">
        <f t="shared" si="264"/>
        <v>0</v>
      </c>
      <c r="BR483" s="3123">
        <f t="shared" si="265"/>
        <v>0</v>
      </c>
      <c r="BS483" s="3123">
        <f t="shared" si="266"/>
        <v>0</v>
      </c>
      <c r="BT483" s="3175">
        <f t="shared" si="267"/>
        <v>0</v>
      </c>
    </row>
    <row r="484" spans="1:72">
      <c r="A484" s="3120"/>
      <c r="B484" s="3121"/>
      <c r="C484" s="3121"/>
      <c r="D484" s="3122"/>
      <c r="E484" s="3123">
        <f t="shared" si="239"/>
        <v>0</v>
      </c>
      <c r="F484" s="3124"/>
      <c r="G484" s="3125">
        <f t="shared" si="240"/>
        <v>0</v>
      </c>
      <c r="H484" s="3126">
        <f t="shared" si="241"/>
        <v>0</v>
      </c>
      <c r="I484" s="3133"/>
      <c r="J484" s="3133"/>
      <c r="K484" s="3133"/>
      <c r="L484" s="3133"/>
      <c r="M484" s="3133"/>
      <c r="N484" s="3133"/>
      <c r="O484" s="3133"/>
      <c r="P484" s="3133"/>
      <c r="Q484" s="3133"/>
      <c r="R484" s="3133"/>
      <c r="S484" s="3133"/>
      <c r="T484" s="3133"/>
      <c r="U484" s="3133"/>
      <c r="V484" s="3133"/>
      <c r="W484" s="3133"/>
      <c r="X484" s="3133"/>
      <c r="Y484" s="3133"/>
      <c r="Z484" s="3133"/>
      <c r="AA484" s="3133"/>
      <c r="AB484" s="3133"/>
      <c r="AC484" s="3123">
        <f t="shared" si="242"/>
        <v>0</v>
      </c>
      <c r="AD484" s="3143"/>
      <c r="AE484" s="3143"/>
      <c r="AF484" s="3143"/>
      <c r="AG484" s="3143"/>
      <c r="AH484" s="3143"/>
      <c r="AI484" s="3143"/>
      <c r="AJ484" s="3143"/>
      <c r="AK484" s="3143"/>
      <c r="AL484" s="3143"/>
      <c r="AM484" s="3143"/>
      <c r="AN484" s="3143"/>
      <c r="AO484" s="3143"/>
      <c r="AP484" s="3143"/>
      <c r="AQ484" s="3143"/>
      <c r="AR484" s="3143"/>
      <c r="AS484" s="3143"/>
      <c r="AT484" s="3153"/>
      <c r="AU484" s="3154"/>
      <c r="AV484" s="270">
        <f t="shared" si="243"/>
        <v>0</v>
      </c>
      <c r="AW484" s="270">
        <f t="shared" si="244"/>
        <v>0</v>
      </c>
      <c r="AX484" s="270">
        <f t="shared" si="245"/>
        <v>0</v>
      </c>
      <c r="AY484" s="3168">
        <f t="shared" si="246"/>
        <v>0</v>
      </c>
      <c r="AZ484" s="3123">
        <f t="shared" si="247"/>
        <v>0</v>
      </c>
      <c r="BA484" s="3123">
        <f t="shared" si="248"/>
        <v>0</v>
      </c>
      <c r="BB484" s="3123">
        <f t="shared" si="249"/>
        <v>0</v>
      </c>
      <c r="BC484" s="3123">
        <f t="shared" si="250"/>
        <v>0</v>
      </c>
      <c r="BD484" s="3123">
        <f t="shared" si="251"/>
        <v>0</v>
      </c>
      <c r="BE484" s="3123">
        <f t="shared" si="252"/>
        <v>0</v>
      </c>
      <c r="BF484" s="3123">
        <f t="shared" si="253"/>
        <v>0</v>
      </c>
      <c r="BG484" s="3123">
        <f t="shared" si="254"/>
        <v>0</v>
      </c>
      <c r="BH484" s="3123">
        <f t="shared" si="255"/>
        <v>0</v>
      </c>
      <c r="BI484" s="3123">
        <f t="shared" si="256"/>
        <v>0</v>
      </c>
      <c r="BJ484" s="3123">
        <f t="shared" si="257"/>
        <v>0</v>
      </c>
      <c r="BK484" s="3123">
        <f t="shared" si="258"/>
        <v>0</v>
      </c>
      <c r="BL484" s="3123">
        <f t="shared" si="259"/>
        <v>0</v>
      </c>
      <c r="BM484" s="3123">
        <f t="shared" si="260"/>
        <v>0</v>
      </c>
      <c r="BN484" s="3123">
        <f t="shared" si="261"/>
        <v>0</v>
      </c>
      <c r="BO484" s="3123">
        <f t="shared" si="262"/>
        <v>0</v>
      </c>
      <c r="BP484" s="3123">
        <f t="shared" si="263"/>
        <v>0</v>
      </c>
      <c r="BQ484" s="3123">
        <f t="shared" si="264"/>
        <v>0</v>
      </c>
      <c r="BR484" s="3123">
        <f t="shared" si="265"/>
        <v>0</v>
      </c>
      <c r="BS484" s="3123">
        <f t="shared" si="266"/>
        <v>0</v>
      </c>
      <c r="BT484" s="3175">
        <f t="shared" si="267"/>
        <v>0</v>
      </c>
    </row>
    <row r="485" spans="1:72">
      <c r="A485" s="3120"/>
      <c r="B485" s="3121"/>
      <c r="C485" s="3121"/>
      <c r="D485" s="3122"/>
      <c r="E485" s="3123">
        <f t="shared" si="239"/>
        <v>0</v>
      </c>
      <c r="F485" s="3124"/>
      <c r="G485" s="3125">
        <f t="shared" si="240"/>
        <v>0</v>
      </c>
      <c r="H485" s="3126">
        <f t="shared" si="241"/>
        <v>0</v>
      </c>
      <c r="I485" s="3133"/>
      <c r="J485" s="3133"/>
      <c r="K485" s="3133"/>
      <c r="L485" s="3133"/>
      <c r="M485" s="3133"/>
      <c r="N485" s="3133"/>
      <c r="O485" s="3133"/>
      <c r="P485" s="3133"/>
      <c r="Q485" s="3133"/>
      <c r="R485" s="3133"/>
      <c r="S485" s="3133"/>
      <c r="T485" s="3133"/>
      <c r="U485" s="3133"/>
      <c r="V485" s="3133"/>
      <c r="W485" s="3133"/>
      <c r="X485" s="3133"/>
      <c r="Y485" s="3133"/>
      <c r="Z485" s="3133"/>
      <c r="AA485" s="3133"/>
      <c r="AB485" s="3133"/>
      <c r="AC485" s="3123">
        <f t="shared" si="242"/>
        <v>0</v>
      </c>
      <c r="AD485" s="3143"/>
      <c r="AE485" s="3143"/>
      <c r="AF485" s="3143"/>
      <c r="AG485" s="3143"/>
      <c r="AH485" s="3143"/>
      <c r="AI485" s="3143"/>
      <c r="AJ485" s="3143"/>
      <c r="AK485" s="3143"/>
      <c r="AL485" s="3143"/>
      <c r="AM485" s="3143"/>
      <c r="AN485" s="3143"/>
      <c r="AO485" s="3143"/>
      <c r="AP485" s="3143"/>
      <c r="AQ485" s="3143"/>
      <c r="AR485" s="3143"/>
      <c r="AS485" s="3143"/>
      <c r="AT485" s="3153"/>
      <c r="AU485" s="3154"/>
      <c r="AV485" s="270">
        <f t="shared" si="243"/>
        <v>0</v>
      </c>
      <c r="AW485" s="270">
        <f t="shared" si="244"/>
        <v>0</v>
      </c>
      <c r="AX485" s="270">
        <f t="shared" si="245"/>
        <v>0</v>
      </c>
      <c r="AY485" s="3168">
        <f t="shared" si="246"/>
        <v>0</v>
      </c>
      <c r="AZ485" s="3123">
        <f t="shared" si="247"/>
        <v>0</v>
      </c>
      <c r="BA485" s="3123">
        <f t="shared" si="248"/>
        <v>0</v>
      </c>
      <c r="BB485" s="3123">
        <f t="shared" si="249"/>
        <v>0</v>
      </c>
      <c r="BC485" s="3123">
        <f t="shared" si="250"/>
        <v>0</v>
      </c>
      <c r="BD485" s="3123">
        <f t="shared" si="251"/>
        <v>0</v>
      </c>
      <c r="BE485" s="3123">
        <f t="shared" si="252"/>
        <v>0</v>
      </c>
      <c r="BF485" s="3123">
        <f t="shared" si="253"/>
        <v>0</v>
      </c>
      <c r="BG485" s="3123">
        <f t="shared" si="254"/>
        <v>0</v>
      </c>
      <c r="BH485" s="3123">
        <f t="shared" si="255"/>
        <v>0</v>
      </c>
      <c r="BI485" s="3123">
        <f t="shared" si="256"/>
        <v>0</v>
      </c>
      <c r="BJ485" s="3123">
        <f t="shared" si="257"/>
        <v>0</v>
      </c>
      <c r="BK485" s="3123">
        <f t="shared" si="258"/>
        <v>0</v>
      </c>
      <c r="BL485" s="3123">
        <f t="shared" si="259"/>
        <v>0</v>
      </c>
      <c r="BM485" s="3123">
        <f t="shared" si="260"/>
        <v>0</v>
      </c>
      <c r="BN485" s="3123">
        <f t="shared" si="261"/>
        <v>0</v>
      </c>
      <c r="BO485" s="3123">
        <f t="shared" si="262"/>
        <v>0</v>
      </c>
      <c r="BP485" s="3123">
        <f t="shared" si="263"/>
        <v>0</v>
      </c>
      <c r="BQ485" s="3123">
        <f t="shared" si="264"/>
        <v>0</v>
      </c>
      <c r="BR485" s="3123">
        <f t="shared" si="265"/>
        <v>0</v>
      </c>
      <c r="BS485" s="3123">
        <f t="shared" si="266"/>
        <v>0</v>
      </c>
      <c r="BT485" s="3175">
        <f t="shared" si="267"/>
        <v>0</v>
      </c>
    </row>
    <row r="486" spans="1:72">
      <c r="A486" s="3120"/>
      <c r="B486" s="3121"/>
      <c r="C486" s="3121"/>
      <c r="D486" s="3122"/>
      <c r="E486" s="3123">
        <f t="shared" si="239"/>
        <v>0</v>
      </c>
      <c r="F486" s="3124"/>
      <c r="G486" s="3125">
        <f t="shared" si="240"/>
        <v>0</v>
      </c>
      <c r="H486" s="3126">
        <f t="shared" si="241"/>
        <v>0</v>
      </c>
      <c r="I486" s="3133"/>
      <c r="J486" s="3133"/>
      <c r="K486" s="3133"/>
      <c r="L486" s="3133"/>
      <c r="M486" s="3133"/>
      <c r="N486" s="3133"/>
      <c r="O486" s="3133"/>
      <c r="P486" s="3133"/>
      <c r="Q486" s="3133"/>
      <c r="R486" s="3133"/>
      <c r="S486" s="3133"/>
      <c r="T486" s="3133"/>
      <c r="U486" s="3133"/>
      <c r="V486" s="3133"/>
      <c r="W486" s="3133"/>
      <c r="X486" s="3133"/>
      <c r="Y486" s="3133"/>
      <c r="Z486" s="3133"/>
      <c r="AA486" s="3133"/>
      <c r="AB486" s="3133"/>
      <c r="AC486" s="3123">
        <f t="shared" si="242"/>
        <v>0</v>
      </c>
      <c r="AD486" s="3143"/>
      <c r="AE486" s="3143"/>
      <c r="AF486" s="3143"/>
      <c r="AG486" s="3143"/>
      <c r="AH486" s="3143"/>
      <c r="AI486" s="3143"/>
      <c r="AJ486" s="3143"/>
      <c r="AK486" s="3143"/>
      <c r="AL486" s="3143"/>
      <c r="AM486" s="3143"/>
      <c r="AN486" s="3143"/>
      <c r="AO486" s="3143"/>
      <c r="AP486" s="3143"/>
      <c r="AQ486" s="3143"/>
      <c r="AR486" s="3143"/>
      <c r="AS486" s="3143"/>
      <c r="AT486" s="3153"/>
      <c r="AU486" s="3154"/>
      <c r="AV486" s="270">
        <f t="shared" si="243"/>
        <v>0</v>
      </c>
      <c r="AW486" s="270">
        <f t="shared" si="244"/>
        <v>0</v>
      </c>
      <c r="AX486" s="270">
        <f t="shared" si="245"/>
        <v>0</v>
      </c>
      <c r="AY486" s="3168">
        <f t="shared" si="246"/>
        <v>0</v>
      </c>
      <c r="AZ486" s="3123">
        <f t="shared" si="247"/>
        <v>0</v>
      </c>
      <c r="BA486" s="3123">
        <f t="shared" si="248"/>
        <v>0</v>
      </c>
      <c r="BB486" s="3123">
        <f t="shared" si="249"/>
        <v>0</v>
      </c>
      <c r="BC486" s="3123">
        <f t="shared" si="250"/>
        <v>0</v>
      </c>
      <c r="BD486" s="3123">
        <f t="shared" si="251"/>
        <v>0</v>
      </c>
      <c r="BE486" s="3123">
        <f t="shared" si="252"/>
        <v>0</v>
      </c>
      <c r="BF486" s="3123">
        <f t="shared" si="253"/>
        <v>0</v>
      </c>
      <c r="BG486" s="3123">
        <f t="shared" si="254"/>
        <v>0</v>
      </c>
      <c r="BH486" s="3123">
        <f t="shared" si="255"/>
        <v>0</v>
      </c>
      <c r="BI486" s="3123">
        <f t="shared" si="256"/>
        <v>0</v>
      </c>
      <c r="BJ486" s="3123">
        <f t="shared" si="257"/>
        <v>0</v>
      </c>
      <c r="BK486" s="3123">
        <f t="shared" si="258"/>
        <v>0</v>
      </c>
      <c r="BL486" s="3123">
        <f t="shared" si="259"/>
        <v>0</v>
      </c>
      <c r="BM486" s="3123">
        <f t="shared" si="260"/>
        <v>0</v>
      </c>
      <c r="BN486" s="3123">
        <f t="shared" si="261"/>
        <v>0</v>
      </c>
      <c r="BO486" s="3123">
        <f t="shared" si="262"/>
        <v>0</v>
      </c>
      <c r="BP486" s="3123">
        <f t="shared" si="263"/>
        <v>0</v>
      </c>
      <c r="BQ486" s="3123">
        <f t="shared" si="264"/>
        <v>0</v>
      </c>
      <c r="BR486" s="3123">
        <f t="shared" si="265"/>
        <v>0</v>
      </c>
      <c r="BS486" s="3123">
        <f t="shared" si="266"/>
        <v>0</v>
      </c>
      <c r="BT486" s="3175">
        <f t="shared" si="267"/>
        <v>0</v>
      </c>
    </row>
    <row r="487" spans="1:72">
      <c r="A487" s="3120"/>
      <c r="B487" s="3121"/>
      <c r="C487" s="3121"/>
      <c r="D487" s="3122"/>
      <c r="E487" s="3123">
        <f t="shared" si="239"/>
        <v>0</v>
      </c>
      <c r="F487" s="3124"/>
      <c r="G487" s="3125">
        <f t="shared" si="240"/>
        <v>0</v>
      </c>
      <c r="H487" s="3126">
        <f t="shared" si="241"/>
        <v>0</v>
      </c>
      <c r="I487" s="3133"/>
      <c r="J487" s="3133"/>
      <c r="K487" s="3133"/>
      <c r="L487" s="3133"/>
      <c r="M487" s="3133"/>
      <c r="N487" s="3133"/>
      <c r="O487" s="3133"/>
      <c r="P487" s="3133"/>
      <c r="Q487" s="3133"/>
      <c r="R487" s="3133"/>
      <c r="S487" s="3133"/>
      <c r="T487" s="3133"/>
      <c r="U487" s="3133"/>
      <c r="V487" s="3133"/>
      <c r="W487" s="3133"/>
      <c r="X487" s="3133"/>
      <c r="Y487" s="3133"/>
      <c r="Z487" s="3133"/>
      <c r="AA487" s="3133"/>
      <c r="AB487" s="3133"/>
      <c r="AC487" s="3123">
        <f t="shared" si="242"/>
        <v>0</v>
      </c>
      <c r="AD487" s="3143"/>
      <c r="AE487" s="3143"/>
      <c r="AF487" s="3143"/>
      <c r="AG487" s="3143"/>
      <c r="AH487" s="3143"/>
      <c r="AI487" s="3143"/>
      <c r="AJ487" s="3143"/>
      <c r="AK487" s="3143"/>
      <c r="AL487" s="3143"/>
      <c r="AM487" s="3143"/>
      <c r="AN487" s="3143"/>
      <c r="AO487" s="3143"/>
      <c r="AP487" s="3143"/>
      <c r="AQ487" s="3143"/>
      <c r="AR487" s="3143"/>
      <c r="AS487" s="3143"/>
      <c r="AT487" s="3153"/>
      <c r="AU487" s="3154"/>
      <c r="AV487" s="270">
        <f t="shared" si="243"/>
        <v>0</v>
      </c>
      <c r="AW487" s="270">
        <f t="shared" si="244"/>
        <v>0</v>
      </c>
      <c r="AX487" s="270">
        <f t="shared" si="245"/>
        <v>0</v>
      </c>
      <c r="AY487" s="3168">
        <f t="shared" si="246"/>
        <v>0</v>
      </c>
      <c r="AZ487" s="3123">
        <f t="shared" si="247"/>
        <v>0</v>
      </c>
      <c r="BA487" s="3123">
        <f t="shared" si="248"/>
        <v>0</v>
      </c>
      <c r="BB487" s="3123">
        <f t="shared" si="249"/>
        <v>0</v>
      </c>
      <c r="BC487" s="3123">
        <f t="shared" si="250"/>
        <v>0</v>
      </c>
      <c r="BD487" s="3123">
        <f t="shared" si="251"/>
        <v>0</v>
      </c>
      <c r="BE487" s="3123">
        <f t="shared" si="252"/>
        <v>0</v>
      </c>
      <c r="BF487" s="3123">
        <f t="shared" si="253"/>
        <v>0</v>
      </c>
      <c r="BG487" s="3123">
        <f t="shared" si="254"/>
        <v>0</v>
      </c>
      <c r="BH487" s="3123">
        <f t="shared" si="255"/>
        <v>0</v>
      </c>
      <c r="BI487" s="3123">
        <f t="shared" si="256"/>
        <v>0</v>
      </c>
      <c r="BJ487" s="3123">
        <f t="shared" si="257"/>
        <v>0</v>
      </c>
      <c r="BK487" s="3123">
        <f t="shared" si="258"/>
        <v>0</v>
      </c>
      <c r="BL487" s="3123">
        <f t="shared" si="259"/>
        <v>0</v>
      </c>
      <c r="BM487" s="3123">
        <f t="shared" si="260"/>
        <v>0</v>
      </c>
      <c r="BN487" s="3123">
        <f t="shared" si="261"/>
        <v>0</v>
      </c>
      <c r="BO487" s="3123">
        <f t="shared" si="262"/>
        <v>0</v>
      </c>
      <c r="BP487" s="3123">
        <f t="shared" si="263"/>
        <v>0</v>
      </c>
      <c r="BQ487" s="3123">
        <f t="shared" si="264"/>
        <v>0</v>
      </c>
      <c r="BR487" s="3123">
        <f t="shared" si="265"/>
        <v>0</v>
      </c>
      <c r="BS487" s="3123">
        <f t="shared" si="266"/>
        <v>0</v>
      </c>
      <c r="BT487" s="3175">
        <f t="shared" si="267"/>
        <v>0</v>
      </c>
    </row>
    <row r="488" spans="1:72">
      <c r="A488" s="3120"/>
      <c r="B488" s="3121"/>
      <c r="C488" s="3121"/>
      <c r="D488" s="3122"/>
      <c r="E488" s="3123">
        <f t="shared" si="239"/>
        <v>0</v>
      </c>
      <c r="F488" s="3124"/>
      <c r="G488" s="3125">
        <f t="shared" si="240"/>
        <v>0</v>
      </c>
      <c r="H488" s="3126">
        <f t="shared" si="241"/>
        <v>0</v>
      </c>
      <c r="I488" s="3133"/>
      <c r="J488" s="3133"/>
      <c r="K488" s="3133"/>
      <c r="L488" s="3133"/>
      <c r="M488" s="3133"/>
      <c r="N488" s="3133"/>
      <c r="O488" s="3133"/>
      <c r="P488" s="3133"/>
      <c r="Q488" s="3133"/>
      <c r="R488" s="3133"/>
      <c r="S488" s="3133"/>
      <c r="T488" s="3133"/>
      <c r="U488" s="3133"/>
      <c r="V488" s="3133"/>
      <c r="W488" s="3133"/>
      <c r="X488" s="3133"/>
      <c r="Y488" s="3133"/>
      <c r="Z488" s="3133"/>
      <c r="AA488" s="3133"/>
      <c r="AB488" s="3133"/>
      <c r="AC488" s="3123">
        <f t="shared" si="242"/>
        <v>0</v>
      </c>
      <c r="AD488" s="3143"/>
      <c r="AE488" s="3143"/>
      <c r="AF488" s="3143"/>
      <c r="AG488" s="3143"/>
      <c r="AH488" s="3143"/>
      <c r="AI488" s="3143"/>
      <c r="AJ488" s="3143"/>
      <c r="AK488" s="3143"/>
      <c r="AL488" s="3143"/>
      <c r="AM488" s="3143"/>
      <c r="AN488" s="3143"/>
      <c r="AO488" s="3143"/>
      <c r="AP488" s="3143"/>
      <c r="AQ488" s="3143"/>
      <c r="AR488" s="3143"/>
      <c r="AS488" s="3143"/>
      <c r="AT488" s="3153"/>
      <c r="AU488" s="3154"/>
      <c r="AV488" s="270">
        <f t="shared" si="243"/>
        <v>0</v>
      </c>
      <c r="AW488" s="270">
        <f t="shared" si="244"/>
        <v>0</v>
      </c>
      <c r="AX488" s="270">
        <f t="shared" si="245"/>
        <v>0</v>
      </c>
      <c r="AY488" s="3168">
        <f t="shared" si="246"/>
        <v>0</v>
      </c>
      <c r="AZ488" s="3123">
        <f t="shared" si="247"/>
        <v>0</v>
      </c>
      <c r="BA488" s="3123">
        <f t="shared" si="248"/>
        <v>0</v>
      </c>
      <c r="BB488" s="3123">
        <f t="shared" si="249"/>
        <v>0</v>
      </c>
      <c r="BC488" s="3123">
        <f t="shared" si="250"/>
        <v>0</v>
      </c>
      <c r="BD488" s="3123">
        <f t="shared" si="251"/>
        <v>0</v>
      </c>
      <c r="BE488" s="3123">
        <f t="shared" si="252"/>
        <v>0</v>
      </c>
      <c r="BF488" s="3123">
        <f t="shared" si="253"/>
        <v>0</v>
      </c>
      <c r="BG488" s="3123">
        <f t="shared" si="254"/>
        <v>0</v>
      </c>
      <c r="BH488" s="3123">
        <f t="shared" si="255"/>
        <v>0</v>
      </c>
      <c r="BI488" s="3123">
        <f t="shared" si="256"/>
        <v>0</v>
      </c>
      <c r="BJ488" s="3123">
        <f t="shared" si="257"/>
        <v>0</v>
      </c>
      <c r="BK488" s="3123">
        <f t="shared" si="258"/>
        <v>0</v>
      </c>
      <c r="BL488" s="3123">
        <f t="shared" si="259"/>
        <v>0</v>
      </c>
      <c r="BM488" s="3123">
        <f t="shared" si="260"/>
        <v>0</v>
      </c>
      <c r="BN488" s="3123">
        <f t="shared" si="261"/>
        <v>0</v>
      </c>
      <c r="BO488" s="3123">
        <f t="shared" si="262"/>
        <v>0</v>
      </c>
      <c r="BP488" s="3123">
        <f t="shared" si="263"/>
        <v>0</v>
      </c>
      <c r="BQ488" s="3123">
        <f t="shared" si="264"/>
        <v>0</v>
      </c>
      <c r="BR488" s="3123">
        <f t="shared" si="265"/>
        <v>0</v>
      </c>
      <c r="BS488" s="3123">
        <f t="shared" si="266"/>
        <v>0</v>
      </c>
      <c r="BT488" s="3175">
        <f t="shared" si="267"/>
        <v>0</v>
      </c>
    </row>
    <row r="489" spans="1:72">
      <c r="A489" s="3120"/>
      <c r="B489" s="3121"/>
      <c r="C489" s="3121"/>
      <c r="D489" s="3122"/>
      <c r="E489" s="3123">
        <f t="shared" si="239"/>
        <v>0</v>
      </c>
      <c r="F489" s="3124"/>
      <c r="G489" s="3125">
        <f t="shared" si="240"/>
        <v>0</v>
      </c>
      <c r="H489" s="3126">
        <f t="shared" si="241"/>
        <v>0</v>
      </c>
      <c r="I489" s="3133"/>
      <c r="J489" s="3133"/>
      <c r="K489" s="3133"/>
      <c r="L489" s="3133"/>
      <c r="M489" s="3133"/>
      <c r="N489" s="3133"/>
      <c r="O489" s="3133"/>
      <c r="P489" s="3133"/>
      <c r="Q489" s="3133"/>
      <c r="R489" s="3133"/>
      <c r="S489" s="3133"/>
      <c r="T489" s="3133"/>
      <c r="U489" s="3133"/>
      <c r="V489" s="3133"/>
      <c r="W489" s="3133"/>
      <c r="X489" s="3133"/>
      <c r="Y489" s="3133"/>
      <c r="Z489" s="3133"/>
      <c r="AA489" s="3133"/>
      <c r="AB489" s="3133"/>
      <c r="AC489" s="3123">
        <f t="shared" si="242"/>
        <v>0</v>
      </c>
      <c r="AD489" s="3143"/>
      <c r="AE489" s="3143"/>
      <c r="AF489" s="3143"/>
      <c r="AG489" s="3143"/>
      <c r="AH489" s="3143"/>
      <c r="AI489" s="3143"/>
      <c r="AJ489" s="3143"/>
      <c r="AK489" s="3143"/>
      <c r="AL489" s="3143"/>
      <c r="AM489" s="3143"/>
      <c r="AN489" s="3143"/>
      <c r="AO489" s="3143"/>
      <c r="AP489" s="3143"/>
      <c r="AQ489" s="3143"/>
      <c r="AR489" s="3143"/>
      <c r="AS489" s="3143"/>
      <c r="AT489" s="3153"/>
      <c r="AU489" s="3154"/>
      <c r="AV489" s="270">
        <f t="shared" si="243"/>
        <v>0</v>
      </c>
      <c r="AW489" s="270">
        <f t="shared" si="244"/>
        <v>0</v>
      </c>
      <c r="AX489" s="270">
        <f t="shared" si="245"/>
        <v>0</v>
      </c>
      <c r="AY489" s="3168">
        <f t="shared" si="246"/>
        <v>0</v>
      </c>
      <c r="AZ489" s="3123">
        <f t="shared" si="247"/>
        <v>0</v>
      </c>
      <c r="BA489" s="3123">
        <f t="shared" si="248"/>
        <v>0</v>
      </c>
      <c r="BB489" s="3123">
        <f t="shared" si="249"/>
        <v>0</v>
      </c>
      <c r="BC489" s="3123">
        <f t="shared" si="250"/>
        <v>0</v>
      </c>
      <c r="BD489" s="3123">
        <f t="shared" si="251"/>
        <v>0</v>
      </c>
      <c r="BE489" s="3123">
        <f t="shared" si="252"/>
        <v>0</v>
      </c>
      <c r="BF489" s="3123">
        <f t="shared" si="253"/>
        <v>0</v>
      </c>
      <c r="BG489" s="3123">
        <f t="shared" si="254"/>
        <v>0</v>
      </c>
      <c r="BH489" s="3123">
        <f t="shared" si="255"/>
        <v>0</v>
      </c>
      <c r="BI489" s="3123">
        <f t="shared" si="256"/>
        <v>0</v>
      </c>
      <c r="BJ489" s="3123">
        <f t="shared" si="257"/>
        <v>0</v>
      </c>
      <c r="BK489" s="3123">
        <f t="shared" si="258"/>
        <v>0</v>
      </c>
      <c r="BL489" s="3123">
        <f t="shared" si="259"/>
        <v>0</v>
      </c>
      <c r="BM489" s="3123">
        <f t="shared" si="260"/>
        <v>0</v>
      </c>
      <c r="BN489" s="3123">
        <f t="shared" si="261"/>
        <v>0</v>
      </c>
      <c r="BO489" s="3123">
        <f t="shared" si="262"/>
        <v>0</v>
      </c>
      <c r="BP489" s="3123">
        <f t="shared" si="263"/>
        <v>0</v>
      </c>
      <c r="BQ489" s="3123">
        <f t="shared" si="264"/>
        <v>0</v>
      </c>
      <c r="BR489" s="3123">
        <f t="shared" si="265"/>
        <v>0</v>
      </c>
      <c r="BS489" s="3123">
        <f t="shared" si="266"/>
        <v>0</v>
      </c>
      <c r="BT489" s="3175">
        <f t="shared" si="267"/>
        <v>0</v>
      </c>
    </row>
    <row r="490" spans="1:72">
      <c r="A490" s="3120"/>
      <c r="B490" s="3120"/>
      <c r="C490" s="3120"/>
      <c r="D490" s="3122"/>
      <c r="E490" s="3123">
        <f t="shared" si="239"/>
        <v>0</v>
      </c>
      <c r="F490" s="3176"/>
      <c r="G490" s="3125">
        <f t="shared" ref="G490:G521" si="268">H490+AC490+AT490</f>
        <v>0</v>
      </c>
      <c r="H490" s="3126">
        <f t="shared" ref="H490:H521" si="269">SUMIF(I$12:AB$12,"总值",I490:AB490)</f>
        <v>0</v>
      </c>
      <c r="I490" s="3177"/>
      <c r="J490" s="3177"/>
      <c r="K490" s="3133"/>
      <c r="L490" s="3133"/>
      <c r="M490" s="3133"/>
      <c r="N490" s="3133"/>
      <c r="O490" s="3133"/>
      <c r="P490" s="3133"/>
      <c r="Q490" s="3133"/>
      <c r="R490" s="3133"/>
      <c r="S490" s="3133"/>
      <c r="T490" s="3133"/>
      <c r="U490" s="3133"/>
      <c r="V490" s="3133"/>
      <c r="W490" s="3133"/>
      <c r="X490" s="3133"/>
      <c r="Y490" s="3133"/>
      <c r="Z490" s="3133"/>
      <c r="AA490" s="3133"/>
      <c r="AB490" s="3133"/>
      <c r="AC490" s="3123">
        <f t="shared" ref="AC490:AC521" si="270">SUMIF(AD$12:AS$12,"总值",AD490:AS490)</f>
        <v>0</v>
      </c>
      <c r="AD490" s="3143"/>
      <c r="AE490" s="3143"/>
      <c r="AF490" s="3143"/>
      <c r="AG490" s="3143"/>
      <c r="AH490" s="3143"/>
      <c r="AI490" s="3143"/>
      <c r="AJ490" s="3143"/>
      <c r="AK490" s="3143"/>
      <c r="AL490" s="3143"/>
      <c r="AM490" s="3143"/>
      <c r="AN490" s="3143"/>
      <c r="AO490" s="3143"/>
      <c r="AP490" s="3143"/>
      <c r="AQ490" s="3143"/>
      <c r="AR490" s="3143"/>
      <c r="AS490" s="3143"/>
      <c r="AT490" s="3143"/>
      <c r="AU490" s="3178"/>
      <c r="AV490" s="270">
        <f t="shared" si="243"/>
        <v>0</v>
      </c>
      <c r="AW490" s="270">
        <f t="shared" si="244"/>
        <v>0</v>
      </c>
      <c r="AX490" s="270">
        <f t="shared" si="245"/>
        <v>0</v>
      </c>
      <c r="AY490" s="3168">
        <f t="shared" ref="AY490:AY521" si="271">ROUND($AY$6*AZ490/$AZ$5,2)</f>
        <v>0</v>
      </c>
      <c r="AZ490" s="3123">
        <f t="shared" ref="AZ490:AZ521" si="272">BA490+BL490</f>
        <v>0</v>
      </c>
      <c r="BA490" s="3123">
        <f t="shared" ref="BA490:BA521" si="273">SUM(BB490:BK490)</f>
        <v>0</v>
      </c>
      <c r="BB490" s="3123">
        <f t="shared" ref="BB490:BB521" si="274">IF($D490="是",I490-J490,0)</f>
        <v>0</v>
      </c>
      <c r="BC490" s="3123">
        <f t="shared" ref="BC490:BC521" si="275">IF($D490="是",K490-L490,0)</f>
        <v>0</v>
      </c>
      <c r="BD490" s="3123">
        <f t="shared" ref="BD490:BD521" si="276">IF($D490="是",M490-N490,0)</f>
        <v>0</v>
      </c>
      <c r="BE490" s="3123">
        <f t="shared" ref="BE490:BE521" si="277">IF($D490="是",O490-P490,0)</f>
        <v>0</v>
      </c>
      <c r="BF490" s="3123">
        <f t="shared" ref="BF490:BF521" si="278">IF($D490="是",Q490-R490,0)</f>
        <v>0</v>
      </c>
      <c r="BG490" s="3123">
        <f t="shared" ref="BG490:BG521" si="279">IF($D490="是",S490-T490,0)</f>
        <v>0</v>
      </c>
      <c r="BH490" s="3123">
        <f t="shared" ref="BH490:BH521" si="280">IF($D490="是",U490-V490,0)</f>
        <v>0</v>
      </c>
      <c r="BI490" s="3123">
        <f t="shared" ref="BI490:BI521" si="281">IF($D490="是",W490-X490,0)</f>
        <v>0</v>
      </c>
      <c r="BJ490" s="3123">
        <f t="shared" ref="BJ490:BJ521" si="282">IF($D490="是",Y490-Z490,0)</f>
        <v>0</v>
      </c>
      <c r="BK490" s="3123">
        <f t="shared" ref="BK490:BK521" si="283">IF($D490="是",AA490-AB490,0)</f>
        <v>0</v>
      </c>
      <c r="BL490" s="3123">
        <f t="shared" ref="BL490:BL521" si="284">SUM(BM490:BT490)</f>
        <v>0</v>
      </c>
      <c r="BM490" s="3123">
        <f t="shared" ref="BM490:BM521" si="285">IF($D490="是",AD490-AE490,0)</f>
        <v>0</v>
      </c>
      <c r="BN490" s="3123">
        <f t="shared" ref="BN490:BN521" si="286">IF($D490="是",AF490-AG490,0)</f>
        <v>0</v>
      </c>
      <c r="BO490" s="3123">
        <f t="shared" ref="BO490:BO521" si="287">IF($D490="是",AH490-AI490,0)</f>
        <v>0</v>
      </c>
      <c r="BP490" s="3123">
        <f t="shared" ref="BP490:BP521" si="288">IF($D490="是",AJ490-AK490,0)</f>
        <v>0</v>
      </c>
      <c r="BQ490" s="3123">
        <f t="shared" ref="BQ490:BQ521" si="289">IF($D490="是",AL490-AM490,0)</f>
        <v>0</v>
      </c>
      <c r="BR490" s="3123">
        <f t="shared" ref="BR490:BR521" si="290">IF($D490="是",AN490-AO490,0)</f>
        <v>0</v>
      </c>
      <c r="BS490" s="3123">
        <f t="shared" ref="BS490:BS521" si="291">IF($D490="是",AP490-AQ490,0)</f>
        <v>0</v>
      </c>
      <c r="BT490" s="3175">
        <f t="shared" ref="BT490:BT521" si="292">IF($D490="是",AR490-AS490,0)</f>
        <v>0</v>
      </c>
    </row>
    <row r="491" spans="1:72">
      <c r="A491" s="3120"/>
      <c r="B491" s="3120"/>
      <c r="C491" s="3120"/>
      <c r="D491" s="3122"/>
      <c r="E491" s="3123">
        <f t="shared" si="239"/>
        <v>0</v>
      </c>
      <c r="F491" s="3176"/>
      <c r="G491" s="3125">
        <f t="shared" si="268"/>
        <v>0</v>
      </c>
      <c r="H491" s="3126">
        <f t="shared" si="269"/>
        <v>0</v>
      </c>
      <c r="I491" s="3133"/>
      <c r="J491" s="3133"/>
      <c r="K491" s="3133"/>
      <c r="L491" s="3133"/>
      <c r="M491" s="3133"/>
      <c r="N491" s="3133"/>
      <c r="O491" s="3133"/>
      <c r="P491" s="3133"/>
      <c r="Q491" s="3133"/>
      <c r="R491" s="3133"/>
      <c r="S491" s="3133"/>
      <c r="T491" s="3133"/>
      <c r="U491" s="3133"/>
      <c r="V491" s="3133"/>
      <c r="W491" s="3133"/>
      <c r="X491" s="3133"/>
      <c r="Y491" s="3133"/>
      <c r="Z491" s="3133"/>
      <c r="AA491" s="3133"/>
      <c r="AB491" s="3133"/>
      <c r="AC491" s="3123">
        <f t="shared" si="270"/>
        <v>0</v>
      </c>
      <c r="AD491" s="3143"/>
      <c r="AE491" s="3143"/>
      <c r="AF491" s="3143"/>
      <c r="AG491" s="3143"/>
      <c r="AH491" s="3143"/>
      <c r="AI491" s="3143"/>
      <c r="AJ491" s="3143"/>
      <c r="AK491" s="3143"/>
      <c r="AL491" s="3143"/>
      <c r="AM491" s="3143"/>
      <c r="AN491" s="3143"/>
      <c r="AO491" s="3143"/>
      <c r="AP491" s="3143"/>
      <c r="AQ491" s="3143"/>
      <c r="AR491" s="3143"/>
      <c r="AS491" s="3143"/>
      <c r="AT491" s="3143"/>
      <c r="AU491" s="3178"/>
      <c r="AV491" s="270">
        <f t="shared" si="243"/>
        <v>0</v>
      </c>
      <c r="AW491" s="270">
        <f t="shared" si="244"/>
        <v>0</v>
      </c>
      <c r="AX491" s="270">
        <f t="shared" si="245"/>
        <v>0</v>
      </c>
      <c r="AY491" s="3168">
        <f t="shared" si="271"/>
        <v>0</v>
      </c>
      <c r="AZ491" s="3123">
        <f t="shared" si="272"/>
        <v>0</v>
      </c>
      <c r="BA491" s="3123">
        <f t="shared" si="273"/>
        <v>0</v>
      </c>
      <c r="BB491" s="3123">
        <f t="shared" si="274"/>
        <v>0</v>
      </c>
      <c r="BC491" s="3123">
        <f t="shared" si="275"/>
        <v>0</v>
      </c>
      <c r="BD491" s="3123">
        <f t="shared" si="276"/>
        <v>0</v>
      </c>
      <c r="BE491" s="3123">
        <f t="shared" si="277"/>
        <v>0</v>
      </c>
      <c r="BF491" s="3123">
        <f t="shared" si="278"/>
        <v>0</v>
      </c>
      <c r="BG491" s="3123">
        <f t="shared" si="279"/>
        <v>0</v>
      </c>
      <c r="BH491" s="3123">
        <f t="shared" si="280"/>
        <v>0</v>
      </c>
      <c r="BI491" s="3123">
        <f t="shared" si="281"/>
        <v>0</v>
      </c>
      <c r="BJ491" s="3123">
        <f t="shared" si="282"/>
        <v>0</v>
      </c>
      <c r="BK491" s="3123">
        <f t="shared" si="283"/>
        <v>0</v>
      </c>
      <c r="BL491" s="3123">
        <f t="shared" si="284"/>
        <v>0</v>
      </c>
      <c r="BM491" s="3123">
        <f t="shared" si="285"/>
        <v>0</v>
      </c>
      <c r="BN491" s="3123">
        <f t="shared" si="286"/>
        <v>0</v>
      </c>
      <c r="BO491" s="3123">
        <f t="shared" si="287"/>
        <v>0</v>
      </c>
      <c r="BP491" s="3123">
        <f t="shared" si="288"/>
        <v>0</v>
      </c>
      <c r="BQ491" s="3123">
        <f t="shared" si="289"/>
        <v>0</v>
      </c>
      <c r="BR491" s="3123">
        <f t="shared" si="290"/>
        <v>0</v>
      </c>
      <c r="BS491" s="3123">
        <f t="shared" si="291"/>
        <v>0</v>
      </c>
      <c r="BT491" s="3175">
        <f t="shared" si="292"/>
        <v>0</v>
      </c>
    </row>
    <row r="492" spans="1:72">
      <c r="A492" s="3120"/>
      <c r="B492" s="3120"/>
      <c r="C492" s="3120"/>
      <c r="D492" s="3122"/>
      <c r="E492" s="3123">
        <f t="shared" si="239"/>
        <v>0</v>
      </c>
      <c r="F492" s="3176"/>
      <c r="G492" s="3125">
        <f t="shared" si="268"/>
        <v>0</v>
      </c>
      <c r="H492" s="3126">
        <f t="shared" si="269"/>
        <v>0</v>
      </c>
      <c r="I492" s="3133"/>
      <c r="J492" s="3133"/>
      <c r="K492" s="3133"/>
      <c r="L492" s="3133"/>
      <c r="M492" s="3133"/>
      <c r="N492" s="3133"/>
      <c r="O492" s="3133"/>
      <c r="P492" s="3133"/>
      <c r="Q492" s="3133"/>
      <c r="R492" s="3133"/>
      <c r="S492" s="3133"/>
      <c r="T492" s="3133"/>
      <c r="U492" s="3133"/>
      <c r="V492" s="3133"/>
      <c r="W492" s="3133"/>
      <c r="X492" s="3133"/>
      <c r="Y492" s="3133"/>
      <c r="Z492" s="3133"/>
      <c r="AA492" s="3133"/>
      <c r="AB492" s="3133"/>
      <c r="AC492" s="3123">
        <f t="shared" si="270"/>
        <v>0</v>
      </c>
      <c r="AD492" s="3143"/>
      <c r="AE492" s="3143"/>
      <c r="AF492" s="3143"/>
      <c r="AG492" s="3143"/>
      <c r="AH492" s="3143"/>
      <c r="AI492" s="3143"/>
      <c r="AJ492" s="3143"/>
      <c r="AK492" s="3143"/>
      <c r="AL492" s="3143"/>
      <c r="AM492" s="3143"/>
      <c r="AN492" s="3143"/>
      <c r="AO492" s="3143"/>
      <c r="AP492" s="3143"/>
      <c r="AQ492" s="3143"/>
      <c r="AR492" s="3143"/>
      <c r="AS492" s="3143"/>
      <c r="AT492" s="3143"/>
      <c r="AU492" s="3178"/>
      <c r="AV492" s="270">
        <f t="shared" si="243"/>
        <v>0</v>
      </c>
      <c r="AW492" s="270">
        <f t="shared" si="244"/>
        <v>0</v>
      </c>
      <c r="AX492" s="270">
        <f t="shared" si="245"/>
        <v>0</v>
      </c>
      <c r="AY492" s="3168">
        <f t="shared" si="271"/>
        <v>0</v>
      </c>
      <c r="AZ492" s="3123">
        <f t="shared" si="272"/>
        <v>0</v>
      </c>
      <c r="BA492" s="3123">
        <f t="shared" si="273"/>
        <v>0</v>
      </c>
      <c r="BB492" s="3123">
        <f t="shared" si="274"/>
        <v>0</v>
      </c>
      <c r="BC492" s="3123">
        <f t="shared" si="275"/>
        <v>0</v>
      </c>
      <c r="BD492" s="3123">
        <f t="shared" si="276"/>
        <v>0</v>
      </c>
      <c r="BE492" s="3123">
        <f t="shared" si="277"/>
        <v>0</v>
      </c>
      <c r="BF492" s="3123">
        <f t="shared" si="278"/>
        <v>0</v>
      </c>
      <c r="BG492" s="3123">
        <f t="shared" si="279"/>
        <v>0</v>
      </c>
      <c r="BH492" s="3123">
        <f t="shared" si="280"/>
        <v>0</v>
      </c>
      <c r="BI492" s="3123">
        <f t="shared" si="281"/>
        <v>0</v>
      </c>
      <c r="BJ492" s="3123">
        <f t="shared" si="282"/>
        <v>0</v>
      </c>
      <c r="BK492" s="3123">
        <f t="shared" si="283"/>
        <v>0</v>
      </c>
      <c r="BL492" s="3123">
        <f t="shared" si="284"/>
        <v>0</v>
      </c>
      <c r="BM492" s="3123">
        <f t="shared" si="285"/>
        <v>0</v>
      </c>
      <c r="BN492" s="3123">
        <f t="shared" si="286"/>
        <v>0</v>
      </c>
      <c r="BO492" s="3123">
        <f t="shared" si="287"/>
        <v>0</v>
      </c>
      <c r="BP492" s="3123">
        <f t="shared" si="288"/>
        <v>0</v>
      </c>
      <c r="BQ492" s="3123">
        <f t="shared" si="289"/>
        <v>0</v>
      </c>
      <c r="BR492" s="3123">
        <f t="shared" si="290"/>
        <v>0</v>
      </c>
      <c r="BS492" s="3123">
        <f t="shared" si="291"/>
        <v>0</v>
      </c>
      <c r="BT492" s="3175">
        <f t="shared" si="292"/>
        <v>0</v>
      </c>
    </row>
    <row r="493" spans="1:72">
      <c r="A493" s="3120"/>
      <c r="B493" s="3121"/>
      <c r="C493" s="3121"/>
      <c r="D493" s="3122"/>
      <c r="E493" s="3123">
        <f t="shared" ref="E493:E519" si="293">IF($C$3="是",ROUND($A$3*G493/$B$3,2),ROUND($A$3*(G493-AT493)/$B$3,2))</f>
        <v>0</v>
      </c>
      <c r="F493" s="3124"/>
      <c r="G493" s="3125">
        <f t="shared" si="268"/>
        <v>0</v>
      </c>
      <c r="H493" s="3126">
        <f t="shared" si="269"/>
        <v>0</v>
      </c>
      <c r="I493" s="3133"/>
      <c r="J493" s="3133"/>
      <c r="K493" s="3133"/>
      <c r="L493" s="3133"/>
      <c r="M493" s="3133"/>
      <c r="N493" s="3133"/>
      <c r="O493" s="3133"/>
      <c r="P493" s="3133"/>
      <c r="Q493" s="3133"/>
      <c r="R493" s="3133"/>
      <c r="S493" s="3133"/>
      <c r="T493" s="3133"/>
      <c r="U493" s="3133"/>
      <c r="V493" s="3133"/>
      <c r="W493" s="3133"/>
      <c r="X493" s="3133"/>
      <c r="Y493" s="3133"/>
      <c r="Z493" s="3133"/>
      <c r="AA493" s="3133"/>
      <c r="AB493" s="3133"/>
      <c r="AC493" s="3123">
        <f t="shared" si="270"/>
        <v>0</v>
      </c>
      <c r="AD493" s="3143"/>
      <c r="AE493" s="3143"/>
      <c r="AF493" s="3143"/>
      <c r="AG493" s="3143"/>
      <c r="AH493" s="3143"/>
      <c r="AI493" s="3143"/>
      <c r="AJ493" s="3143"/>
      <c r="AK493" s="3143"/>
      <c r="AL493" s="3143"/>
      <c r="AM493" s="3143"/>
      <c r="AN493" s="3143"/>
      <c r="AO493" s="3143"/>
      <c r="AP493" s="3143"/>
      <c r="AQ493" s="3143"/>
      <c r="AR493" s="3143"/>
      <c r="AS493" s="3143"/>
      <c r="AT493" s="3153"/>
      <c r="AU493" s="3154"/>
      <c r="AV493" s="270">
        <f t="shared" ref="AV493:AV520" si="294">A493</f>
        <v>0</v>
      </c>
      <c r="AW493" s="270">
        <f t="shared" ref="AW493:AW520" si="295">B493</f>
        <v>0</v>
      </c>
      <c r="AX493" s="270">
        <f t="shared" ref="AX493:AX520" si="296">C493</f>
        <v>0</v>
      </c>
      <c r="AY493" s="3168">
        <f t="shared" si="271"/>
        <v>0</v>
      </c>
      <c r="AZ493" s="3123">
        <f t="shared" si="272"/>
        <v>0</v>
      </c>
      <c r="BA493" s="3123">
        <f t="shared" si="273"/>
        <v>0</v>
      </c>
      <c r="BB493" s="3123">
        <f t="shared" si="274"/>
        <v>0</v>
      </c>
      <c r="BC493" s="3123">
        <f t="shared" si="275"/>
        <v>0</v>
      </c>
      <c r="BD493" s="3123">
        <f t="shared" si="276"/>
        <v>0</v>
      </c>
      <c r="BE493" s="3123">
        <f t="shared" si="277"/>
        <v>0</v>
      </c>
      <c r="BF493" s="3123">
        <f t="shared" si="278"/>
        <v>0</v>
      </c>
      <c r="BG493" s="3123">
        <f t="shared" si="279"/>
        <v>0</v>
      </c>
      <c r="BH493" s="3123">
        <f t="shared" si="280"/>
        <v>0</v>
      </c>
      <c r="BI493" s="3123">
        <f t="shared" si="281"/>
        <v>0</v>
      </c>
      <c r="BJ493" s="3123">
        <f t="shared" si="282"/>
        <v>0</v>
      </c>
      <c r="BK493" s="3123">
        <f t="shared" si="283"/>
        <v>0</v>
      </c>
      <c r="BL493" s="3123">
        <f t="shared" si="284"/>
        <v>0</v>
      </c>
      <c r="BM493" s="3123">
        <f t="shared" si="285"/>
        <v>0</v>
      </c>
      <c r="BN493" s="3123">
        <f t="shared" si="286"/>
        <v>0</v>
      </c>
      <c r="BO493" s="3123">
        <f t="shared" si="287"/>
        <v>0</v>
      </c>
      <c r="BP493" s="3123">
        <f t="shared" si="288"/>
        <v>0</v>
      </c>
      <c r="BQ493" s="3123">
        <f t="shared" si="289"/>
        <v>0</v>
      </c>
      <c r="BR493" s="3123">
        <f t="shared" si="290"/>
        <v>0</v>
      </c>
      <c r="BS493" s="3123">
        <f t="shared" si="291"/>
        <v>0</v>
      </c>
      <c r="BT493" s="3175">
        <f t="shared" si="292"/>
        <v>0</v>
      </c>
    </row>
    <row r="494" spans="1:72">
      <c r="A494" s="3120"/>
      <c r="B494" s="3121"/>
      <c r="C494" s="3121"/>
      <c r="D494" s="3122"/>
      <c r="E494" s="3123">
        <f t="shared" si="293"/>
        <v>0</v>
      </c>
      <c r="F494" s="3124"/>
      <c r="G494" s="3125">
        <f t="shared" si="268"/>
        <v>0</v>
      </c>
      <c r="H494" s="3126">
        <f t="shared" si="269"/>
        <v>0</v>
      </c>
      <c r="I494" s="3133"/>
      <c r="J494" s="3133"/>
      <c r="K494" s="3133"/>
      <c r="L494" s="3133"/>
      <c r="M494" s="3133"/>
      <c r="N494" s="3133"/>
      <c r="O494" s="3133"/>
      <c r="P494" s="3133"/>
      <c r="Q494" s="3133"/>
      <c r="R494" s="3133"/>
      <c r="S494" s="3133"/>
      <c r="T494" s="3133"/>
      <c r="U494" s="3133"/>
      <c r="V494" s="3133"/>
      <c r="W494" s="3133"/>
      <c r="X494" s="3133"/>
      <c r="Y494" s="3133"/>
      <c r="Z494" s="3133"/>
      <c r="AA494" s="3133"/>
      <c r="AB494" s="3133"/>
      <c r="AC494" s="3123">
        <f t="shared" si="270"/>
        <v>0</v>
      </c>
      <c r="AD494" s="3143"/>
      <c r="AE494" s="3143"/>
      <c r="AF494" s="3143"/>
      <c r="AG494" s="3143"/>
      <c r="AH494" s="3143"/>
      <c r="AI494" s="3143"/>
      <c r="AJ494" s="3143"/>
      <c r="AK494" s="3143"/>
      <c r="AL494" s="3143"/>
      <c r="AM494" s="3143"/>
      <c r="AN494" s="3143"/>
      <c r="AO494" s="3143"/>
      <c r="AP494" s="3143"/>
      <c r="AQ494" s="3143"/>
      <c r="AR494" s="3143"/>
      <c r="AS494" s="3143"/>
      <c r="AT494" s="3153"/>
      <c r="AU494" s="3154"/>
      <c r="AV494" s="270">
        <f t="shared" si="294"/>
        <v>0</v>
      </c>
      <c r="AW494" s="270">
        <f t="shared" si="295"/>
        <v>0</v>
      </c>
      <c r="AX494" s="270">
        <f t="shared" si="296"/>
        <v>0</v>
      </c>
      <c r="AY494" s="3168">
        <f t="shared" si="271"/>
        <v>0</v>
      </c>
      <c r="AZ494" s="3123">
        <f t="shared" si="272"/>
        <v>0</v>
      </c>
      <c r="BA494" s="3123">
        <f t="shared" si="273"/>
        <v>0</v>
      </c>
      <c r="BB494" s="3123">
        <f t="shared" si="274"/>
        <v>0</v>
      </c>
      <c r="BC494" s="3123">
        <f t="shared" si="275"/>
        <v>0</v>
      </c>
      <c r="BD494" s="3123">
        <f t="shared" si="276"/>
        <v>0</v>
      </c>
      <c r="BE494" s="3123">
        <f t="shared" si="277"/>
        <v>0</v>
      </c>
      <c r="BF494" s="3123">
        <f t="shared" si="278"/>
        <v>0</v>
      </c>
      <c r="BG494" s="3123">
        <f t="shared" si="279"/>
        <v>0</v>
      </c>
      <c r="BH494" s="3123">
        <f t="shared" si="280"/>
        <v>0</v>
      </c>
      <c r="BI494" s="3123">
        <f t="shared" si="281"/>
        <v>0</v>
      </c>
      <c r="BJ494" s="3123">
        <f t="shared" si="282"/>
        <v>0</v>
      </c>
      <c r="BK494" s="3123">
        <f t="shared" si="283"/>
        <v>0</v>
      </c>
      <c r="BL494" s="3123">
        <f t="shared" si="284"/>
        <v>0</v>
      </c>
      <c r="BM494" s="3123">
        <f t="shared" si="285"/>
        <v>0</v>
      </c>
      <c r="BN494" s="3123">
        <f t="shared" si="286"/>
        <v>0</v>
      </c>
      <c r="BO494" s="3123">
        <f t="shared" si="287"/>
        <v>0</v>
      </c>
      <c r="BP494" s="3123">
        <f t="shared" si="288"/>
        <v>0</v>
      </c>
      <c r="BQ494" s="3123">
        <f t="shared" si="289"/>
        <v>0</v>
      </c>
      <c r="BR494" s="3123">
        <f t="shared" si="290"/>
        <v>0</v>
      </c>
      <c r="BS494" s="3123">
        <f t="shared" si="291"/>
        <v>0</v>
      </c>
      <c r="BT494" s="3175">
        <f t="shared" si="292"/>
        <v>0</v>
      </c>
    </row>
    <row r="495" spans="1:72">
      <c r="A495" s="3120"/>
      <c r="B495" s="3121"/>
      <c r="C495" s="3121"/>
      <c r="D495" s="3122"/>
      <c r="E495" s="3123">
        <f t="shared" si="293"/>
        <v>0</v>
      </c>
      <c r="F495" s="3124"/>
      <c r="G495" s="3125">
        <f t="shared" si="268"/>
        <v>0</v>
      </c>
      <c r="H495" s="3126">
        <f t="shared" si="269"/>
        <v>0</v>
      </c>
      <c r="I495" s="3133"/>
      <c r="J495" s="3133"/>
      <c r="K495" s="3133"/>
      <c r="L495" s="3133"/>
      <c r="M495" s="3133"/>
      <c r="N495" s="3133"/>
      <c r="O495" s="3133"/>
      <c r="P495" s="3133"/>
      <c r="Q495" s="3133"/>
      <c r="R495" s="3133"/>
      <c r="S495" s="3133"/>
      <c r="T495" s="3133"/>
      <c r="U495" s="3133"/>
      <c r="V495" s="3133"/>
      <c r="W495" s="3133"/>
      <c r="X495" s="3133"/>
      <c r="Y495" s="3133"/>
      <c r="Z495" s="3133"/>
      <c r="AA495" s="3133"/>
      <c r="AB495" s="3133"/>
      <c r="AC495" s="3123">
        <f t="shared" si="270"/>
        <v>0</v>
      </c>
      <c r="AD495" s="3143"/>
      <c r="AE495" s="3143"/>
      <c r="AF495" s="3143"/>
      <c r="AG495" s="3143"/>
      <c r="AH495" s="3143"/>
      <c r="AI495" s="3143"/>
      <c r="AJ495" s="3143"/>
      <c r="AK495" s="3143"/>
      <c r="AL495" s="3143"/>
      <c r="AM495" s="3143"/>
      <c r="AN495" s="3143"/>
      <c r="AO495" s="3143"/>
      <c r="AP495" s="3143"/>
      <c r="AQ495" s="3143"/>
      <c r="AR495" s="3143"/>
      <c r="AS495" s="3143"/>
      <c r="AT495" s="3153"/>
      <c r="AU495" s="3154"/>
      <c r="AV495" s="270">
        <f t="shared" si="294"/>
        <v>0</v>
      </c>
      <c r="AW495" s="270">
        <f t="shared" si="295"/>
        <v>0</v>
      </c>
      <c r="AX495" s="270">
        <f t="shared" si="296"/>
        <v>0</v>
      </c>
      <c r="AY495" s="3168">
        <f t="shared" si="271"/>
        <v>0</v>
      </c>
      <c r="AZ495" s="3123">
        <f t="shared" si="272"/>
        <v>0</v>
      </c>
      <c r="BA495" s="3123">
        <f t="shared" si="273"/>
        <v>0</v>
      </c>
      <c r="BB495" s="3123">
        <f t="shared" si="274"/>
        <v>0</v>
      </c>
      <c r="BC495" s="3123">
        <f t="shared" si="275"/>
        <v>0</v>
      </c>
      <c r="BD495" s="3123">
        <f t="shared" si="276"/>
        <v>0</v>
      </c>
      <c r="BE495" s="3123">
        <f t="shared" si="277"/>
        <v>0</v>
      </c>
      <c r="BF495" s="3123">
        <f t="shared" si="278"/>
        <v>0</v>
      </c>
      <c r="BG495" s="3123">
        <f t="shared" si="279"/>
        <v>0</v>
      </c>
      <c r="BH495" s="3123">
        <f t="shared" si="280"/>
        <v>0</v>
      </c>
      <c r="BI495" s="3123">
        <f t="shared" si="281"/>
        <v>0</v>
      </c>
      <c r="BJ495" s="3123">
        <f t="shared" si="282"/>
        <v>0</v>
      </c>
      <c r="BK495" s="3123">
        <f t="shared" si="283"/>
        <v>0</v>
      </c>
      <c r="BL495" s="3123">
        <f t="shared" si="284"/>
        <v>0</v>
      </c>
      <c r="BM495" s="3123">
        <f t="shared" si="285"/>
        <v>0</v>
      </c>
      <c r="BN495" s="3123">
        <f t="shared" si="286"/>
        <v>0</v>
      </c>
      <c r="BO495" s="3123">
        <f t="shared" si="287"/>
        <v>0</v>
      </c>
      <c r="BP495" s="3123">
        <f t="shared" si="288"/>
        <v>0</v>
      </c>
      <c r="BQ495" s="3123">
        <f t="shared" si="289"/>
        <v>0</v>
      </c>
      <c r="BR495" s="3123">
        <f t="shared" si="290"/>
        <v>0</v>
      </c>
      <c r="BS495" s="3123">
        <f t="shared" si="291"/>
        <v>0</v>
      </c>
      <c r="BT495" s="3175">
        <f t="shared" si="292"/>
        <v>0</v>
      </c>
    </row>
    <row r="496" spans="1:72">
      <c r="A496" s="3120"/>
      <c r="B496" s="3121"/>
      <c r="C496" s="3121"/>
      <c r="D496" s="3122"/>
      <c r="E496" s="3123">
        <f t="shared" si="293"/>
        <v>0</v>
      </c>
      <c r="F496" s="3124"/>
      <c r="G496" s="3125">
        <f t="shared" si="268"/>
        <v>0</v>
      </c>
      <c r="H496" s="3126">
        <f t="shared" si="269"/>
        <v>0</v>
      </c>
      <c r="I496" s="3133"/>
      <c r="J496" s="3133"/>
      <c r="K496" s="3133"/>
      <c r="L496" s="3133"/>
      <c r="M496" s="3133"/>
      <c r="N496" s="3133"/>
      <c r="O496" s="3133"/>
      <c r="P496" s="3133"/>
      <c r="Q496" s="3133"/>
      <c r="R496" s="3133"/>
      <c r="S496" s="3133"/>
      <c r="T496" s="3133"/>
      <c r="U496" s="3133"/>
      <c r="V496" s="3133"/>
      <c r="W496" s="3133"/>
      <c r="X496" s="3133"/>
      <c r="Y496" s="3133"/>
      <c r="Z496" s="3133"/>
      <c r="AA496" s="3133"/>
      <c r="AB496" s="3133"/>
      <c r="AC496" s="3123">
        <f t="shared" si="270"/>
        <v>0</v>
      </c>
      <c r="AD496" s="3143"/>
      <c r="AE496" s="3143"/>
      <c r="AF496" s="3143"/>
      <c r="AG496" s="3143"/>
      <c r="AH496" s="3143"/>
      <c r="AI496" s="3143"/>
      <c r="AJ496" s="3143"/>
      <c r="AK496" s="3143"/>
      <c r="AL496" s="3143"/>
      <c r="AM496" s="3143"/>
      <c r="AN496" s="3143"/>
      <c r="AO496" s="3143"/>
      <c r="AP496" s="3143"/>
      <c r="AQ496" s="3143"/>
      <c r="AR496" s="3143"/>
      <c r="AS496" s="3143"/>
      <c r="AT496" s="3153"/>
      <c r="AU496" s="3154"/>
      <c r="AV496" s="270">
        <f t="shared" si="294"/>
        <v>0</v>
      </c>
      <c r="AW496" s="270">
        <f t="shared" si="295"/>
        <v>0</v>
      </c>
      <c r="AX496" s="270">
        <f t="shared" si="296"/>
        <v>0</v>
      </c>
      <c r="AY496" s="3168">
        <f t="shared" si="271"/>
        <v>0</v>
      </c>
      <c r="AZ496" s="3123">
        <f t="shared" si="272"/>
        <v>0</v>
      </c>
      <c r="BA496" s="3123">
        <f t="shared" si="273"/>
        <v>0</v>
      </c>
      <c r="BB496" s="3123">
        <f t="shared" si="274"/>
        <v>0</v>
      </c>
      <c r="BC496" s="3123">
        <f t="shared" si="275"/>
        <v>0</v>
      </c>
      <c r="BD496" s="3123">
        <f t="shared" si="276"/>
        <v>0</v>
      </c>
      <c r="BE496" s="3123">
        <f t="shared" si="277"/>
        <v>0</v>
      </c>
      <c r="BF496" s="3123">
        <f t="shared" si="278"/>
        <v>0</v>
      </c>
      <c r="BG496" s="3123">
        <f t="shared" si="279"/>
        <v>0</v>
      </c>
      <c r="BH496" s="3123">
        <f t="shared" si="280"/>
        <v>0</v>
      </c>
      <c r="BI496" s="3123">
        <f t="shared" si="281"/>
        <v>0</v>
      </c>
      <c r="BJ496" s="3123">
        <f t="shared" si="282"/>
        <v>0</v>
      </c>
      <c r="BK496" s="3123">
        <f t="shared" si="283"/>
        <v>0</v>
      </c>
      <c r="BL496" s="3123">
        <f t="shared" si="284"/>
        <v>0</v>
      </c>
      <c r="BM496" s="3123">
        <f t="shared" si="285"/>
        <v>0</v>
      </c>
      <c r="BN496" s="3123">
        <f t="shared" si="286"/>
        <v>0</v>
      </c>
      <c r="BO496" s="3123">
        <f t="shared" si="287"/>
        <v>0</v>
      </c>
      <c r="BP496" s="3123">
        <f t="shared" si="288"/>
        <v>0</v>
      </c>
      <c r="BQ496" s="3123">
        <f t="shared" si="289"/>
        <v>0</v>
      </c>
      <c r="BR496" s="3123">
        <f t="shared" si="290"/>
        <v>0</v>
      </c>
      <c r="BS496" s="3123">
        <f t="shared" si="291"/>
        <v>0</v>
      </c>
      <c r="BT496" s="3175">
        <f t="shared" si="292"/>
        <v>0</v>
      </c>
    </row>
    <row r="497" spans="1:72">
      <c r="A497" s="3120"/>
      <c r="B497" s="3121"/>
      <c r="C497" s="3121"/>
      <c r="D497" s="3122"/>
      <c r="E497" s="3123">
        <f t="shared" si="293"/>
        <v>0</v>
      </c>
      <c r="F497" s="3124"/>
      <c r="G497" s="3125">
        <f t="shared" si="268"/>
        <v>0</v>
      </c>
      <c r="H497" s="3126">
        <f t="shared" si="269"/>
        <v>0</v>
      </c>
      <c r="I497" s="3133"/>
      <c r="J497" s="3133"/>
      <c r="K497" s="3133"/>
      <c r="L497" s="3133"/>
      <c r="M497" s="3133"/>
      <c r="N497" s="3133"/>
      <c r="O497" s="3133"/>
      <c r="P497" s="3133"/>
      <c r="Q497" s="3133"/>
      <c r="R497" s="3133"/>
      <c r="S497" s="3133"/>
      <c r="T497" s="3133"/>
      <c r="U497" s="3133"/>
      <c r="V497" s="3133"/>
      <c r="W497" s="3133"/>
      <c r="X497" s="3133"/>
      <c r="Y497" s="3133"/>
      <c r="Z497" s="3133"/>
      <c r="AA497" s="3133"/>
      <c r="AB497" s="3133"/>
      <c r="AC497" s="3123">
        <f t="shared" si="270"/>
        <v>0</v>
      </c>
      <c r="AD497" s="3143"/>
      <c r="AE497" s="3143"/>
      <c r="AF497" s="3143"/>
      <c r="AG497" s="3143"/>
      <c r="AH497" s="3143"/>
      <c r="AI497" s="3143"/>
      <c r="AJ497" s="3143"/>
      <c r="AK497" s="3143"/>
      <c r="AL497" s="3143"/>
      <c r="AM497" s="3143"/>
      <c r="AN497" s="3143"/>
      <c r="AO497" s="3143"/>
      <c r="AP497" s="3143"/>
      <c r="AQ497" s="3143"/>
      <c r="AR497" s="3143"/>
      <c r="AS497" s="3143"/>
      <c r="AT497" s="3153"/>
      <c r="AU497" s="3154"/>
      <c r="AV497" s="270">
        <f t="shared" si="294"/>
        <v>0</v>
      </c>
      <c r="AW497" s="270">
        <f t="shared" si="295"/>
        <v>0</v>
      </c>
      <c r="AX497" s="270">
        <f t="shared" si="296"/>
        <v>0</v>
      </c>
      <c r="AY497" s="3168">
        <f t="shared" si="271"/>
        <v>0</v>
      </c>
      <c r="AZ497" s="3123">
        <f t="shared" si="272"/>
        <v>0</v>
      </c>
      <c r="BA497" s="3123">
        <f t="shared" si="273"/>
        <v>0</v>
      </c>
      <c r="BB497" s="3123">
        <f t="shared" si="274"/>
        <v>0</v>
      </c>
      <c r="BC497" s="3123">
        <f t="shared" si="275"/>
        <v>0</v>
      </c>
      <c r="BD497" s="3123">
        <f t="shared" si="276"/>
        <v>0</v>
      </c>
      <c r="BE497" s="3123">
        <f t="shared" si="277"/>
        <v>0</v>
      </c>
      <c r="BF497" s="3123">
        <f t="shared" si="278"/>
        <v>0</v>
      </c>
      <c r="BG497" s="3123">
        <f t="shared" si="279"/>
        <v>0</v>
      </c>
      <c r="BH497" s="3123">
        <f t="shared" si="280"/>
        <v>0</v>
      </c>
      <c r="BI497" s="3123">
        <f t="shared" si="281"/>
        <v>0</v>
      </c>
      <c r="BJ497" s="3123">
        <f t="shared" si="282"/>
        <v>0</v>
      </c>
      <c r="BK497" s="3123">
        <f t="shared" si="283"/>
        <v>0</v>
      </c>
      <c r="BL497" s="3123">
        <f t="shared" si="284"/>
        <v>0</v>
      </c>
      <c r="BM497" s="3123">
        <f t="shared" si="285"/>
        <v>0</v>
      </c>
      <c r="BN497" s="3123">
        <f t="shared" si="286"/>
        <v>0</v>
      </c>
      <c r="BO497" s="3123">
        <f t="shared" si="287"/>
        <v>0</v>
      </c>
      <c r="BP497" s="3123">
        <f t="shared" si="288"/>
        <v>0</v>
      </c>
      <c r="BQ497" s="3123">
        <f t="shared" si="289"/>
        <v>0</v>
      </c>
      <c r="BR497" s="3123">
        <f t="shared" si="290"/>
        <v>0</v>
      </c>
      <c r="BS497" s="3123">
        <f t="shared" si="291"/>
        <v>0</v>
      </c>
      <c r="BT497" s="3175">
        <f t="shared" si="292"/>
        <v>0</v>
      </c>
    </row>
    <row r="498" spans="1:72">
      <c r="A498" s="3120"/>
      <c r="B498" s="3121"/>
      <c r="C498" s="3121"/>
      <c r="D498" s="3122"/>
      <c r="E498" s="3123">
        <f t="shared" si="293"/>
        <v>0</v>
      </c>
      <c r="F498" s="3124"/>
      <c r="G498" s="3125">
        <f t="shared" si="268"/>
        <v>0</v>
      </c>
      <c r="H498" s="3126">
        <f t="shared" si="269"/>
        <v>0</v>
      </c>
      <c r="I498" s="3133"/>
      <c r="J498" s="3133"/>
      <c r="K498" s="3133"/>
      <c r="L498" s="3133"/>
      <c r="M498" s="3133"/>
      <c r="N498" s="3133"/>
      <c r="O498" s="3133"/>
      <c r="P498" s="3133"/>
      <c r="Q498" s="3133"/>
      <c r="R498" s="3133"/>
      <c r="S498" s="3133"/>
      <c r="T498" s="3133"/>
      <c r="U498" s="3133"/>
      <c r="V498" s="3133"/>
      <c r="W498" s="3133"/>
      <c r="X498" s="3133"/>
      <c r="Y498" s="3133"/>
      <c r="Z498" s="3133"/>
      <c r="AA498" s="3133"/>
      <c r="AB498" s="3133"/>
      <c r="AC498" s="3123">
        <f t="shared" si="270"/>
        <v>0</v>
      </c>
      <c r="AD498" s="3143"/>
      <c r="AE498" s="3143"/>
      <c r="AF498" s="3143"/>
      <c r="AG498" s="3143"/>
      <c r="AH498" s="3143"/>
      <c r="AI498" s="3143"/>
      <c r="AJ498" s="3143"/>
      <c r="AK498" s="3143"/>
      <c r="AL498" s="3143"/>
      <c r="AM498" s="3143"/>
      <c r="AN498" s="3143"/>
      <c r="AO498" s="3143"/>
      <c r="AP498" s="3143"/>
      <c r="AQ498" s="3143"/>
      <c r="AR498" s="3143"/>
      <c r="AS498" s="3143"/>
      <c r="AT498" s="3153"/>
      <c r="AU498" s="3154"/>
      <c r="AV498" s="270">
        <f t="shared" si="294"/>
        <v>0</v>
      </c>
      <c r="AW498" s="270">
        <f t="shared" si="295"/>
        <v>0</v>
      </c>
      <c r="AX498" s="270">
        <f t="shared" si="296"/>
        <v>0</v>
      </c>
      <c r="AY498" s="3168">
        <f t="shared" si="271"/>
        <v>0</v>
      </c>
      <c r="AZ498" s="3123">
        <f t="shared" si="272"/>
        <v>0</v>
      </c>
      <c r="BA498" s="3123">
        <f t="shared" si="273"/>
        <v>0</v>
      </c>
      <c r="BB498" s="3123">
        <f t="shared" si="274"/>
        <v>0</v>
      </c>
      <c r="BC498" s="3123">
        <f t="shared" si="275"/>
        <v>0</v>
      </c>
      <c r="BD498" s="3123">
        <f t="shared" si="276"/>
        <v>0</v>
      </c>
      <c r="BE498" s="3123">
        <f t="shared" si="277"/>
        <v>0</v>
      </c>
      <c r="BF498" s="3123">
        <f t="shared" si="278"/>
        <v>0</v>
      </c>
      <c r="BG498" s="3123">
        <f t="shared" si="279"/>
        <v>0</v>
      </c>
      <c r="BH498" s="3123">
        <f t="shared" si="280"/>
        <v>0</v>
      </c>
      <c r="BI498" s="3123">
        <f t="shared" si="281"/>
        <v>0</v>
      </c>
      <c r="BJ498" s="3123">
        <f t="shared" si="282"/>
        <v>0</v>
      </c>
      <c r="BK498" s="3123">
        <f t="shared" si="283"/>
        <v>0</v>
      </c>
      <c r="BL498" s="3123">
        <f t="shared" si="284"/>
        <v>0</v>
      </c>
      <c r="BM498" s="3123">
        <f t="shared" si="285"/>
        <v>0</v>
      </c>
      <c r="BN498" s="3123">
        <f t="shared" si="286"/>
        <v>0</v>
      </c>
      <c r="BO498" s="3123">
        <f t="shared" si="287"/>
        <v>0</v>
      </c>
      <c r="BP498" s="3123">
        <f t="shared" si="288"/>
        <v>0</v>
      </c>
      <c r="BQ498" s="3123">
        <f t="shared" si="289"/>
        <v>0</v>
      </c>
      <c r="BR498" s="3123">
        <f t="shared" si="290"/>
        <v>0</v>
      </c>
      <c r="BS498" s="3123">
        <f t="shared" si="291"/>
        <v>0</v>
      </c>
      <c r="BT498" s="3175">
        <f t="shared" si="292"/>
        <v>0</v>
      </c>
    </row>
    <row r="499" spans="1:72">
      <c r="A499" s="3120"/>
      <c r="B499" s="3121"/>
      <c r="C499" s="3121"/>
      <c r="D499" s="3122"/>
      <c r="E499" s="3123">
        <f t="shared" si="293"/>
        <v>0</v>
      </c>
      <c r="F499" s="3124"/>
      <c r="G499" s="3125">
        <f t="shared" si="268"/>
        <v>0</v>
      </c>
      <c r="H499" s="3126">
        <f t="shared" si="269"/>
        <v>0</v>
      </c>
      <c r="I499" s="3133"/>
      <c r="J499" s="3133"/>
      <c r="K499" s="3133"/>
      <c r="L499" s="3133"/>
      <c r="M499" s="3133"/>
      <c r="N499" s="3133"/>
      <c r="O499" s="3133"/>
      <c r="P499" s="3133"/>
      <c r="Q499" s="3133"/>
      <c r="R499" s="3133"/>
      <c r="S499" s="3133"/>
      <c r="T499" s="3133"/>
      <c r="U499" s="3133"/>
      <c r="V499" s="3133"/>
      <c r="W499" s="3133"/>
      <c r="X499" s="3133"/>
      <c r="Y499" s="3133"/>
      <c r="Z499" s="3133"/>
      <c r="AA499" s="3133"/>
      <c r="AB499" s="3133"/>
      <c r="AC499" s="3123">
        <f t="shared" si="270"/>
        <v>0</v>
      </c>
      <c r="AD499" s="3143"/>
      <c r="AE499" s="3143"/>
      <c r="AF499" s="3143"/>
      <c r="AG499" s="3143"/>
      <c r="AH499" s="3143"/>
      <c r="AI499" s="3143"/>
      <c r="AJ499" s="3143"/>
      <c r="AK499" s="3143"/>
      <c r="AL499" s="3143"/>
      <c r="AM499" s="3143"/>
      <c r="AN499" s="3143"/>
      <c r="AO499" s="3143"/>
      <c r="AP499" s="3143"/>
      <c r="AQ499" s="3143"/>
      <c r="AR499" s="3143"/>
      <c r="AS499" s="3143"/>
      <c r="AT499" s="3153"/>
      <c r="AU499" s="3154"/>
      <c r="AV499" s="270">
        <f t="shared" si="294"/>
        <v>0</v>
      </c>
      <c r="AW499" s="270">
        <f t="shared" si="295"/>
        <v>0</v>
      </c>
      <c r="AX499" s="270">
        <f t="shared" si="296"/>
        <v>0</v>
      </c>
      <c r="AY499" s="3168">
        <f t="shared" si="271"/>
        <v>0</v>
      </c>
      <c r="AZ499" s="3123">
        <f t="shared" si="272"/>
        <v>0</v>
      </c>
      <c r="BA499" s="3123">
        <f t="shared" si="273"/>
        <v>0</v>
      </c>
      <c r="BB499" s="3123">
        <f t="shared" si="274"/>
        <v>0</v>
      </c>
      <c r="BC499" s="3123">
        <f t="shared" si="275"/>
        <v>0</v>
      </c>
      <c r="BD499" s="3123">
        <f t="shared" si="276"/>
        <v>0</v>
      </c>
      <c r="BE499" s="3123">
        <f t="shared" si="277"/>
        <v>0</v>
      </c>
      <c r="BF499" s="3123">
        <f t="shared" si="278"/>
        <v>0</v>
      </c>
      <c r="BG499" s="3123">
        <f t="shared" si="279"/>
        <v>0</v>
      </c>
      <c r="BH499" s="3123">
        <f t="shared" si="280"/>
        <v>0</v>
      </c>
      <c r="BI499" s="3123">
        <f t="shared" si="281"/>
        <v>0</v>
      </c>
      <c r="BJ499" s="3123">
        <f t="shared" si="282"/>
        <v>0</v>
      </c>
      <c r="BK499" s="3123">
        <f t="shared" si="283"/>
        <v>0</v>
      </c>
      <c r="BL499" s="3123">
        <f t="shared" si="284"/>
        <v>0</v>
      </c>
      <c r="BM499" s="3123">
        <f t="shared" si="285"/>
        <v>0</v>
      </c>
      <c r="BN499" s="3123">
        <f t="shared" si="286"/>
        <v>0</v>
      </c>
      <c r="BO499" s="3123">
        <f t="shared" si="287"/>
        <v>0</v>
      </c>
      <c r="BP499" s="3123">
        <f t="shared" si="288"/>
        <v>0</v>
      </c>
      <c r="BQ499" s="3123">
        <f t="shared" si="289"/>
        <v>0</v>
      </c>
      <c r="BR499" s="3123">
        <f t="shared" si="290"/>
        <v>0</v>
      </c>
      <c r="BS499" s="3123">
        <f t="shared" si="291"/>
        <v>0</v>
      </c>
      <c r="BT499" s="3175">
        <f t="shared" si="292"/>
        <v>0</v>
      </c>
    </row>
    <row r="500" spans="1:72">
      <c r="A500" s="3120"/>
      <c r="B500" s="3121"/>
      <c r="C500" s="3121"/>
      <c r="D500" s="3122"/>
      <c r="E500" s="3123">
        <f t="shared" si="293"/>
        <v>0</v>
      </c>
      <c r="F500" s="3124"/>
      <c r="G500" s="3125">
        <f t="shared" si="268"/>
        <v>0</v>
      </c>
      <c r="H500" s="3126">
        <f t="shared" si="269"/>
        <v>0</v>
      </c>
      <c r="I500" s="3133"/>
      <c r="J500" s="3133"/>
      <c r="K500" s="3133"/>
      <c r="L500" s="3133"/>
      <c r="M500" s="3133"/>
      <c r="N500" s="3133"/>
      <c r="O500" s="3133"/>
      <c r="P500" s="3133"/>
      <c r="Q500" s="3133"/>
      <c r="R500" s="3133"/>
      <c r="S500" s="3133"/>
      <c r="T500" s="3133"/>
      <c r="U500" s="3133"/>
      <c r="V500" s="3133"/>
      <c r="W500" s="3133"/>
      <c r="X500" s="3133"/>
      <c r="Y500" s="3133"/>
      <c r="Z500" s="3133"/>
      <c r="AA500" s="3133"/>
      <c r="AB500" s="3133"/>
      <c r="AC500" s="3123">
        <f t="shared" si="270"/>
        <v>0</v>
      </c>
      <c r="AD500" s="3143"/>
      <c r="AE500" s="3143"/>
      <c r="AF500" s="3143"/>
      <c r="AG500" s="3143"/>
      <c r="AH500" s="3143"/>
      <c r="AI500" s="3143"/>
      <c r="AJ500" s="3143"/>
      <c r="AK500" s="3143"/>
      <c r="AL500" s="3143"/>
      <c r="AM500" s="3143"/>
      <c r="AN500" s="3143"/>
      <c r="AO500" s="3143"/>
      <c r="AP500" s="3143"/>
      <c r="AQ500" s="3143"/>
      <c r="AR500" s="3143"/>
      <c r="AS500" s="3143"/>
      <c r="AT500" s="3153"/>
      <c r="AU500" s="3154"/>
      <c r="AV500" s="270">
        <f t="shared" si="294"/>
        <v>0</v>
      </c>
      <c r="AW500" s="270">
        <f t="shared" si="295"/>
        <v>0</v>
      </c>
      <c r="AX500" s="270">
        <f t="shared" si="296"/>
        <v>0</v>
      </c>
      <c r="AY500" s="3168">
        <f t="shared" si="271"/>
        <v>0</v>
      </c>
      <c r="AZ500" s="3123">
        <f t="shared" si="272"/>
        <v>0</v>
      </c>
      <c r="BA500" s="3123">
        <f t="shared" si="273"/>
        <v>0</v>
      </c>
      <c r="BB500" s="3123">
        <f t="shared" si="274"/>
        <v>0</v>
      </c>
      <c r="BC500" s="3123">
        <f t="shared" si="275"/>
        <v>0</v>
      </c>
      <c r="BD500" s="3123">
        <f t="shared" si="276"/>
        <v>0</v>
      </c>
      <c r="BE500" s="3123">
        <f t="shared" si="277"/>
        <v>0</v>
      </c>
      <c r="BF500" s="3123">
        <f t="shared" si="278"/>
        <v>0</v>
      </c>
      <c r="BG500" s="3123">
        <f t="shared" si="279"/>
        <v>0</v>
      </c>
      <c r="BH500" s="3123">
        <f t="shared" si="280"/>
        <v>0</v>
      </c>
      <c r="BI500" s="3123">
        <f t="shared" si="281"/>
        <v>0</v>
      </c>
      <c r="BJ500" s="3123">
        <f t="shared" si="282"/>
        <v>0</v>
      </c>
      <c r="BK500" s="3123">
        <f t="shared" si="283"/>
        <v>0</v>
      </c>
      <c r="BL500" s="3123">
        <f t="shared" si="284"/>
        <v>0</v>
      </c>
      <c r="BM500" s="3123">
        <f t="shared" si="285"/>
        <v>0</v>
      </c>
      <c r="BN500" s="3123">
        <f t="shared" si="286"/>
        <v>0</v>
      </c>
      <c r="BO500" s="3123">
        <f t="shared" si="287"/>
        <v>0</v>
      </c>
      <c r="BP500" s="3123">
        <f t="shared" si="288"/>
        <v>0</v>
      </c>
      <c r="BQ500" s="3123">
        <f t="shared" si="289"/>
        <v>0</v>
      </c>
      <c r="BR500" s="3123">
        <f t="shared" si="290"/>
        <v>0</v>
      </c>
      <c r="BS500" s="3123">
        <f t="shared" si="291"/>
        <v>0</v>
      </c>
      <c r="BT500" s="3175">
        <f t="shared" si="292"/>
        <v>0</v>
      </c>
    </row>
    <row r="501" spans="1:72">
      <c r="A501" s="3120"/>
      <c r="B501" s="3121"/>
      <c r="C501" s="3121"/>
      <c r="D501" s="3122"/>
      <c r="E501" s="3123">
        <f t="shared" si="293"/>
        <v>0</v>
      </c>
      <c r="F501" s="3124"/>
      <c r="G501" s="3125">
        <f t="shared" si="268"/>
        <v>0</v>
      </c>
      <c r="H501" s="3126">
        <f t="shared" si="269"/>
        <v>0</v>
      </c>
      <c r="I501" s="3133"/>
      <c r="J501" s="3133"/>
      <c r="K501" s="3133"/>
      <c r="L501" s="3133"/>
      <c r="M501" s="3133"/>
      <c r="N501" s="3133"/>
      <c r="O501" s="3133"/>
      <c r="P501" s="3133"/>
      <c r="Q501" s="3133"/>
      <c r="R501" s="3133"/>
      <c r="S501" s="3133"/>
      <c r="T501" s="3133"/>
      <c r="U501" s="3133"/>
      <c r="V501" s="3133"/>
      <c r="W501" s="3133"/>
      <c r="X501" s="3133"/>
      <c r="Y501" s="3133"/>
      <c r="Z501" s="3133"/>
      <c r="AA501" s="3133"/>
      <c r="AB501" s="3133"/>
      <c r="AC501" s="3123">
        <f t="shared" si="270"/>
        <v>0</v>
      </c>
      <c r="AD501" s="3143"/>
      <c r="AE501" s="3143"/>
      <c r="AF501" s="3143"/>
      <c r="AG501" s="3143"/>
      <c r="AH501" s="3143"/>
      <c r="AI501" s="3143"/>
      <c r="AJ501" s="3143"/>
      <c r="AK501" s="3143"/>
      <c r="AL501" s="3143"/>
      <c r="AM501" s="3143"/>
      <c r="AN501" s="3143"/>
      <c r="AO501" s="3143"/>
      <c r="AP501" s="3143"/>
      <c r="AQ501" s="3143"/>
      <c r="AR501" s="3143"/>
      <c r="AS501" s="3143"/>
      <c r="AT501" s="3153"/>
      <c r="AU501" s="3154"/>
      <c r="AV501" s="270">
        <f t="shared" si="294"/>
        <v>0</v>
      </c>
      <c r="AW501" s="270">
        <f t="shared" si="295"/>
        <v>0</v>
      </c>
      <c r="AX501" s="270">
        <f t="shared" si="296"/>
        <v>0</v>
      </c>
      <c r="AY501" s="3168">
        <f t="shared" si="271"/>
        <v>0</v>
      </c>
      <c r="AZ501" s="3123">
        <f t="shared" si="272"/>
        <v>0</v>
      </c>
      <c r="BA501" s="3123">
        <f t="shared" si="273"/>
        <v>0</v>
      </c>
      <c r="BB501" s="3123">
        <f t="shared" si="274"/>
        <v>0</v>
      </c>
      <c r="BC501" s="3123">
        <f t="shared" si="275"/>
        <v>0</v>
      </c>
      <c r="BD501" s="3123">
        <f t="shared" si="276"/>
        <v>0</v>
      </c>
      <c r="BE501" s="3123">
        <f t="shared" si="277"/>
        <v>0</v>
      </c>
      <c r="BF501" s="3123">
        <f t="shared" si="278"/>
        <v>0</v>
      </c>
      <c r="BG501" s="3123">
        <f t="shared" si="279"/>
        <v>0</v>
      </c>
      <c r="BH501" s="3123">
        <f t="shared" si="280"/>
        <v>0</v>
      </c>
      <c r="BI501" s="3123">
        <f t="shared" si="281"/>
        <v>0</v>
      </c>
      <c r="BJ501" s="3123">
        <f t="shared" si="282"/>
        <v>0</v>
      </c>
      <c r="BK501" s="3123">
        <f t="shared" si="283"/>
        <v>0</v>
      </c>
      <c r="BL501" s="3123">
        <f t="shared" si="284"/>
        <v>0</v>
      </c>
      <c r="BM501" s="3123">
        <f t="shared" si="285"/>
        <v>0</v>
      </c>
      <c r="BN501" s="3123">
        <f t="shared" si="286"/>
        <v>0</v>
      </c>
      <c r="BO501" s="3123">
        <f t="shared" si="287"/>
        <v>0</v>
      </c>
      <c r="BP501" s="3123">
        <f t="shared" si="288"/>
        <v>0</v>
      </c>
      <c r="BQ501" s="3123">
        <f t="shared" si="289"/>
        <v>0</v>
      </c>
      <c r="BR501" s="3123">
        <f t="shared" si="290"/>
        <v>0</v>
      </c>
      <c r="BS501" s="3123">
        <f t="shared" si="291"/>
        <v>0</v>
      </c>
      <c r="BT501" s="3175">
        <f t="shared" si="292"/>
        <v>0</v>
      </c>
    </row>
    <row r="502" spans="1:72">
      <c r="A502" s="3120"/>
      <c r="B502" s="3121"/>
      <c r="C502" s="3121"/>
      <c r="D502" s="3122"/>
      <c r="E502" s="3123">
        <f t="shared" si="293"/>
        <v>0</v>
      </c>
      <c r="F502" s="3124"/>
      <c r="G502" s="3125">
        <f t="shared" si="268"/>
        <v>0</v>
      </c>
      <c r="H502" s="3126">
        <f t="shared" si="269"/>
        <v>0</v>
      </c>
      <c r="I502" s="3133"/>
      <c r="J502" s="3133"/>
      <c r="K502" s="3133"/>
      <c r="L502" s="3133"/>
      <c r="M502" s="3133"/>
      <c r="N502" s="3133"/>
      <c r="O502" s="3133"/>
      <c r="P502" s="3133"/>
      <c r="Q502" s="3133"/>
      <c r="R502" s="3133"/>
      <c r="S502" s="3133"/>
      <c r="T502" s="3133"/>
      <c r="U502" s="3133"/>
      <c r="V502" s="3133"/>
      <c r="W502" s="3133"/>
      <c r="X502" s="3133"/>
      <c r="Y502" s="3133"/>
      <c r="Z502" s="3133"/>
      <c r="AA502" s="3133"/>
      <c r="AB502" s="3133"/>
      <c r="AC502" s="3123">
        <f t="shared" si="270"/>
        <v>0</v>
      </c>
      <c r="AD502" s="3143"/>
      <c r="AE502" s="3143"/>
      <c r="AF502" s="3143"/>
      <c r="AG502" s="3143"/>
      <c r="AH502" s="3143"/>
      <c r="AI502" s="3143"/>
      <c r="AJ502" s="3143"/>
      <c r="AK502" s="3143"/>
      <c r="AL502" s="3143"/>
      <c r="AM502" s="3143"/>
      <c r="AN502" s="3143"/>
      <c r="AO502" s="3143"/>
      <c r="AP502" s="3143"/>
      <c r="AQ502" s="3143"/>
      <c r="AR502" s="3143"/>
      <c r="AS502" s="3143"/>
      <c r="AT502" s="3153"/>
      <c r="AU502" s="3154"/>
      <c r="AV502" s="270">
        <f t="shared" si="294"/>
        <v>0</v>
      </c>
      <c r="AW502" s="270">
        <f t="shared" si="295"/>
        <v>0</v>
      </c>
      <c r="AX502" s="270">
        <f t="shared" si="296"/>
        <v>0</v>
      </c>
      <c r="AY502" s="3168">
        <f t="shared" si="271"/>
        <v>0</v>
      </c>
      <c r="AZ502" s="3123">
        <f t="shared" si="272"/>
        <v>0</v>
      </c>
      <c r="BA502" s="3123">
        <f t="shared" si="273"/>
        <v>0</v>
      </c>
      <c r="BB502" s="3123">
        <f t="shared" si="274"/>
        <v>0</v>
      </c>
      <c r="BC502" s="3123">
        <f t="shared" si="275"/>
        <v>0</v>
      </c>
      <c r="BD502" s="3123">
        <f t="shared" si="276"/>
        <v>0</v>
      </c>
      <c r="BE502" s="3123">
        <f t="shared" si="277"/>
        <v>0</v>
      </c>
      <c r="BF502" s="3123">
        <f t="shared" si="278"/>
        <v>0</v>
      </c>
      <c r="BG502" s="3123">
        <f t="shared" si="279"/>
        <v>0</v>
      </c>
      <c r="BH502" s="3123">
        <f t="shared" si="280"/>
        <v>0</v>
      </c>
      <c r="BI502" s="3123">
        <f t="shared" si="281"/>
        <v>0</v>
      </c>
      <c r="BJ502" s="3123">
        <f t="shared" si="282"/>
        <v>0</v>
      </c>
      <c r="BK502" s="3123">
        <f t="shared" si="283"/>
        <v>0</v>
      </c>
      <c r="BL502" s="3123">
        <f t="shared" si="284"/>
        <v>0</v>
      </c>
      <c r="BM502" s="3123">
        <f t="shared" si="285"/>
        <v>0</v>
      </c>
      <c r="BN502" s="3123">
        <f t="shared" si="286"/>
        <v>0</v>
      </c>
      <c r="BO502" s="3123">
        <f t="shared" si="287"/>
        <v>0</v>
      </c>
      <c r="BP502" s="3123">
        <f t="shared" si="288"/>
        <v>0</v>
      </c>
      <c r="BQ502" s="3123">
        <f t="shared" si="289"/>
        <v>0</v>
      </c>
      <c r="BR502" s="3123">
        <f t="shared" si="290"/>
        <v>0</v>
      </c>
      <c r="BS502" s="3123">
        <f t="shared" si="291"/>
        <v>0</v>
      </c>
      <c r="BT502" s="3175">
        <f t="shared" si="292"/>
        <v>0</v>
      </c>
    </row>
    <row r="503" spans="1:72">
      <c r="A503" s="3120"/>
      <c r="B503" s="3121"/>
      <c r="C503" s="3121"/>
      <c r="D503" s="3122"/>
      <c r="E503" s="3123">
        <f t="shared" si="293"/>
        <v>0</v>
      </c>
      <c r="F503" s="3124"/>
      <c r="G503" s="3125">
        <f t="shared" si="268"/>
        <v>0</v>
      </c>
      <c r="H503" s="3126">
        <f t="shared" si="269"/>
        <v>0</v>
      </c>
      <c r="I503" s="3133"/>
      <c r="J503" s="3133"/>
      <c r="K503" s="3133"/>
      <c r="L503" s="3133"/>
      <c r="M503" s="3133"/>
      <c r="N503" s="3133"/>
      <c r="O503" s="3133"/>
      <c r="P503" s="3133"/>
      <c r="Q503" s="3133"/>
      <c r="R503" s="3133"/>
      <c r="S503" s="3133"/>
      <c r="T503" s="3133"/>
      <c r="U503" s="3133"/>
      <c r="V503" s="3133"/>
      <c r="W503" s="3133"/>
      <c r="X503" s="3133"/>
      <c r="Y503" s="3133"/>
      <c r="Z503" s="3133"/>
      <c r="AA503" s="3133"/>
      <c r="AB503" s="3133"/>
      <c r="AC503" s="3123">
        <f t="shared" si="270"/>
        <v>0</v>
      </c>
      <c r="AD503" s="3143"/>
      <c r="AE503" s="3143"/>
      <c r="AF503" s="3143"/>
      <c r="AG503" s="3143"/>
      <c r="AH503" s="3143"/>
      <c r="AI503" s="3143"/>
      <c r="AJ503" s="3143"/>
      <c r="AK503" s="3143"/>
      <c r="AL503" s="3143"/>
      <c r="AM503" s="3143"/>
      <c r="AN503" s="3143"/>
      <c r="AO503" s="3143"/>
      <c r="AP503" s="3143"/>
      <c r="AQ503" s="3143"/>
      <c r="AR503" s="3143"/>
      <c r="AS503" s="3143"/>
      <c r="AT503" s="3153"/>
      <c r="AU503" s="3154"/>
      <c r="AV503" s="270">
        <f t="shared" si="294"/>
        <v>0</v>
      </c>
      <c r="AW503" s="270">
        <f t="shared" si="295"/>
        <v>0</v>
      </c>
      <c r="AX503" s="270">
        <f t="shared" si="296"/>
        <v>0</v>
      </c>
      <c r="AY503" s="3168">
        <f t="shared" si="271"/>
        <v>0</v>
      </c>
      <c r="AZ503" s="3123">
        <f t="shared" si="272"/>
        <v>0</v>
      </c>
      <c r="BA503" s="3123">
        <f t="shared" si="273"/>
        <v>0</v>
      </c>
      <c r="BB503" s="3123">
        <f t="shared" si="274"/>
        <v>0</v>
      </c>
      <c r="BC503" s="3123">
        <f t="shared" si="275"/>
        <v>0</v>
      </c>
      <c r="BD503" s="3123">
        <f t="shared" si="276"/>
        <v>0</v>
      </c>
      <c r="BE503" s="3123">
        <f t="shared" si="277"/>
        <v>0</v>
      </c>
      <c r="BF503" s="3123">
        <f t="shared" si="278"/>
        <v>0</v>
      </c>
      <c r="BG503" s="3123">
        <f t="shared" si="279"/>
        <v>0</v>
      </c>
      <c r="BH503" s="3123">
        <f t="shared" si="280"/>
        <v>0</v>
      </c>
      <c r="BI503" s="3123">
        <f t="shared" si="281"/>
        <v>0</v>
      </c>
      <c r="BJ503" s="3123">
        <f t="shared" si="282"/>
        <v>0</v>
      </c>
      <c r="BK503" s="3123">
        <f t="shared" si="283"/>
        <v>0</v>
      </c>
      <c r="BL503" s="3123">
        <f t="shared" si="284"/>
        <v>0</v>
      </c>
      <c r="BM503" s="3123">
        <f t="shared" si="285"/>
        <v>0</v>
      </c>
      <c r="BN503" s="3123">
        <f t="shared" si="286"/>
        <v>0</v>
      </c>
      <c r="BO503" s="3123">
        <f t="shared" si="287"/>
        <v>0</v>
      </c>
      <c r="BP503" s="3123">
        <f t="shared" si="288"/>
        <v>0</v>
      </c>
      <c r="BQ503" s="3123">
        <f t="shared" si="289"/>
        <v>0</v>
      </c>
      <c r="BR503" s="3123">
        <f t="shared" si="290"/>
        <v>0</v>
      </c>
      <c r="BS503" s="3123">
        <f t="shared" si="291"/>
        <v>0</v>
      </c>
      <c r="BT503" s="3175">
        <f t="shared" si="292"/>
        <v>0</v>
      </c>
    </row>
    <row r="504" spans="1:72">
      <c r="A504" s="3120"/>
      <c r="B504" s="3121"/>
      <c r="C504" s="3121"/>
      <c r="D504" s="3122"/>
      <c r="E504" s="3123">
        <f t="shared" si="293"/>
        <v>0</v>
      </c>
      <c r="F504" s="3124"/>
      <c r="G504" s="3125">
        <f t="shared" si="268"/>
        <v>0</v>
      </c>
      <c r="H504" s="3126">
        <f t="shared" si="269"/>
        <v>0</v>
      </c>
      <c r="I504" s="3133"/>
      <c r="J504" s="3133"/>
      <c r="K504" s="3133"/>
      <c r="L504" s="3133"/>
      <c r="M504" s="3133"/>
      <c r="N504" s="3133"/>
      <c r="O504" s="3133"/>
      <c r="P504" s="3133"/>
      <c r="Q504" s="3133"/>
      <c r="R504" s="3133"/>
      <c r="S504" s="3133"/>
      <c r="T504" s="3133"/>
      <c r="U504" s="3133"/>
      <c r="V504" s="3133"/>
      <c r="W504" s="3133"/>
      <c r="X504" s="3133"/>
      <c r="Y504" s="3133"/>
      <c r="Z504" s="3133"/>
      <c r="AA504" s="3133"/>
      <c r="AB504" s="3133"/>
      <c r="AC504" s="3123">
        <f t="shared" si="270"/>
        <v>0</v>
      </c>
      <c r="AD504" s="3143"/>
      <c r="AE504" s="3143"/>
      <c r="AF504" s="3143"/>
      <c r="AG504" s="3143"/>
      <c r="AH504" s="3143"/>
      <c r="AI504" s="3143"/>
      <c r="AJ504" s="3143"/>
      <c r="AK504" s="3143"/>
      <c r="AL504" s="3143"/>
      <c r="AM504" s="3143"/>
      <c r="AN504" s="3143"/>
      <c r="AO504" s="3143"/>
      <c r="AP504" s="3143"/>
      <c r="AQ504" s="3143"/>
      <c r="AR504" s="3143"/>
      <c r="AS504" s="3143"/>
      <c r="AT504" s="3153"/>
      <c r="AU504" s="3154"/>
      <c r="AV504" s="270">
        <f t="shared" si="294"/>
        <v>0</v>
      </c>
      <c r="AW504" s="270">
        <f t="shared" si="295"/>
        <v>0</v>
      </c>
      <c r="AX504" s="270">
        <f t="shared" si="296"/>
        <v>0</v>
      </c>
      <c r="AY504" s="3168">
        <f t="shared" si="271"/>
        <v>0</v>
      </c>
      <c r="AZ504" s="3123">
        <f t="shared" si="272"/>
        <v>0</v>
      </c>
      <c r="BA504" s="3123">
        <f t="shared" si="273"/>
        <v>0</v>
      </c>
      <c r="BB504" s="3123">
        <f t="shared" si="274"/>
        <v>0</v>
      </c>
      <c r="BC504" s="3123">
        <f t="shared" si="275"/>
        <v>0</v>
      </c>
      <c r="BD504" s="3123">
        <f t="shared" si="276"/>
        <v>0</v>
      </c>
      <c r="BE504" s="3123">
        <f t="shared" si="277"/>
        <v>0</v>
      </c>
      <c r="BF504" s="3123">
        <f t="shared" si="278"/>
        <v>0</v>
      </c>
      <c r="BG504" s="3123">
        <f t="shared" si="279"/>
        <v>0</v>
      </c>
      <c r="BH504" s="3123">
        <f t="shared" si="280"/>
        <v>0</v>
      </c>
      <c r="BI504" s="3123">
        <f t="shared" si="281"/>
        <v>0</v>
      </c>
      <c r="BJ504" s="3123">
        <f t="shared" si="282"/>
        <v>0</v>
      </c>
      <c r="BK504" s="3123">
        <f t="shared" si="283"/>
        <v>0</v>
      </c>
      <c r="BL504" s="3123">
        <f t="shared" si="284"/>
        <v>0</v>
      </c>
      <c r="BM504" s="3123">
        <f t="shared" si="285"/>
        <v>0</v>
      </c>
      <c r="BN504" s="3123">
        <f t="shared" si="286"/>
        <v>0</v>
      </c>
      <c r="BO504" s="3123">
        <f t="shared" si="287"/>
        <v>0</v>
      </c>
      <c r="BP504" s="3123">
        <f t="shared" si="288"/>
        <v>0</v>
      </c>
      <c r="BQ504" s="3123">
        <f t="shared" si="289"/>
        <v>0</v>
      </c>
      <c r="BR504" s="3123">
        <f t="shared" si="290"/>
        <v>0</v>
      </c>
      <c r="BS504" s="3123">
        <f t="shared" si="291"/>
        <v>0</v>
      </c>
      <c r="BT504" s="3175">
        <f t="shared" si="292"/>
        <v>0</v>
      </c>
    </row>
    <row r="505" spans="1:72">
      <c r="A505" s="3120"/>
      <c r="B505" s="3121"/>
      <c r="C505" s="3121"/>
      <c r="D505" s="3122"/>
      <c r="E505" s="3123">
        <f t="shared" si="293"/>
        <v>0</v>
      </c>
      <c r="F505" s="3124"/>
      <c r="G505" s="3125">
        <f t="shared" si="268"/>
        <v>0</v>
      </c>
      <c r="H505" s="3126">
        <f t="shared" si="269"/>
        <v>0</v>
      </c>
      <c r="I505" s="3133"/>
      <c r="J505" s="3133"/>
      <c r="K505" s="3133"/>
      <c r="L505" s="3133"/>
      <c r="M505" s="3133"/>
      <c r="N505" s="3133"/>
      <c r="O505" s="3133"/>
      <c r="P505" s="3133"/>
      <c r="Q505" s="3133"/>
      <c r="R505" s="3133"/>
      <c r="S505" s="3133"/>
      <c r="T505" s="3133"/>
      <c r="U505" s="3133"/>
      <c r="V505" s="3133"/>
      <c r="W505" s="3133"/>
      <c r="X505" s="3133"/>
      <c r="Y505" s="3133"/>
      <c r="Z505" s="3133"/>
      <c r="AA505" s="3133"/>
      <c r="AB505" s="3133"/>
      <c r="AC505" s="3123">
        <f t="shared" si="270"/>
        <v>0</v>
      </c>
      <c r="AD505" s="3143"/>
      <c r="AE505" s="3143"/>
      <c r="AF505" s="3143"/>
      <c r="AG505" s="3143"/>
      <c r="AH505" s="3143"/>
      <c r="AI505" s="3143"/>
      <c r="AJ505" s="3143"/>
      <c r="AK505" s="3143"/>
      <c r="AL505" s="3143"/>
      <c r="AM505" s="3143"/>
      <c r="AN505" s="3143"/>
      <c r="AO505" s="3143"/>
      <c r="AP505" s="3143"/>
      <c r="AQ505" s="3143"/>
      <c r="AR505" s="3143"/>
      <c r="AS505" s="3143"/>
      <c r="AT505" s="3153"/>
      <c r="AU505" s="3154"/>
      <c r="AV505" s="270">
        <f t="shared" si="294"/>
        <v>0</v>
      </c>
      <c r="AW505" s="270">
        <f t="shared" si="295"/>
        <v>0</v>
      </c>
      <c r="AX505" s="270">
        <f t="shared" si="296"/>
        <v>0</v>
      </c>
      <c r="AY505" s="3168">
        <f t="shared" si="271"/>
        <v>0</v>
      </c>
      <c r="AZ505" s="3123">
        <f t="shared" si="272"/>
        <v>0</v>
      </c>
      <c r="BA505" s="3123">
        <f t="shared" si="273"/>
        <v>0</v>
      </c>
      <c r="BB505" s="3123">
        <f t="shared" si="274"/>
        <v>0</v>
      </c>
      <c r="BC505" s="3123">
        <f t="shared" si="275"/>
        <v>0</v>
      </c>
      <c r="BD505" s="3123">
        <f t="shared" si="276"/>
        <v>0</v>
      </c>
      <c r="BE505" s="3123">
        <f t="shared" si="277"/>
        <v>0</v>
      </c>
      <c r="BF505" s="3123">
        <f t="shared" si="278"/>
        <v>0</v>
      </c>
      <c r="BG505" s="3123">
        <f t="shared" si="279"/>
        <v>0</v>
      </c>
      <c r="BH505" s="3123">
        <f t="shared" si="280"/>
        <v>0</v>
      </c>
      <c r="BI505" s="3123">
        <f t="shared" si="281"/>
        <v>0</v>
      </c>
      <c r="BJ505" s="3123">
        <f t="shared" si="282"/>
        <v>0</v>
      </c>
      <c r="BK505" s="3123">
        <f t="shared" si="283"/>
        <v>0</v>
      </c>
      <c r="BL505" s="3123">
        <f t="shared" si="284"/>
        <v>0</v>
      </c>
      <c r="BM505" s="3123">
        <f t="shared" si="285"/>
        <v>0</v>
      </c>
      <c r="BN505" s="3123">
        <f t="shared" si="286"/>
        <v>0</v>
      </c>
      <c r="BO505" s="3123">
        <f t="shared" si="287"/>
        <v>0</v>
      </c>
      <c r="BP505" s="3123">
        <f t="shared" si="288"/>
        <v>0</v>
      </c>
      <c r="BQ505" s="3123">
        <f t="shared" si="289"/>
        <v>0</v>
      </c>
      <c r="BR505" s="3123">
        <f t="shared" si="290"/>
        <v>0</v>
      </c>
      <c r="BS505" s="3123">
        <f t="shared" si="291"/>
        <v>0</v>
      </c>
      <c r="BT505" s="3175">
        <f t="shared" si="292"/>
        <v>0</v>
      </c>
    </row>
    <row r="506" spans="1:72">
      <c r="A506" s="3120"/>
      <c r="B506" s="3121"/>
      <c r="C506" s="3121"/>
      <c r="D506" s="3122"/>
      <c r="E506" s="3123">
        <f t="shared" si="293"/>
        <v>0</v>
      </c>
      <c r="F506" s="3124"/>
      <c r="G506" s="3125">
        <f t="shared" si="268"/>
        <v>0</v>
      </c>
      <c r="H506" s="3126">
        <f t="shared" si="269"/>
        <v>0</v>
      </c>
      <c r="I506" s="3133"/>
      <c r="J506" s="3133"/>
      <c r="K506" s="3133"/>
      <c r="L506" s="3133"/>
      <c r="M506" s="3133"/>
      <c r="N506" s="3133"/>
      <c r="O506" s="3133"/>
      <c r="P506" s="3133"/>
      <c r="Q506" s="3133"/>
      <c r="R506" s="3133"/>
      <c r="S506" s="3133"/>
      <c r="T506" s="3133"/>
      <c r="U506" s="3133"/>
      <c r="V506" s="3133"/>
      <c r="W506" s="3133"/>
      <c r="X506" s="3133"/>
      <c r="Y506" s="3133"/>
      <c r="Z506" s="3133"/>
      <c r="AA506" s="3133"/>
      <c r="AB506" s="3133"/>
      <c r="AC506" s="3123">
        <f t="shared" si="270"/>
        <v>0</v>
      </c>
      <c r="AD506" s="3143"/>
      <c r="AE506" s="3143"/>
      <c r="AF506" s="3143"/>
      <c r="AG506" s="3143"/>
      <c r="AH506" s="3143"/>
      <c r="AI506" s="3143"/>
      <c r="AJ506" s="3143"/>
      <c r="AK506" s="3143"/>
      <c r="AL506" s="3143"/>
      <c r="AM506" s="3143"/>
      <c r="AN506" s="3143"/>
      <c r="AO506" s="3143"/>
      <c r="AP506" s="3143"/>
      <c r="AQ506" s="3143"/>
      <c r="AR506" s="3143"/>
      <c r="AS506" s="3143"/>
      <c r="AT506" s="3153"/>
      <c r="AU506" s="3154"/>
      <c r="AV506" s="270">
        <f t="shared" si="294"/>
        <v>0</v>
      </c>
      <c r="AW506" s="270">
        <f t="shared" si="295"/>
        <v>0</v>
      </c>
      <c r="AX506" s="270">
        <f t="shared" si="296"/>
        <v>0</v>
      </c>
      <c r="AY506" s="3168">
        <f t="shared" si="271"/>
        <v>0</v>
      </c>
      <c r="AZ506" s="3123">
        <f t="shared" si="272"/>
        <v>0</v>
      </c>
      <c r="BA506" s="3123">
        <f t="shared" si="273"/>
        <v>0</v>
      </c>
      <c r="BB506" s="3123">
        <f t="shared" si="274"/>
        <v>0</v>
      </c>
      <c r="BC506" s="3123">
        <f t="shared" si="275"/>
        <v>0</v>
      </c>
      <c r="BD506" s="3123">
        <f t="shared" si="276"/>
        <v>0</v>
      </c>
      <c r="BE506" s="3123">
        <f t="shared" si="277"/>
        <v>0</v>
      </c>
      <c r="BF506" s="3123">
        <f t="shared" si="278"/>
        <v>0</v>
      </c>
      <c r="BG506" s="3123">
        <f t="shared" si="279"/>
        <v>0</v>
      </c>
      <c r="BH506" s="3123">
        <f t="shared" si="280"/>
        <v>0</v>
      </c>
      <c r="BI506" s="3123">
        <f t="shared" si="281"/>
        <v>0</v>
      </c>
      <c r="BJ506" s="3123">
        <f t="shared" si="282"/>
        <v>0</v>
      </c>
      <c r="BK506" s="3123">
        <f t="shared" si="283"/>
        <v>0</v>
      </c>
      <c r="BL506" s="3123">
        <f t="shared" si="284"/>
        <v>0</v>
      </c>
      <c r="BM506" s="3123">
        <f t="shared" si="285"/>
        <v>0</v>
      </c>
      <c r="BN506" s="3123">
        <f t="shared" si="286"/>
        <v>0</v>
      </c>
      <c r="BO506" s="3123">
        <f t="shared" si="287"/>
        <v>0</v>
      </c>
      <c r="BP506" s="3123">
        <f t="shared" si="288"/>
        <v>0</v>
      </c>
      <c r="BQ506" s="3123">
        <f t="shared" si="289"/>
        <v>0</v>
      </c>
      <c r="BR506" s="3123">
        <f t="shared" si="290"/>
        <v>0</v>
      </c>
      <c r="BS506" s="3123">
        <f t="shared" si="291"/>
        <v>0</v>
      </c>
      <c r="BT506" s="3175">
        <f t="shared" si="292"/>
        <v>0</v>
      </c>
    </row>
    <row r="507" spans="1:72">
      <c r="A507" s="3120"/>
      <c r="B507" s="3121"/>
      <c r="C507" s="3121"/>
      <c r="D507" s="3122"/>
      <c r="E507" s="3123">
        <f t="shared" si="293"/>
        <v>0</v>
      </c>
      <c r="F507" s="3124"/>
      <c r="G507" s="3125">
        <f t="shared" si="268"/>
        <v>0</v>
      </c>
      <c r="H507" s="3126">
        <f t="shared" si="269"/>
        <v>0</v>
      </c>
      <c r="I507" s="3133"/>
      <c r="J507" s="3133"/>
      <c r="K507" s="3133"/>
      <c r="L507" s="3133"/>
      <c r="M507" s="3133"/>
      <c r="N507" s="3133"/>
      <c r="O507" s="3133"/>
      <c r="P507" s="3133"/>
      <c r="Q507" s="3133"/>
      <c r="R507" s="3133"/>
      <c r="S507" s="3133"/>
      <c r="T507" s="3133"/>
      <c r="U507" s="3133"/>
      <c r="V507" s="3133"/>
      <c r="W507" s="3133"/>
      <c r="X507" s="3133"/>
      <c r="Y507" s="3133"/>
      <c r="Z507" s="3133"/>
      <c r="AA507" s="3133"/>
      <c r="AB507" s="3133"/>
      <c r="AC507" s="3123">
        <f t="shared" si="270"/>
        <v>0</v>
      </c>
      <c r="AD507" s="3143"/>
      <c r="AE507" s="3143"/>
      <c r="AF507" s="3143"/>
      <c r="AG507" s="3143"/>
      <c r="AH507" s="3143"/>
      <c r="AI507" s="3143"/>
      <c r="AJ507" s="3143"/>
      <c r="AK507" s="3143"/>
      <c r="AL507" s="3143"/>
      <c r="AM507" s="3143"/>
      <c r="AN507" s="3143"/>
      <c r="AO507" s="3143"/>
      <c r="AP507" s="3143"/>
      <c r="AQ507" s="3143"/>
      <c r="AR507" s="3143"/>
      <c r="AS507" s="3143"/>
      <c r="AT507" s="3153"/>
      <c r="AU507" s="3154"/>
      <c r="AV507" s="270">
        <f t="shared" si="294"/>
        <v>0</v>
      </c>
      <c r="AW507" s="270">
        <f t="shared" si="295"/>
        <v>0</v>
      </c>
      <c r="AX507" s="270">
        <f t="shared" si="296"/>
        <v>0</v>
      </c>
      <c r="AY507" s="3168">
        <f t="shared" si="271"/>
        <v>0</v>
      </c>
      <c r="AZ507" s="3123">
        <f t="shared" si="272"/>
        <v>0</v>
      </c>
      <c r="BA507" s="3123">
        <f t="shared" si="273"/>
        <v>0</v>
      </c>
      <c r="BB507" s="3123">
        <f t="shared" si="274"/>
        <v>0</v>
      </c>
      <c r="BC507" s="3123">
        <f t="shared" si="275"/>
        <v>0</v>
      </c>
      <c r="BD507" s="3123">
        <f t="shared" si="276"/>
        <v>0</v>
      </c>
      <c r="BE507" s="3123">
        <f t="shared" si="277"/>
        <v>0</v>
      </c>
      <c r="BF507" s="3123">
        <f t="shared" si="278"/>
        <v>0</v>
      </c>
      <c r="BG507" s="3123">
        <f t="shared" si="279"/>
        <v>0</v>
      </c>
      <c r="BH507" s="3123">
        <f t="shared" si="280"/>
        <v>0</v>
      </c>
      <c r="BI507" s="3123">
        <f t="shared" si="281"/>
        <v>0</v>
      </c>
      <c r="BJ507" s="3123">
        <f t="shared" si="282"/>
        <v>0</v>
      </c>
      <c r="BK507" s="3123">
        <f t="shared" si="283"/>
        <v>0</v>
      </c>
      <c r="BL507" s="3123">
        <f t="shared" si="284"/>
        <v>0</v>
      </c>
      <c r="BM507" s="3123">
        <f t="shared" si="285"/>
        <v>0</v>
      </c>
      <c r="BN507" s="3123">
        <f t="shared" si="286"/>
        <v>0</v>
      </c>
      <c r="BO507" s="3123">
        <f t="shared" si="287"/>
        <v>0</v>
      </c>
      <c r="BP507" s="3123">
        <f t="shared" si="288"/>
        <v>0</v>
      </c>
      <c r="BQ507" s="3123">
        <f t="shared" si="289"/>
        <v>0</v>
      </c>
      <c r="BR507" s="3123">
        <f t="shared" si="290"/>
        <v>0</v>
      </c>
      <c r="BS507" s="3123">
        <f t="shared" si="291"/>
        <v>0</v>
      </c>
      <c r="BT507" s="3175">
        <f t="shared" si="292"/>
        <v>0</v>
      </c>
    </row>
    <row r="508" spans="1:72">
      <c r="A508" s="3120"/>
      <c r="B508" s="3121"/>
      <c r="C508" s="3121"/>
      <c r="D508" s="3122"/>
      <c r="E508" s="3123">
        <f t="shared" si="293"/>
        <v>0</v>
      </c>
      <c r="F508" s="3124"/>
      <c r="G508" s="3125">
        <f t="shared" si="268"/>
        <v>0</v>
      </c>
      <c r="H508" s="3126">
        <f t="shared" si="269"/>
        <v>0</v>
      </c>
      <c r="I508" s="3133"/>
      <c r="J508" s="3133"/>
      <c r="K508" s="3133"/>
      <c r="L508" s="3133"/>
      <c r="M508" s="3133"/>
      <c r="N508" s="3133"/>
      <c r="O508" s="3133"/>
      <c r="P508" s="3133"/>
      <c r="Q508" s="3133"/>
      <c r="R508" s="3133"/>
      <c r="S508" s="3133"/>
      <c r="T508" s="3133"/>
      <c r="U508" s="3133"/>
      <c r="V508" s="3133"/>
      <c r="W508" s="3133"/>
      <c r="X508" s="3133"/>
      <c r="Y508" s="3133"/>
      <c r="Z508" s="3133"/>
      <c r="AA508" s="3133"/>
      <c r="AB508" s="3133"/>
      <c r="AC508" s="3123">
        <f t="shared" si="270"/>
        <v>0</v>
      </c>
      <c r="AD508" s="3143"/>
      <c r="AE508" s="3143"/>
      <c r="AF508" s="3143"/>
      <c r="AG508" s="3143"/>
      <c r="AH508" s="3143"/>
      <c r="AI508" s="3143"/>
      <c r="AJ508" s="3143"/>
      <c r="AK508" s="3143"/>
      <c r="AL508" s="3143"/>
      <c r="AM508" s="3143"/>
      <c r="AN508" s="3143"/>
      <c r="AO508" s="3143"/>
      <c r="AP508" s="3143"/>
      <c r="AQ508" s="3143"/>
      <c r="AR508" s="3143"/>
      <c r="AS508" s="3143"/>
      <c r="AT508" s="3153"/>
      <c r="AU508" s="3154"/>
      <c r="AV508" s="270">
        <f t="shared" si="294"/>
        <v>0</v>
      </c>
      <c r="AW508" s="270">
        <f t="shared" si="295"/>
        <v>0</v>
      </c>
      <c r="AX508" s="270">
        <f t="shared" si="296"/>
        <v>0</v>
      </c>
      <c r="AY508" s="3168">
        <f t="shared" si="271"/>
        <v>0</v>
      </c>
      <c r="AZ508" s="3123">
        <f t="shared" si="272"/>
        <v>0</v>
      </c>
      <c r="BA508" s="3123">
        <f t="shared" si="273"/>
        <v>0</v>
      </c>
      <c r="BB508" s="3123">
        <f t="shared" si="274"/>
        <v>0</v>
      </c>
      <c r="BC508" s="3123">
        <f t="shared" si="275"/>
        <v>0</v>
      </c>
      <c r="BD508" s="3123">
        <f t="shared" si="276"/>
        <v>0</v>
      </c>
      <c r="BE508" s="3123">
        <f t="shared" si="277"/>
        <v>0</v>
      </c>
      <c r="BF508" s="3123">
        <f t="shared" si="278"/>
        <v>0</v>
      </c>
      <c r="BG508" s="3123">
        <f t="shared" si="279"/>
        <v>0</v>
      </c>
      <c r="BH508" s="3123">
        <f t="shared" si="280"/>
        <v>0</v>
      </c>
      <c r="BI508" s="3123">
        <f t="shared" si="281"/>
        <v>0</v>
      </c>
      <c r="BJ508" s="3123">
        <f t="shared" si="282"/>
        <v>0</v>
      </c>
      <c r="BK508" s="3123">
        <f t="shared" si="283"/>
        <v>0</v>
      </c>
      <c r="BL508" s="3123">
        <f t="shared" si="284"/>
        <v>0</v>
      </c>
      <c r="BM508" s="3123">
        <f t="shared" si="285"/>
        <v>0</v>
      </c>
      <c r="BN508" s="3123">
        <f t="shared" si="286"/>
        <v>0</v>
      </c>
      <c r="BO508" s="3123">
        <f t="shared" si="287"/>
        <v>0</v>
      </c>
      <c r="BP508" s="3123">
        <f t="shared" si="288"/>
        <v>0</v>
      </c>
      <c r="BQ508" s="3123">
        <f t="shared" si="289"/>
        <v>0</v>
      </c>
      <c r="BR508" s="3123">
        <f t="shared" si="290"/>
        <v>0</v>
      </c>
      <c r="BS508" s="3123">
        <f t="shared" si="291"/>
        <v>0</v>
      </c>
      <c r="BT508" s="3175">
        <f t="shared" si="292"/>
        <v>0</v>
      </c>
    </row>
    <row r="509" spans="1:72">
      <c r="A509" s="3120"/>
      <c r="B509" s="3121"/>
      <c r="C509" s="3121"/>
      <c r="D509" s="3122"/>
      <c r="E509" s="3123">
        <f t="shared" si="293"/>
        <v>0</v>
      </c>
      <c r="F509" s="3124"/>
      <c r="G509" s="3125">
        <f t="shared" si="268"/>
        <v>0</v>
      </c>
      <c r="H509" s="3126">
        <f t="shared" si="269"/>
        <v>0</v>
      </c>
      <c r="I509" s="3133"/>
      <c r="J509" s="3133"/>
      <c r="K509" s="3133"/>
      <c r="L509" s="3133"/>
      <c r="M509" s="3133"/>
      <c r="N509" s="3133"/>
      <c r="O509" s="3133"/>
      <c r="P509" s="3133"/>
      <c r="Q509" s="3133"/>
      <c r="R509" s="3133"/>
      <c r="S509" s="3133"/>
      <c r="T509" s="3133"/>
      <c r="U509" s="3133"/>
      <c r="V509" s="3133"/>
      <c r="W509" s="3133"/>
      <c r="X509" s="3133"/>
      <c r="Y509" s="3133"/>
      <c r="Z509" s="3133"/>
      <c r="AA509" s="3133"/>
      <c r="AB509" s="3133"/>
      <c r="AC509" s="3123">
        <f t="shared" si="270"/>
        <v>0</v>
      </c>
      <c r="AD509" s="3143"/>
      <c r="AE509" s="3143"/>
      <c r="AF509" s="3143"/>
      <c r="AG509" s="3143"/>
      <c r="AH509" s="3143"/>
      <c r="AI509" s="3143"/>
      <c r="AJ509" s="3143"/>
      <c r="AK509" s="3143"/>
      <c r="AL509" s="3143"/>
      <c r="AM509" s="3143"/>
      <c r="AN509" s="3143"/>
      <c r="AO509" s="3143"/>
      <c r="AP509" s="3143"/>
      <c r="AQ509" s="3143"/>
      <c r="AR509" s="3143"/>
      <c r="AS509" s="3143"/>
      <c r="AT509" s="3153"/>
      <c r="AU509" s="3154"/>
      <c r="AV509" s="270">
        <f t="shared" si="294"/>
        <v>0</v>
      </c>
      <c r="AW509" s="270">
        <f t="shared" si="295"/>
        <v>0</v>
      </c>
      <c r="AX509" s="270">
        <f t="shared" si="296"/>
        <v>0</v>
      </c>
      <c r="AY509" s="3168">
        <f t="shared" si="271"/>
        <v>0</v>
      </c>
      <c r="AZ509" s="3123">
        <f t="shared" si="272"/>
        <v>0</v>
      </c>
      <c r="BA509" s="3123">
        <f t="shared" si="273"/>
        <v>0</v>
      </c>
      <c r="BB509" s="3123">
        <f t="shared" si="274"/>
        <v>0</v>
      </c>
      <c r="BC509" s="3123">
        <f t="shared" si="275"/>
        <v>0</v>
      </c>
      <c r="BD509" s="3123">
        <f t="shared" si="276"/>
        <v>0</v>
      </c>
      <c r="BE509" s="3123">
        <f t="shared" si="277"/>
        <v>0</v>
      </c>
      <c r="BF509" s="3123">
        <f t="shared" si="278"/>
        <v>0</v>
      </c>
      <c r="BG509" s="3123">
        <f t="shared" si="279"/>
        <v>0</v>
      </c>
      <c r="BH509" s="3123">
        <f t="shared" si="280"/>
        <v>0</v>
      </c>
      <c r="BI509" s="3123">
        <f t="shared" si="281"/>
        <v>0</v>
      </c>
      <c r="BJ509" s="3123">
        <f t="shared" si="282"/>
        <v>0</v>
      </c>
      <c r="BK509" s="3123">
        <f t="shared" si="283"/>
        <v>0</v>
      </c>
      <c r="BL509" s="3123">
        <f t="shared" si="284"/>
        <v>0</v>
      </c>
      <c r="BM509" s="3123">
        <f t="shared" si="285"/>
        <v>0</v>
      </c>
      <c r="BN509" s="3123">
        <f t="shared" si="286"/>
        <v>0</v>
      </c>
      <c r="BO509" s="3123">
        <f t="shared" si="287"/>
        <v>0</v>
      </c>
      <c r="BP509" s="3123">
        <f t="shared" si="288"/>
        <v>0</v>
      </c>
      <c r="BQ509" s="3123">
        <f t="shared" si="289"/>
        <v>0</v>
      </c>
      <c r="BR509" s="3123">
        <f t="shared" si="290"/>
        <v>0</v>
      </c>
      <c r="BS509" s="3123">
        <f t="shared" si="291"/>
        <v>0</v>
      </c>
      <c r="BT509" s="3175">
        <f t="shared" si="292"/>
        <v>0</v>
      </c>
    </row>
    <row r="510" spans="1:72">
      <c r="A510" s="3120"/>
      <c r="B510" s="3121"/>
      <c r="C510" s="3121"/>
      <c r="D510" s="3122"/>
      <c r="E510" s="3123">
        <f t="shared" si="293"/>
        <v>0</v>
      </c>
      <c r="F510" s="3124"/>
      <c r="G510" s="3125">
        <f t="shared" si="268"/>
        <v>0</v>
      </c>
      <c r="H510" s="3126">
        <f t="shared" si="269"/>
        <v>0</v>
      </c>
      <c r="I510" s="3133"/>
      <c r="J510" s="3133"/>
      <c r="K510" s="3133"/>
      <c r="L510" s="3133"/>
      <c r="M510" s="3133"/>
      <c r="N510" s="3133"/>
      <c r="O510" s="3133"/>
      <c r="P510" s="3133"/>
      <c r="Q510" s="3133"/>
      <c r="R510" s="3133"/>
      <c r="S510" s="3133"/>
      <c r="T510" s="3133"/>
      <c r="U510" s="3133"/>
      <c r="V510" s="3133"/>
      <c r="W510" s="3133"/>
      <c r="X510" s="3133"/>
      <c r="Y510" s="3133"/>
      <c r="Z510" s="3133"/>
      <c r="AA510" s="3133"/>
      <c r="AB510" s="3133"/>
      <c r="AC510" s="3123">
        <f t="shared" si="270"/>
        <v>0</v>
      </c>
      <c r="AD510" s="3143"/>
      <c r="AE510" s="3143"/>
      <c r="AF510" s="3143"/>
      <c r="AG510" s="3143"/>
      <c r="AH510" s="3143"/>
      <c r="AI510" s="3143"/>
      <c r="AJ510" s="3143"/>
      <c r="AK510" s="3143"/>
      <c r="AL510" s="3143"/>
      <c r="AM510" s="3143"/>
      <c r="AN510" s="3143"/>
      <c r="AO510" s="3143"/>
      <c r="AP510" s="3143"/>
      <c r="AQ510" s="3143"/>
      <c r="AR510" s="3143"/>
      <c r="AS510" s="3143"/>
      <c r="AT510" s="3153"/>
      <c r="AU510" s="3154"/>
      <c r="AV510" s="270">
        <f t="shared" si="294"/>
        <v>0</v>
      </c>
      <c r="AW510" s="270">
        <f t="shared" si="295"/>
        <v>0</v>
      </c>
      <c r="AX510" s="270">
        <f t="shared" si="296"/>
        <v>0</v>
      </c>
      <c r="AY510" s="3168">
        <f t="shared" si="271"/>
        <v>0</v>
      </c>
      <c r="AZ510" s="3123">
        <f t="shared" si="272"/>
        <v>0</v>
      </c>
      <c r="BA510" s="3123">
        <f t="shared" si="273"/>
        <v>0</v>
      </c>
      <c r="BB510" s="3123">
        <f t="shared" si="274"/>
        <v>0</v>
      </c>
      <c r="BC510" s="3123">
        <f t="shared" si="275"/>
        <v>0</v>
      </c>
      <c r="BD510" s="3123">
        <f t="shared" si="276"/>
        <v>0</v>
      </c>
      <c r="BE510" s="3123">
        <f t="shared" si="277"/>
        <v>0</v>
      </c>
      <c r="BF510" s="3123">
        <f t="shared" si="278"/>
        <v>0</v>
      </c>
      <c r="BG510" s="3123">
        <f t="shared" si="279"/>
        <v>0</v>
      </c>
      <c r="BH510" s="3123">
        <f t="shared" si="280"/>
        <v>0</v>
      </c>
      <c r="BI510" s="3123">
        <f t="shared" si="281"/>
        <v>0</v>
      </c>
      <c r="BJ510" s="3123">
        <f t="shared" si="282"/>
        <v>0</v>
      </c>
      <c r="BK510" s="3123">
        <f t="shared" si="283"/>
        <v>0</v>
      </c>
      <c r="BL510" s="3123">
        <f t="shared" si="284"/>
        <v>0</v>
      </c>
      <c r="BM510" s="3123">
        <f t="shared" si="285"/>
        <v>0</v>
      </c>
      <c r="BN510" s="3123">
        <f t="shared" si="286"/>
        <v>0</v>
      </c>
      <c r="BO510" s="3123">
        <f t="shared" si="287"/>
        <v>0</v>
      </c>
      <c r="BP510" s="3123">
        <f t="shared" si="288"/>
        <v>0</v>
      </c>
      <c r="BQ510" s="3123">
        <f t="shared" si="289"/>
        <v>0</v>
      </c>
      <c r="BR510" s="3123">
        <f t="shared" si="290"/>
        <v>0</v>
      </c>
      <c r="BS510" s="3123">
        <f t="shared" si="291"/>
        <v>0</v>
      </c>
      <c r="BT510" s="3175">
        <f t="shared" si="292"/>
        <v>0</v>
      </c>
    </row>
    <row r="511" spans="1:72">
      <c r="A511" s="3120"/>
      <c r="B511" s="3121"/>
      <c r="C511" s="3121"/>
      <c r="D511" s="3122"/>
      <c r="E511" s="3123">
        <f t="shared" si="293"/>
        <v>0</v>
      </c>
      <c r="F511" s="3124"/>
      <c r="G511" s="3125">
        <f t="shared" si="268"/>
        <v>0</v>
      </c>
      <c r="H511" s="3126">
        <f t="shared" si="269"/>
        <v>0</v>
      </c>
      <c r="I511" s="3133"/>
      <c r="J511" s="3133"/>
      <c r="K511" s="3133"/>
      <c r="L511" s="3133"/>
      <c r="M511" s="3133"/>
      <c r="N511" s="3133"/>
      <c r="O511" s="3133"/>
      <c r="P511" s="3133"/>
      <c r="Q511" s="3133"/>
      <c r="R511" s="3133"/>
      <c r="S511" s="3133"/>
      <c r="T511" s="3133"/>
      <c r="U511" s="3133"/>
      <c r="V511" s="3133"/>
      <c r="W511" s="3133"/>
      <c r="X511" s="3133"/>
      <c r="Y511" s="3133"/>
      <c r="Z511" s="3133"/>
      <c r="AA511" s="3133"/>
      <c r="AB511" s="3133"/>
      <c r="AC511" s="3123">
        <f t="shared" si="270"/>
        <v>0</v>
      </c>
      <c r="AD511" s="3143"/>
      <c r="AE511" s="3143"/>
      <c r="AF511" s="3143"/>
      <c r="AG511" s="3143"/>
      <c r="AH511" s="3143"/>
      <c r="AI511" s="3143"/>
      <c r="AJ511" s="3143"/>
      <c r="AK511" s="3143"/>
      <c r="AL511" s="3143"/>
      <c r="AM511" s="3143"/>
      <c r="AN511" s="3143"/>
      <c r="AO511" s="3143"/>
      <c r="AP511" s="3143"/>
      <c r="AQ511" s="3143"/>
      <c r="AR511" s="3143"/>
      <c r="AS511" s="3143"/>
      <c r="AT511" s="3153"/>
      <c r="AU511" s="3154"/>
      <c r="AV511" s="270">
        <f t="shared" si="294"/>
        <v>0</v>
      </c>
      <c r="AW511" s="270">
        <f t="shared" si="295"/>
        <v>0</v>
      </c>
      <c r="AX511" s="270">
        <f t="shared" si="296"/>
        <v>0</v>
      </c>
      <c r="AY511" s="3168">
        <f t="shared" si="271"/>
        <v>0</v>
      </c>
      <c r="AZ511" s="3123">
        <f t="shared" si="272"/>
        <v>0</v>
      </c>
      <c r="BA511" s="3123">
        <f t="shared" si="273"/>
        <v>0</v>
      </c>
      <c r="BB511" s="3123">
        <f t="shared" si="274"/>
        <v>0</v>
      </c>
      <c r="BC511" s="3123">
        <f t="shared" si="275"/>
        <v>0</v>
      </c>
      <c r="BD511" s="3123">
        <f t="shared" si="276"/>
        <v>0</v>
      </c>
      <c r="BE511" s="3123">
        <f t="shared" si="277"/>
        <v>0</v>
      </c>
      <c r="BF511" s="3123">
        <f t="shared" si="278"/>
        <v>0</v>
      </c>
      <c r="BG511" s="3123">
        <f t="shared" si="279"/>
        <v>0</v>
      </c>
      <c r="BH511" s="3123">
        <f t="shared" si="280"/>
        <v>0</v>
      </c>
      <c r="BI511" s="3123">
        <f t="shared" si="281"/>
        <v>0</v>
      </c>
      <c r="BJ511" s="3123">
        <f t="shared" si="282"/>
        <v>0</v>
      </c>
      <c r="BK511" s="3123">
        <f t="shared" si="283"/>
        <v>0</v>
      </c>
      <c r="BL511" s="3123">
        <f t="shared" si="284"/>
        <v>0</v>
      </c>
      <c r="BM511" s="3123">
        <f t="shared" si="285"/>
        <v>0</v>
      </c>
      <c r="BN511" s="3123">
        <f t="shared" si="286"/>
        <v>0</v>
      </c>
      <c r="BO511" s="3123">
        <f t="shared" si="287"/>
        <v>0</v>
      </c>
      <c r="BP511" s="3123">
        <f t="shared" si="288"/>
        <v>0</v>
      </c>
      <c r="BQ511" s="3123">
        <f t="shared" si="289"/>
        <v>0</v>
      </c>
      <c r="BR511" s="3123">
        <f t="shared" si="290"/>
        <v>0</v>
      </c>
      <c r="BS511" s="3123">
        <f t="shared" si="291"/>
        <v>0</v>
      </c>
      <c r="BT511" s="3175">
        <f t="shared" si="292"/>
        <v>0</v>
      </c>
    </row>
    <row r="512" spans="1:72">
      <c r="A512" s="3120"/>
      <c r="B512" s="3121"/>
      <c r="C512" s="3121"/>
      <c r="D512" s="3122"/>
      <c r="E512" s="3123">
        <f t="shared" si="293"/>
        <v>0</v>
      </c>
      <c r="F512" s="3124"/>
      <c r="G512" s="3125">
        <f t="shared" si="268"/>
        <v>0</v>
      </c>
      <c r="H512" s="3126">
        <f t="shared" si="269"/>
        <v>0</v>
      </c>
      <c r="I512" s="3133"/>
      <c r="J512" s="3133"/>
      <c r="K512" s="3133"/>
      <c r="L512" s="3133"/>
      <c r="M512" s="3133"/>
      <c r="N512" s="3133"/>
      <c r="O512" s="3133"/>
      <c r="P512" s="3133"/>
      <c r="Q512" s="3133"/>
      <c r="R512" s="3133"/>
      <c r="S512" s="3133"/>
      <c r="T512" s="3133"/>
      <c r="U512" s="3133"/>
      <c r="V512" s="3133"/>
      <c r="W512" s="3133"/>
      <c r="X512" s="3133"/>
      <c r="Y512" s="3133"/>
      <c r="Z512" s="3133"/>
      <c r="AA512" s="3133"/>
      <c r="AB512" s="3133"/>
      <c r="AC512" s="3123">
        <f t="shared" si="270"/>
        <v>0</v>
      </c>
      <c r="AD512" s="3143"/>
      <c r="AE512" s="3143"/>
      <c r="AF512" s="3143"/>
      <c r="AG512" s="3143"/>
      <c r="AH512" s="3143"/>
      <c r="AI512" s="3143"/>
      <c r="AJ512" s="3143"/>
      <c r="AK512" s="3143"/>
      <c r="AL512" s="3143"/>
      <c r="AM512" s="3143"/>
      <c r="AN512" s="3143"/>
      <c r="AO512" s="3143"/>
      <c r="AP512" s="3143"/>
      <c r="AQ512" s="3143"/>
      <c r="AR512" s="3143"/>
      <c r="AS512" s="3143"/>
      <c r="AT512" s="3153"/>
      <c r="AU512" s="3154"/>
      <c r="AV512" s="270">
        <f t="shared" si="294"/>
        <v>0</v>
      </c>
      <c r="AW512" s="270">
        <f t="shared" si="295"/>
        <v>0</v>
      </c>
      <c r="AX512" s="270">
        <f t="shared" si="296"/>
        <v>0</v>
      </c>
      <c r="AY512" s="3168">
        <f t="shared" si="271"/>
        <v>0</v>
      </c>
      <c r="AZ512" s="3123">
        <f t="shared" si="272"/>
        <v>0</v>
      </c>
      <c r="BA512" s="3123">
        <f t="shared" si="273"/>
        <v>0</v>
      </c>
      <c r="BB512" s="3123">
        <f t="shared" si="274"/>
        <v>0</v>
      </c>
      <c r="BC512" s="3123">
        <f t="shared" si="275"/>
        <v>0</v>
      </c>
      <c r="BD512" s="3123">
        <f t="shared" si="276"/>
        <v>0</v>
      </c>
      <c r="BE512" s="3123">
        <f t="shared" si="277"/>
        <v>0</v>
      </c>
      <c r="BF512" s="3123">
        <f t="shared" si="278"/>
        <v>0</v>
      </c>
      <c r="BG512" s="3123">
        <f t="shared" si="279"/>
        <v>0</v>
      </c>
      <c r="BH512" s="3123">
        <f t="shared" si="280"/>
        <v>0</v>
      </c>
      <c r="BI512" s="3123">
        <f t="shared" si="281"/>
        <v>0</v>
      </c>
      <c r="BJ512" s="3123">
        <f t="shared" si="282"/>
        <v>0</v>
      </c>
      <c r="BK512" s="3123">
        <f t="shared" si="283"/>
        <v>0</v>
      </c>
      <c r="BL512" s="3123">
        <f t="shared" si="284"/>
        <v>0</v>
      </c>
      <c r="BM512" s="3123">
        <f t="shared" si="285"/>
        <v>0</v>
      </c>
      <c r="BN512" s="3123">
        <f t="shared" si="286"/>
        <v>0</v>
      </c>
      <c r="BO512" s="3123">
        <f t="shared" si="287"/>
        <v>0</v>
      </c>
      <c r="BP512" s="3123">
        <f t="shared" si="288"/>
        <v>0</v>
      </c>
      <c r="BQ512" s="3123">
        <f t="shared" si="289"/>
        <v>0</v>
      </c>
      <c r="BR512" s="3123">
        <f t="shared" si="290"/>
        <v>0</v>
      </c>
      <c r="BS512" s="3123">
        <f t="shared" si="291"/>
        <v>0</v>
      </c>
      <c r="BT512" s="3175">
        <f t="shared" si="292"/>
        <v>0</v>
      </c>
    </row>
    <row r="513" spans="1:72">
      <c r="A513" s="3120"/>
      <c r="B513" s="3121"/>
      <c r="C513" s="3121"/>
      <c r="D513" s="3122"/>
      <c r="E513" s="3123">
        <f t="shared" si="293"/>
        <v>0</v>
      </c>
      <c r="F513" s="3124"/>
      <c r="G513" s="3125">
        <f t="shared" si="268"/>
        <v>0</v>
      </c>
      <c r="H513" s="3126">
        <f t="shared" si="269"/>
        <v>0</v>
      </c>
      <c r="I513" s="3133"/>
      <c r="J513" s="3133"/>
      <c r="K513" s="3133"/>
      <c r="L513" s="3133"/>
      <c r="M513" s="3133"/>
      <c r="N513" s="3133"/>
      <c r="O513" s="3133"/>
      <c r="P513" s="3133"/>
      <c r="Q513" s="3133"/>
      <c r="R513" s="3133"/>
      <c r="S513" s="3133"/>
      <c r="T513" s="3133"/>
      <c r="U513" s="3133"/>
      <c r="V513" s="3133"/>
      <c r="W513" s="3133"/>
      <c r="X513" s="3133"/>
      <c r="Y513" s="3133"/>
      <c r="Z513" s="3133"/>
      <c r="AA513" s="3133"/>
      <c r="AB513" s="3133"/>
      <c r="AC513" s="3123">
        <f t="shared" si="270"/>
        <v>0</v>
      </c>
      <c r="AD513" s="3143"/>
      <c r="AE513" s="3143"/>
      <c r="AF513" s="3143"/>
      <c r="AG513" s="3143"/>
      <c r="AH513" s="3143"/>
      <c r="AI513" s="3143"/>
      <c r="AJ513" s="3143"/>
      <c r="AK513" s="3143"/>
      <c r="AL513" s="3143"/>
      <c r="AM513" s="3143"/>
      <c r="AN513" s="3143"/>
      <c r="AO513" s="3143"/>
      <c r="AP513" s="3143"/>
      <c r="AQ513" s="3143"/>
      <c r="AR513" s="3143"/>
      <c r="AS513" s="3143"/>
      <c r="AT513" s="3153"/>
      <c r="AU513" s="3154"/>
      <c r="AV513" s="270">
        <f t="shared" si="294"/>
        <v>0</v>
      </c>
      <c r="AW513" s="270">
        <f t="shared" si="295"/>
        <v>0</v>
      </c>
      <c r="AX513" s="270">
        <f t="shared" si="296"/>
        <v>0</v>
      </c>
      <c r="AY513" s="3168">
        <f t="shared" si="271"/>
        <v>0</v>
      </c>
      <c r="AZ513" s="3123">
        <f t="shared" si="272"/>
        <v>0</v>
      </c>
      <c r="BA513" s="3123">
        <f t="shared" si="273"/>
        <v>0</v>
      </c>
      <c r="BB513" s="3123">
        <f t="shared" si="274"/>
        <v>0</v>
      </c>
      <c r="BC513" s="3123">
        <f t="shared" si="275"/>
        <v>0</v>
      </c>
      <c r="BD513" s="3123">
        <f t="shared" si="276"/>
        <v>0</v>
      </c>
      <c r="BE513" s="3123">
        <f t="shared" si="277"/>
        <v>0</v>
      </c>
      <c r="BF513" s="3123">
        <f t="shared" si="278"/>
        <v>0</v>
      </c>
      <c r="BG513" s="3123">
        <f t="shared" si="279"/>
        <v>0</v>
      </c>
      <c r="BH513" s="3123">
        <f t="shared" si="280"/>
        <v>0</v>
      </c>
      <c r="BI513" s="3123">
        <f t="shared" si="281"/>
        <v>0</v>
      </c>
      <c r="BJ513" s="3123">
        <f t="shared" si="282"/>
        <v>0</v>
      </c>
      <c r="BK513" s="3123">
        <f t="shared" si="283"/>
        <v>0</v>
      </c>
      <c r="BL513" s="3123">
        <f t="shared" si="284"/>
        <v>0</v>
      </c>
      <c r="BM513" s="3123">
        <f t="shared" si="285"/>
        <v>0</v>
      </c>
      <c r="BN513" s="3123">
        <f t="shared" si="286"/>
        <v>0</v>
      </c>
      <c r="BO513" s="3123">
        <f t="shared" si="287"/>
        <v>0</v>
      </c>
      <c r="BP513" s="3123">
        <f t="shared" si="288"/>
        <v>0</v>
      </c>
      <c r="BQ513" s="3123">
        <f t="shared" si="289"/>
        <v>0</v>
      </c>
      <c r="BR513" s="3123">
        <f t="shared" si="290"/>
        <v>0</v>
      </c>
      <c r="BS513" s="3123">
        <f t="shared" si="291"/>
        <v>0</v>
      </c>
      <c r="BT513" s="3175">
        <f t="shared" si="292"/>
        <v>0</v>
      </c>
    </row>
    <row r="514" spans="1:72">
      <c r="A514" s="3120"/>
      <c r="B514" s="3121"/>
      <c r="C514" s="3121"/>
      <c r="D514" s="3122"/>
      <c r="E514" s="3123">
        <f t="shared" si="293"/>
        <v>0</v>
      </c>
      <c r="F514" s="3124"/>
      <c r="G514" s="3125">
        <f t="shared" si="268"/>
        <v>0</v>
      </c>
      <c r="H514" s="3126">
        <f t="shared" si="269"/>
        <v>0</v>
      </c>
      <c r="I514" s="3133"/>
      <c r="J514" s="3133"/>
      <c r="K514" s="3133"/>
      <c r="L514" s="3133"/>
      <c r="M514" s="3133"/>
      <c r="N514" s="3133"/>
      <c r="O514" s="3133"/>
      <c r="P514" s="3133"/>
      <c r="Q514" s="3133"/>
      <c r="R514" s="3133"/>
      <c r="S514" s="3133"/>
      <c r="T514" s="3133"/>
      <c r="U514" s="3133"/>
      <c r="V514" s="3133"/>
      <c r="W514" s="3133"/>
      <c r="X514" s="3133"/>
      <c r="Y514" s="3133"/>
      <c r="Z514" s="3133"/>
      <c r="AA514" s="3133"/>
      <c r="AB514" s="3133"/>
      <c r="AC514" s="3123">
        <f t="shared" si="270"/>
        <v>0</v>
      </c>
      <c r="AD514" s="3143"/>
      <c r="AE514" s="3143"/>
      <c r="AF514" s="3143"/>
      <c r="AG514" s="3143"/>
      <c r="AH514" s="3143"/>
      <c r="AI514" s="3143"/>
      <c r="AJ514" s="3143"/>
      <c r="AK514" s="3143"/>
      <c r="AL514" s="3143"/>
      <c r="AM514" s="3143"/>
      <c r="AN514" s="3143"/>
      <c r="AO514" s="3143"/>
      <c r="AP514" s="3143"/>
      <c r="AQ514" s="3143"/>
      <c r="AR514" s="3143"/>
      <c r="AS514" s="3143"/>
      <c r="AT514" s="3153"/>
      <c r="AU514" s="3154"/>
      <c r="AV514" s="270">
        <f t="shared" si="294"/>
        <v>0</v>
      </c>
      <c r="AW514" s="270">
        <f t="shared" si="295"/>
        <v>0</v>
      </c>
      <c r="AX514" s="270">
        <f t="shared" si="296"/>
        <v>0</v>
      </c>
      <c r="AY514" s="3168">
        <f t="shared" si="271"/>
        <v>0</v>
      </c>
      <c r="AZ514" s="3123">
        <f t="shared" si="272"/>
        <v>0</v>
      </c>
      <c r="BA514" s="3123">
        <f t="shared" si="273"/>
        <v>0</v>
      </c>
      <c r="BB514" s="3123">
        <f t="shared" si="274"/>
        <v>0</v>
      </c>
      <c r="BC514" s="3123">
        <f t="shared" si="275"/>
        <v>0</v>
      </c>
      <c r="BD514" s="3123">
        <f t="shared" si="276"/>
        <v>0</v>
      </c>
      <c r="BE514" s="3123">
        <f t="shared" si="277"/>
        <v>0</v>
      </c>
      <c r="BF514" s="3123">
        <f t="shared" si="278"/>
        <v>0</v>
      </c>
      <c r="BG514" s="3123">
        <f t="shared" si="279"/>
        <v>0</v>
      </c>
      <c r="BH514" s="3123">
        <f t="shared" si="280"/>
        <v>0</v>
      </c>
      <c r="BI514" s="3123">
        <f t="shared" si="281"/>
        <v>0</v>
      </c>
      <c r="BJ514" s="3123">
        <f t="shared" si="282"/>
        <v>0</v>
      </c>
      <c r="BK514" s="3123">
        <f t="shared" si="283"/>
        <v>0</v>
      </c>
      <c r="BL514" s="3123">
        <f t="shared" si="284"/>
        <v>0</v>
      </c>
      <c r="BM514" s="3123">
        <f t="shared" si="285"/>
        <v>0</v>
      </c>
      <c r="BN514" s="3123">
        <f t="shared" si="286"/>
        <v>0</v>
      </c>
      <c r="BO514" s="3123">
        <f t="shared" si="287"/>
        <v>0</v>
      </c>
      <c r="BP514" s="3123">
        <f t="shared" si="288"/>
        <v>0</v>
      </c>
      <c r="BQ514" s="3123">
        <f t="shared" si="289"/>
        <v>0</v>
      </c>
      <c r="BR514" s="3123">
        <f t="shared" si="290"/>
        <v>0</v>
      </c>
      <c r="BS514" s="3123">
        <f t="shared" si="291"/>
        <v>0</v>
      </c>
      <c r="BT514" s="3175">
        <f t="shared" si="292"/>
        <v>0</v>
      </c>
    </row>
    <row r="515" spans="1:72">
      <c r="A515" s="3120"/>
      <c r="B515" s="3121"/>
      <c r="C515" s="3121"/>
      <c r="D515" s="3122"/>
      <c r="E515" s="3123">
        <f t="shared" si="293"/>
        <v>0</v>
      </c>
      <c r="F515" s="3124"/>
      <c r="G515" s="3125">
        <f t="shared" si="268"/>
        <v>0</v>
      </c>
      <c r="H515" s="3126">
        <f t="shared" si="269"/>
        <v>0</v>
      </c>
      <c r="I515" s="3133"/>
      <c r="J515" s="3133"/>
      <c r="K515" s="3133"/>
      <c r="L515" s="3133"/>
      <c r="M515" s="3133"/>
      <c r="N515" s="3133"/>
      <c r="O515" s="3133"/>
      <c r="P515" s="3133"/>
      <c r="Q515" s="3133"/>
      <c r="R515" s="3133"/>
      <c r="S515" s="3133"/>
      <c r="T515" s="3133"/>
      <c r="U515" s="3133"/>
      <c r="V515" s="3133"/>
      <c r="W515" s="3133"/>
      <c r="X515" s="3133"/>
      <c r="Y515" s="3133"/>
      <c r="Z515" s="3133"/>
      <c r="AA515" s="3133"/>
      <c r="AB515" s="3133"/>
      <c r="AC515" s="3123">
        <f t="shared" si="270"/>
        <v>0</v>
      </c>
      <c r="AD515" s="3143"/>
      <c r="AE515" s="3143"/>
      <c r="AF515" s="3143"/>
      <c r="AG515" s="3143"/>
      <c r="AH515" s="3143"/>
      <c r="AI515" s="3143"/>
      <c r="AJ515" s="3143"/>
      <c r="AK515" s="3143"/>
      <c r="AL515" s="3143"/>
      <c r="AM515" s="3143"/>
      <c r="AN515" s="3143"/>
      <c r="AO515" s="3143"/>
      <c r="AP515" s="3143"/>
      <c r="AQ515" s="3143"/>
      <c r="AR515" s="3143"/>
      <c r="AS515" s="3143"/>
      <c r="AT515" s="3153"/>
      <c r="AU515" s="3154"/>
      <c r="AV515" s="270">
        <f t="shared" si="294"/>
        <v>0</v>
      </c>
      <c r="AW515" s="270">
        <f t="shared" si="295"/>
        <v>0</v>
      </c>
      <c r="AX515" s="270">
        <f t="shared" si="296"/>
        <v>0</v>
      </c>
      <c r="AY515" s="3168">
        <f t="shared" si="271"/>
        <v>0</v>
      </c>
      <c r="AZ515" s="3123">
        <f t="shared" si="272"/>
        <v>0</v>
      </c>
      <c r="BA515" s="3123">
        <f t="shared" si="273"/>
        <v>0</v>
      </c>
      <c r="BB515" s="3123">
        <f t="shared" si="274"/>
        <v>0</v>
      </c>
      <c r="BC515" s="3123">
        <f t="shared" si="275"/>
        <v>0</v>
      </c>
      <c r="BD515" s="3123">
        <f t="shared" si="276"/>
        <v>0</v>
      </c>
      <c r="BE515" s="3123">
        <f t="shared" si="277"/>
        <v>0</v>
      </c>
      <c r="BF515" s="3123">
        <f t="shared" si="278"/>
        <v>0</v>
      </c>
      <c r="BG515" s="3123">
        <f t="shared" si="279"/>
        <v>0</v>
      </c>
      <c r="BH515" s="3123">
        <f t="shared" si="280"/>
        <v>0</v>
      </c>
      <c r="BI515" s="3123">
        <f t="shared" si="281"/>
        <v>0</v>
      </c>
      <c r="BJ515" s="3123">
        <f t="shared" si="282"/>
        <v>0</v>
      </c>
      <c r="BK515" s="3123">
        <f t="shared" si="283"/>
        <v>0</v>
      </c>
      <c r="BL515" s="3123">
        <f t="shared" si="284"/>
        <v>0</v>
      </c>
      <c r="BM515" s="3123">
        <f t="shared" si="285"/>
        <v>0</v>
      </c>
      <c r="BN515" s="3123">
        <f t="shared" si="286"/>
        <v>0</v>
      </c>
      <c r="BO515" s="3123">
        <f t="shared" si="287"/>
        <v>0</v>
      </c>
      <c r="BP515" s="3123">
        <f t="shared" si="288"/>
        <v>0</v>
      </c>
      <c r="BQ515" s="3123">
        <f t="shared" si="289"/>
        <v>0</v>
      </c>
      <c r="BR515" s="3123">
        <f t="shared" si="290"/>
        <v>0</v>
      </c>
      <c r="BS515" s="3123">
        <f t="shared" si="291"/>
        <v>0</v>
      </c>
      <c r="BT515" s="3175">
        <f t="shared" si="292"/>
        <v>0</v>
      </c>
    </row>
    <row r="516" spans="1:72">
      <c r="A516" s="3120"/>
      <c r="B516" s="3121"/>
      <c r="C516" s="3121"/>
      <c r="D516" s="3122"/>
      <c r="E516" s="3123">
        <f t="shared" si="293"/>
        <v>0</v>
      </c>
      <c r="F516" s="3124"/>
      <c r="G516" s="3125">
        <f t="shared" si="268"/>
        <v>0</v>
      </c>
      <c r="H516" s="3126">
        <f t="shared" si="269"/>
        <v>0</v>
      </c>
      <c r="I516" s="3133"/>
      <c r="J516" s="3133"/>
      <c r="K516" s="3133"/>
      <c r="L516" s="3133"/>
      <c r="M516" s="3133"/>
      <c r="N516" s="3133"/>
      <c r="O516" s="3133"/>
      <c r="P516" s="3133"/>
      <c r="Q516" s="3133"/>
      <c r="R516" s="3133"/>
      <c r="S516" s="3133"/>
      <c r="T516" s="3133"/>
      <c r="U516" s="3133"/>
      <c r="V516" s="3133"/>
      <c r="W516" s="3133"/>
      <c r="X516" s="3133"/>
      <c r="Y516" s="3133"/>
      <c r="Z516" s="3133"/>
      <c r="AA516" s="3133"/>
      <c r="AB516" s="3133"/>
      <c r="AC516" s="3123">
        <f t="shared" si="270"/>
        <v>0</v>
      </c>
      <c r="AD516" s="3143"/>
      <c r="AE516" s="3143"/>
      <c r="AF516" s="3143"/>
      <c r="AG516" s="3143"/>
      <c r="AH516" s="3143"/>
      <c r="AI516" s="3143"/>
      <c r="AJ516" s="3143"/>
      <c r="AK516" s="3143"/>
      <c r="AL516" s="3143"/>
      <c r="AM516" s="3143"/>
      <c r="AN516" s="3143"/>
      <c r="AO516" s="3143"/>
      <c r="AP516" s="3143"/>
      <c r="AQ516" s="3143"/>
      <c r="AR516" s="3143"/>
      <c r="AS516" s="3143"/>
      <c r="AT516" s="3153"/>
      <c r="AU516" s="3154"/>
      <c r="AV516" s="270">
        <f t="shared" si="294"/>
        <v>0</v>
      </c>
      <c r="AW516" s="270">
        <f t="shared" si="295"/>
        <v>0</v>
      </c>
      <c r="AX516" s="270">
        <f t="shared" si="296"/>
        <v>0</v>
      </c>
      <c r="AY516" s="3168">
        <f t="shared" si="271"/>
        <v>0</v>
      </c>
      <c r="AZ516" s="3123">
        <f t="shared" si="272"/>
        <v>0</v>
      </c>
      <c r="BA516" s="3123">
        <f t="shared" si="273"/>
        <v>0</v>
      </c>
      <c r="BB516" s="3123">
        <f t="shared" si="274"/>
        <v>0</v>
      </c>
      <c r="BC516" s="3123">
        <f t="shared" si="275"/>
        <v>0</v>
      </c>
      <c r="BD516" s="3123">
        <f t="shared" si="276"/>
        <v>0</v>
      </c>
      <c r="BE516" s="3123">
        <f t="shared" si="277"/>
        <v>0</v>
      </c>
      <c r="BF516" s="3123">
        <f t="shared" si="278"/>
        <v>0</v>
      </c>
      <c r="BG516" s="3123">
        <f t="shared" si="279"/>
        <v>0</v>
      </c>
      <c r="BH516" s="3123">
        <f t="shared" si="280"/>
        <v>0</v>
      </c>
      <c r="BI516" s="3123">
        <f t="shared" si="281"/>
        <v>0</v>
      </c>
      <c r="BJ516" s="3123">
        <f t="shared" si="282"/>
        <v>0</v>
      </c>
      <c r="BK516" s="3123">
        <f t="shared" si="283"/>
        <v>0</v>
      </c>
      <c r="BL516" s="3123">
        <f t="shared" si="284"/>
        <v>0</v>
      </c>
      <c r="BM516" s="3123">
        <f t="shared" si="285"/>
        <v>0</v>
      </c>
      <c r="BN516" s="3123">
        <f t="shared" si="286"/>
        <v>0</v>
      </c>
      <c r="BO516" s="3123">
        <f t="shared" si="287"/>
        <v>0</v>
      </c>
      <c r="BP516" s="3123">
        <f t="shared" si="288"/>
        <v>0</v>
      </c>
      <c r="BQ516" s="3123">
        <f t="shared" si="289"/>
        <v>0</v>
      </c>
      <c r="BR516" s="3123">
        <f t="shared" si="290"/>
        <v>0</v>
      </c>
      <c r="BS516" s="3123">
        <f t="shared" si="291"/>
        <v>0</v>
      </c>
      <c r="BT516" s="3175">
        <f t="shared" si="292"/>
        <v>0</v>
      </c>
    </row>
    <row r="517" spans="1:72">
      <c r="A517" s="3120"/>
      <c r="B517" s="3121"/>
      <c r="C517" s="3121"/>
      <c r="D517" s="3122"/>
      <c r="E517" s="3123">
        <f t="shared" si="293"/>
        <v>0</v>
      </c>
      <c r="F517" s="3124"/>
      <c r="G517" s="3125">
        <f t="shared" si="268"/>
        <v>0</v>
      </c>
      <c r="H517" s="3126">
        <f t="shared" si="269"/>
        <v>0</v>
      </c>
      <c r="I517" s="3133"/>
      <c r="J517" s="3133"/>
      <c r="K517" s="3133"/>
      <c r="L517" s="3133"/>
      <c r="M517" s="3133"/>
      <c r="N517" s="3133"/>
      <c r="O517" s="3133"/>
      <c r="P517" s="3133"/>
      <c r="Q517" s="3133"/>
      <c r="R517" s="3133"/>
      <c r="S517" s="3133"/>
      <c r="T517" s="3133"/>
      <c r="U517" s="3133"/>
      <c r="V517" s="3133"/>
      <c r="W517" s="3133"/>
      <c r="X517" s="3133"/>
      <c r="Y517" s="3133"/>
      <c r="Z517" s="3133"/>
      <c r="AA517" s="3133"/>
      <c r="AB517" s="3133"/>
      <c r="AC517" s="3123">
        <f t="shared" si="270"/>
        <v>0</v>
      </c>
      <c r="AD517" s="3143"/>
      <c r="AE517" s="3143"/>
      <c r="AF517" s="3143"/>
      <c r="AG517" s="3143"/>
      <c r="AH517" s="3143"/>
      <c r="AI517" s="3143"/>
      <c r="AJ517" s="3143"/>
      <c r="AK517" s="3143"/>
      <c r="AL517" s="3143"/>
      <c r="AM517" s="3143"/>
      <c r="AN517" s="3143"/>
      <c r="AO517" s="3143"/>
      <c r="AP517" s="3143"/>
      <c r="AQ517" s="3143"/>
      <c r="AR517" s="3143"/>
      <c r="AS517" s="3143"/>
      <c r="AT517" s="3153"/>
      <c r="AU517" s="3154"/>
      <c r="AV517" s="270">
        <f t="shared" si="294"/>
        <v>0</v>
      </c>
      <c r="AW517" s="270">
        <f t="shared" si="295"/>
        <v>0</v>
      </c>
      <c r="AX517" s="270">
        <f t="shared" si="296"/>
        <v>0</v>
      </c>
      <c r="AY517" s="3168">
        <f t="shared" si="271"/>
        <v>0</v>
      </c>
      <c r="AZ517" s="3123">
        <f t="shared" si="272"/>
        <v>0</v>
      </c>
      <c r="BA517" s="3123">
        <f t="shared" si="273"/>
        <v>0</v>
      </c>
      <c r="BB517" s="3123">
        <f t="shared" si="274"/>
        <v>0</v>
      </c>
      <c r="BC517" s="3123">
        <f t="shared" si="275"/>
        <v>0</v>
      </c>
      <c r="BD517" s="3123">
        <f t="shared" si="276"/>
        <v>0</v>
      </c>
      <c r="BE517" s="3123">
        <f t="shared" si="277"/>
        <v>0</v>
      </c>
      <c r="BF517" s="3123">
        <f t="shared" si="278"/>
        <v>0</v>
      </c>
      <c r="BG517" s="3123">
        <f t="shared" si="279"/>
        <v>0</v>
      </c>
      <c r="BH517" s="3123">
        <f t="shared" si="280"/>
        <v>0</v>
      </c>
      <c r="BI517" s="3123">
        <f t="shared" si="281"/>
        <v>0</v>
      </c>
      <c r="BJ517" s="3123">
        <f t="shared" si="282"/>
        <v>0</v>
      </c>
      <c r="BK517" s="3123">
        <f t="shared" si="283"/>
        <v>0</v>
      </c>
      <c r="BL517" s="3123">
        <f t="shared" si="284"/>
        <v>0</v>
      </c>
      <c r="BM517" s="3123">
        <f t="shared" si="285"/>
        <v>0</v>
      </c>
      <c r="BN517" s="3123">
        <f t="shared" si="286"/>
        <v>0</v>
      </c>
      <c r="BO517" s="3123">
        <f t="shared" si="287"/>
        <v>0</v>
      </c>
      <c r="BP517" s="3123">
        <f t="shared" si="288"/>
        <v>0</v>
      </c>
      <c r="BQ517" s="3123">
        <f t="shared" si="289"/>
        <v>0</v>
      </c>
      <c r="BR517" s="3123">
        <f t="shared" si="290"/>
        <v>0</v>
      </c>
      <c r="BS517" s="3123">
        <f t="shared" si="291"/>
        <v>0</v>
      </c>
      <c r="BT517" s="3175">
        <f t="shared" si="292"/>
        <v>0</v>
      </c>
    </row>
    <row r="518" spans="1:72">
      <c r="A518" s="3120"/>
      <c r="B518" s="3121"/>
      <c r="C518" s="3121"/>
      <c r="D518" s="3122"/>
      <c r="E518" s="3123">
        <f t="shared" si="293"/>
        <v>0</v>
      </c>
      <c r="F518" s="3124"/>
      <c r="G518" s="3125">
        <f t="shared" si="268"/>
        <v>0</v>
      </c>
      <c r="H518" s="3126">
        <f t="shared" si="269"/>
        <v>0</v>
      </c>
      <c r="I518" s="3133"/>
      <c r="J518" s="3133"/>
      <c r="K518" s="3133"/>
      <c r="L518" s="3133"/>
      <c r="M518" s="3133"/>
      <c r="N518" s="3133"/>
      <c r="O518" s="3133"/>
      <c r="P518" s="3133"/>
      <c r="Q518" s="3133"/>
      <c r="R518" s="3133"/>
      <c r="S518" s="3133"/>
      <c r="T518" s="3133"/>
      <c r="U518" s="3133"/>
      <c r="V518" s="3133"/>
      <c r="W518" s="3133"/>
      <c r="X518" s="3133"/>
      <c r="Y518" s="3133"/>
      <c r="Z518" s="3133"/>
      <c r="AA518" s="3133"/>
      <c r="AB518" s="3133"/>
      <c r="AC518" s="3123">
        <f t="shared" si="270"/>
        <v>0</v>
      </c>
      <c r="AD518" s="3143"/>
      <c r="AE518" s="3143"/>
      <c r="AF518" s="3143"/>
      <c r="AG518" s="3143"/>
      <c r="AH518" s="3143"/>
      <c r="AI518" s="3143"/>
      <c r="AJ518" s="3143"/>
      <c r="AK518" s="3143"/>
      <c r="AL518" s="3143"/>
      <c r="AM518" s="3143"/>
      <c r="AN518" s="3143"/>
      <c r="AO518" s="3143"/>
      <c r="AP518" s="3143"/>
      <c r="AQ518" s="3143"/>
      <c r="AR518" s="3143"/>
      <c r="AS518" s="3143"/>
      <c r="AT518" s="3153"/>
      <c r="AU518" s="3154"/>
      <c r="AV518" s="270">
        <f t="shared" si="294"/>
        <v>0</v>
      </c>
      <c r="AW518" s="270">
        <f t="shared" si="295"/>
        <v>0</v>
      </c>
      <c r="AX518" s="270">
        <f t="shared" si="296"/>
        <v>0</v>
      </c>
      <c r="AY518" s="3168">
        <f t="shared" si="271"/>
        <v>0</v>
      </c>
      <c r="AZ518" s="3123">
        <f t="shared" si="272"/>
        <v>0</v>
      </c>
      <c r="BA518" s="3123">
        <f t="shared" si="273"/>
        <v>0</v>
      </c>
      <c r="BB518" s="3123">
        <f t="shared" si="274"/>
        <v>0</v>
      </c>
      <c r="BC518" s="3123">
        <f t="shared" si="275"/>
        <v>0</v>
      </c>
      <c r="BD518" s="3123">
        <f t="shared" si="276"/>
        <v>0</v>
      </c>
      <c r="BE518" s="3123">
        <f t="shared" si="277"/>
        <v>0</v>
      </c>
      <c r="BF518" s="3123">
        <f t="shared" si="278"/>
        <v>0</v>
      </c>
      <c r="BG518" s="3123">
        <f t="shared" si="279"/>
        <v>0</v>
      </c>
      <c r="BH518" s="3123">
        <f t="shared" si="280"/>
        <v>0</v>
      </c>
      <c r="BI518" s="3123">
        <f t="shared" si="281"/>
        <v>0</v>
      </c>
      <c r="BJ518" s="3123">
        <f t="shared" si="282"/>
        <v>0</v>
      </c>
      <c r="BK518" s="3123">
        <f t="shared" si="283"/>
        <v>0</v>
      </c>
      <c r="BL518" s="3123">
        <f t="shared" si="284"/>
        <v>0</v>
      </c>
      <c r="BM518" s="3123">
        <f t="shared" si="285"/>
        <v>0</v>
      </c>
      <c r="BN518" s="3123">
        <f t="shared" si="286"/>
        <v>0</v>
      </c>
      <c r="BO518" s="3123">
        <f t="shared" si="287"/>
        <v>0</v>
      </c>
      <c r="BP518" s="3123">
        <f t="shared" si="288"/>
        <v>0</v>
      </c>
      <c r="BQ518" s="3123">
        <f t="shared" si="289"/>
        <v>0</v>
      </c>
      <c r="BR518" s="3123">
        <f t="shared" si="290"/>
        <v>0</v>
      </c>
      <c r="BS518" s="3123">
        <f t="shared" si="291"/>
        <v>0</v>
      </c>
      <c r="BT518" s="3175">
        <f t="shared" si="292"/>
        <v>0</v>
      </c>
    </row>
    <row r="519" spans="1:72">
      <c r="A519" s="3120"/>
      <c r="B519" s="3121"/>
      <c r="C519" s="3121"/>
      <c r="D519" s="3122"/>
      <c r="E519" s="3123">
        <f t="shared" si="293"/>
        <v>0</v>
      </c>
      <c r="F519" s="3124"/>
      <c r="G519" s="3125">
        <f t="shared" si="268"/>
        <v>0</v>
      </c>
      <c r="H519" s="3126">
        <f t="shared" si="269"/>
        <v>0</v>
      </c>
      <c r="I519" s="3133"/>
      <c r="J519" s="3133"/>
      <c r="K519" s="3133"/>
      <c r="L519" s="3133"/>
      <c r="M519" s="3133"/>
      <c r="N519" s="3133"/>
      <c r="O519" s="3133"/>
      <c r="P519" s="3133"/>
      <c r="Q519" s="3133"/>
      <c r="R519" s="3133"/>
      <c r="S519" s="3133"/>
      <c r="T519" s="3133"/>
      <c r="U519" s="3133"/>
      <c r="V519" s="3133"/>
      <c r="W519" s="3133"/>
      <c r="X519" s="3133"/>
      <c r="Y519" s="3133"/>
      <c r="Z519" s="3133"/>
      <c r="AA519" s="3133"/>
      <c r="AB519" s="3133"/>
      <c r="AC519" s="3123">
        <f t="shared" si="270"/>
        <v>0</v>
      </c>
      <c r="AD519" s="3143"/>
      <c r="AE519" s="3143"/>
      <c r="AF519" s="3143"/>
      <c r="AG519" s="3143"/>
      <c r="AH519" s="3143"/>
      <c r="AI519" s="3143"/>
      <c r="AJ519" s="3143"/>
      <c r="AK519" s="3143"/>
      <c r="AL519" s="3143"/>
      <c r="AM519" s="3143"/>
      <c r="AN519" s="3143"/>
      <c r="AO519" s="3143"/>
      <c r="AP519" s="3143"/>
      <c r="AQ519" s="3143"/>
      <c r="AR519" s="3143"/>
      <c r="AS519" s="3143"/>
      <c r="AT519" s="3153"/>
      <c r="AU519" s="3154"/>
      <c r="AV519" s="270">
        <f t="shared" si="294"/>
        <v>0</v>
      </c>
      <c r="AW519" s="270">
        <f t="shared" si="295"/>
        <v>0</v>
      </c>
      <c r="AX519" s="270">
        <f t="shared" si="296"/>
        <v>0</v>
      </c>
      <c r="AY519" s="3168">
        <f t="shared" si="271"/>
        <v>0</v>
      </c>
      <c r="AZ519" s="3123">
        <f t="shared" si="272"/>
        <v>0</v>
      </c>
      <c r="BA519" s="3123">
        <f t="shared" si="273"/>
        <v>0</v>
      </c>
      <c r="BB519" s="3123">
        <f t="shared" si="274"/>
        <v>0</v>
      </c>
      <c r="BC519" s="3123">
        <f t="shared" si="275"/>
        <v>0</v>
      </c>
      <c r="BD519" s="3123">
        <f t="shared" si="276"/>
        <v>0</v>
      </c>
      <c r="BE519" s="3123">
        <f t="shared" si="277"/>
        <v>0</v>
      </c>
      <c r="BF519" s="3123">
        <f t="shared" si="278"/>
        <v>0</v>
      </c>
      <c r="BG519" s="3123">
        <f t="shared" si="279"/>
        <v>0</v>
      </c>
      <c r="BH519" s="3123">
        <f t="shared" si="280"/>
        <v>0</v>
      </c>
      <c r="BI519" s="3123">
        <f t="shared" si="281"/>
        <v>0</v>
      </c>
      <c r="BJ519" s="3123">
        <f t="shared" si="282"/>
        <v>0</v>
      </c>
      <c r="BK519" s="3123">
        <f t="shared" si="283"/>
        <v>0</v>
      </c>
      <c r="BL519" s="3123">
        <f t="shared" si="284"/>
        <v>0</v>
      </c>
      <c r="BM519" s="3123">
        <f t="shared" si="285"/>
        <v>0</v>
      </c>
      <c r="BN519" s="3123">
        <f t="shared" si="286"/>
        <v>0</v>
      </c>
      <c r="BO519" s="3123">
        <f t="shared" si="287"/>
        <v>0</v>
      </c>
      <c r="BP519" s="3123">
        <f t="shared" si="288"/>
        <v>0</v>
      </c>
      <c r="BQ519" s="3123">
        <f t="shared" si="289"/>
        <v>0</v>
      </c>
      <c r="BR519" s="3123">
        <f t="shared" si="290"/>
        <v>0</v>
      </c>
      <c r="BS519" s="3123">
        <f t="shared" si="291"/>
        <v>0</v>
      </c>
      <c r="BT519" s="3175">
        <f t="shared" si="292"/>
        <v>0</v>
      </c>
    </row>
    <row r="520" spans="1:72">
      <c r="A520" s="3120"/>
      <c r="B520" s="3121"/>
      <c r="C520" s="3121"/>
      <c r="D520" s="3122"/>
      <c r="E520" s="3123">
        <f t="shared" ref="E520:E551" si="297">IF($C$3="是",ROUND($A$3*G520/$B$3,2),ROUND($A$3*(G520-AT520)/$B$3,2))</f>
        <v>0</v>
      </c>
      <c r="F520" s="3124"/>
      <c r="G520" s="3125">
        <f t="shared" si="268"/>
        <v>0</v>
      </c>
      <c r="H520" s="3126">
        <f t="shared" si="269"/>
        <v>0</v>
      </c>
      <c r="I520" s="3133"/>
      <c r="J520" s="3133"/>
      <c r="K520" s="3133"/>
      <c r="L520" s="3133"/>
      <c r="M520" s="3133"/>
      <c r="N520" s="3133"/>
      <c r="O520" s="3133"/>
      <c r="P520" s="3133"/>
      <c r="Q520" s="3133"/>
      <c r="R520" s="3133"/>
      <c r="S520" s="3133"/>
      <c r="T520" s="3133"/>
      <c r="U520" s="3133"/>
      <c r="V520" s="3133"/>
      <c r="W520" s="3133"/>
      <c r="X520" s="3133"/>
      <c r="Y520" s="3133"/>
      <c r="Z520" s="3133"/>
      <c r="AA520" s="3133"/>
      <c r="AB520" s="3133"/>
      <c r="AC520" s="3123">
        <f t="shared" si="270"/>
        <v>0</v>
      </c>
      <c r="AD520" s="3143"/>
      <c r="AE520" s="3143"/>
      <c r="AF520" s="3143"/>
      <c r="AG520" s="3143"/>
      <c r="AH520" s="3143"/>
      <c r="AI520" s="3143"/>
      <c r="AJ520" s="3143"/>
      <c r="AK520" s="3143"/>
      <c r="AL520" s="3143"/>
      <c r="AM520" s="3143"/>
      <c r="AN520" s="3143"/>
      <c r="AO520" s="3143"/>
      <c r="AP520" s="3143"/>
      <c r="AQ520" s="3143"/>
      <c r="AR520" s="3143"/>
      <c r="AS520" s="3143"/>
      <c r="AT520" s="3153"/>
      <c r="AU520" s="3154"/>
      <c r="AV520" s="270">
        <f t="shared" si="294"/>
        <v>0</v>
      </c>
      <c r="AW520" s="270">
        <f t="shared" si="295"/>
        <v>0</v>
      </c>
      <c r="AX520" s="270">
        <f t="shared" si="296"/>
        <v>0</v>
      </c>
      <c r="AY520" s="3168">
        <f t="shared" si="271"/>
        <v>0</v>
      </c>
      <c r="AZ520" s="3123">
        <f t="shared" si="272"/>
        <v>0</v>
      </c>
      <c r="BA520" s="3123">
        <f t="shared" si="273"/>
        <v>0</v>
      </c>
      <c r="BB520" s="3123">
        <f t="shared" si="274"/>
        <v>0</v>
      </c>
      <c r="BC520" s="3123">
        <f t="shared" si="275"/>
        <v>0</v>
      </c>
      <c r="BD520" s="3123">
        <f t="shared" si="276"/>
        <v>0</v>
      </c>
      <c r="BE520" s="3123">
        <f t="shared" si="277"/>
        <v>0</v>
      </c>
      <c r="BF520" s="3123">
        <f t="shared" si="278"/>
        <v>0</v>
      </c>
      <c r="BG520" s="3123">
        <f t="shared" si="279"/>
        <v>0</v>
      </c>
      <c r="BH520" s="3123">
        <f t="shared" si="280"/>
        <v>0</v>
      </c>
      <c r="BI520" s="3123">
        <f t="shared" si="281"/>
        <v>0</v>
      </c>
      <c r="BJ520" s="3123">
        <f t="shared" si="282"/>
        <v>0</v>
      </c>
      <c r="BK520" s="3123">
        <f t="shared" si="283"/>
        <v>0</v>
      </c>
      <c r="BL520" s="3123">
        <f t="shared" si="284"/>
        <v>0</v>
      </c>
      <c r="BM520" s="3123">
        <f t="shared" si="285"/>
        <v>0</v>
      </c>
      <c r="BN520" s="3123">
        <f t="shared" si="286"/>
        <v>0</v>
      </c>
      <c r="BO520" s="3123">
        <f t="shared" si="287"/>
        <v>0</v>
      </c>
      <c r="BP520" s="3123">
        <f t="shared" si="288"/>
        <v>0</v>
      </c>
      <c r="BQ520" s="3123">
        <f t="shared" si="289"/>
        <v>0</v>
      </c>
      <c r="BR520" s="3123">
        <f t="shared" si="290"/>
        <v>0</v>
      </c>
      <c r="BS520" s="3123">
        <f t="shared" si="291"/>
        <v>0</v>
      </c>
      <c r="BT520" s="3175">
        <f t="shared" si="292"/>
        <v>0</v>
      </c>
    </row>
    <row r="521" spans="1:72">
      <c r="A521" s="3120"/>
      <c r="B521" s="3121"/>
      <c r="C521" s="3121"/>
      <c r="D521" s="3122"/>
      <c r="E521" s="3123">
        <f t="shared" si="297"/>
        <v>0</v>
      </c>
      <c r="F521" s="3124"/>
      <c r="G521" s="3125">
        <f t="shared" si="268"/>
        <v>0</v>
      </c>
      <c r="H521" s="3126">
        <f t="shared" si="269"/>
        <v>0</v>
      </c>
      <c r="I521" s="3133"/>
      <c r="J521" s="3133"/>
      <c r="K521" s="3133"/>
      <c r="L521" s="3133"/>
      <c r="M521" s="3133"/>
      <c r="N521" s="3133"/>
      <c r="O521" s="3133"/>
      <c r="P521" s="3133"/>
      <c r="Q521" s="3133"/>
      <c r="R521" s="3133"/>
      <c r="S521" s="3133"/>
      <c r="T521" s="3133"/>
      <c r="U521" s="3133"/>
      <c r="V521" s="3133"/>
      <c r="W521" s="3133"/>
      <c r="X521" s="3133"/>
      <c r="Y521" s="3133"/>
      <c r="Z521" s="3133"/>
      <c r="AA521" s="3133"/>
      <c r="AB521" s="3133"/>
      <c r="AC521" s="3123">
        <f t="shared" si="270"/>
        <v>0</v>
      </c>
      <c r="AD521" s="3143"/>
      <c r="AE521" s="3143"/>
      <c r="AF521" s="3143"/>
      <c r="AG521" s="3143"/>
      <c r="AH521" s="3143"/>
      <c r="AI521" s="3143"/>
      <c r="AJ521" s="3143"/>
      <c r="AK521" s="3143"/>
      <c r="AL521" s="3143"/>
      <c r="AM521" s="3143"/>
      <c r="AN521" s="3143"/>
      <c r="AO521" s="3143"/>
      <c r="AP521" s="3143"/>
      <c r="AQ521" s="3143"/>
      <c r="AR521" s="3143"/>
      <c r="AS521" s="3143"/>
      <c r="AT521" s="3153"/>
      <c r="AU521" s="3154"/>
      <c r="AV521" s="270">
        <f t="shared" ref="AV521:AV552" si="298">A521</f>
        <v>0</v>
      </c>
      <c r="AW521" s="270">
        <f t="shared" ref="AW521:AW552" si="299">B521</f>
        <v>0</v>
      </c>
      <c r="AX521" s="270">
        <f t="shared" ref="AX521:AX552" si="300">C521</f>
        <v>0</v>
      </c>
      <c r="AY521" s="3168">
        <f t="shared" si="271"/>
        <v>0</v>
      </c>
      <c r="AZ521" s="3123">
        <f t="shared" si="272"/>
        <v>0</v>
      </c>
      <c r="BA521" s="3123">
        <f t="shared" si="273"/>
        <v>0</v>
      </c>
      <c r="BB521" s="3123">
        <f t="shared" si="274"/>
        <v>0</v>
      </c>
      <c r="BC521" s="3123">
        <f t="shared" si="275"/>
        <v>0</v>
      </c>
      <c r="BD521" s="3123">
        <f t="shared" si="276"/>
        <v>0</v>
      </c>
      <c r="BE521" s="3123">
        <f t="shared" si="277"/>
        <v>0</v>
      </c>
      <c r="BF521" s="3123">
        <f t="shared" si="278"/>
        <v>0</v>
      </c>
      <c r="BG521" s="3123">
        <f t="shared" si="279"/>
        <v>0</v>
      </c>
      <c r="BH521" s="3123">
        <f t="shared" si="280"/>
        <v>0</v>
      </c>
      <c r="BI521" s="3123">
        <f t="shared" si="281"/>
        <v>0</v>
      </c>
      <c r="BJ521" s="3123">
        <f t="shared" si="282"/>
        <v>0</v>
      </c>
      <c r="BK521" s="3123">
        <f t="shared" si="283"/>
        <v>0</v>
      </c>
      <c r="BL521" s="3123">
        <f t="shared" si="284"/>
        <v>0</v>
      </c>
      <c r="BM521" s="3123">
        <f t="shared" si="285"/>
        <v>0</v>
      </c>
      <c r="BN521" s="3123">
        <f t="shared" si="286"/>
        <v>0</v>
      </c>
      <c r="BO521" s="3123">
        <f t="shared" si="287"/>
        <v>0</v>
      </c>
      <c r="BP521" s="3123">
        <f t="shared" si="288"/>
        <v>0</v>
      </c>
      <c r="BQ521" s="3123">
        <f t="shared" si="289"/>
        <v>0</v>
      </c>
      <c r="BR521" s="3123">
        <f t="shared" si="290"/>
        <v>0</v>
      </c>
      <c r="BS521" s="3123">
        <f t="shared" si="291"/>
        <v>0</v>
      </c>
      <c r="BT521" s="3175">
        <f t="shared" si="292"/>
        <v>0</v>
      </c>
    </row>
    <row r="522" spans="1:72">
      <c r="A522" s="3120"/>
      <c r="B522" s="3121"/>
      <c r="C522" s="3121"/>
      <c r="D522" s="3122"/>
      <c r="E522" s="3123">
        <f t="shared" si="297"/>
        <v>0</v>
      </c>
      <c r="F522" s="3124"/>
      <c r="G522" s="3125">
        <f t="shared" ref="G522:G552" si="301">H522+AC522+AT522</f>
        <v>0</v>
      </c>
      <c r="H522" s="3126">
        <f t="shared" ref="H522:H552" si="302">SUMIF(I$12:AB$12,"总值",I522:AB522)</f>
        <v>0</v>
      </c>
      <c r="I522" s="3133"/>
      <c r="J522" s="3133"/>
      <c r="K522" s="3133"/>
      <c r="L522" s="3133"/>
      <c r="M522" s="3133"/>
      <c r="N522" s="3133"/>
      <c r="O522" s="3133"/>
      <c r="P522" s="3133"/>
      <c r="Q522" s="3133"/>
      <c r="R522" s="3133"/>
      <c r="S522" s="3133"/>
      <c r="T522" s="3133"/>
      <c r="U522" s="3133"/>
      <c r="V522" s="3133"/>
      <c r="W522" s="3133"/>
      <c r="X522" s="3133"/>
      <c r="Y522" s="3133"/>
      <c r="Z522" s="3133"/>
      <c r="AA522" s="3133"/>
      <c r="AB522" s="3133"/>
      <c r="AC522" s="3123">
        <f t="shared" ref="AC522:AC552" si="303">SUMIF(AD$12:AS$12,"总值",AD522:AS522)</f>
        <v>0</v>
      </c>
      <c r="AD522" s="3143"/>
      <c r="AE522" s="3143"/>
      <c r="AF522" s="3143"/>
      <c r="AG522" s="3143"/>
      <c r="AH522" s="3143"/>
      <c r="AI522" s="3143"/>
      <c r="AJ522" s="3143"/>
      <c r="AK522" s="3143"/>
      <c r="AL522" s="3143"/>
      <c r="AM522" s="3143"/>
      <c r="AN522" s="3143"/>
      <c r="AO522" s="3143"/>
      <c r="AP522" s="3143"/>
      <c r="AQ522" s="3143"/>
      <c r="AR522" s="3143"/>
      <c r="AS522" s="3143"/>
      <c r="AT522" s="3153"/>
      <c r="AU522" s="3154"/>
      <c r="AV522" s="270">
        <f t="shared" si="298"/>
        <v>0</v>
      </c>
      <c r="AW522" s="270">
        <f t="shared" si="299"/>
        <v>0</v>
      </c>
      <c r="AX522" s="270">
        <f t="shared" si="300"/>
        <v>0</v>
      </c>
      <c r="AY522" s="3168">
        <f t="shared" ref="AY522:AY552" si="304">ROUND($AY$6*AZ522/$AZ$5,2)</f>
        <v>0</v>
      </c>
      <c r="AZ522" s="3123">
        <f t="shared" ref="AZ522:AZ552" si="305">BA522+BL522</f>
        <v>0</v>
      </c>
      <c r="BA522" s="3123">
        <f t="shared" ref="BA522:BA552" si="306">SUM(BB522:BK522)</f>
        <v>0</v>
      </c>
      <c r="BB522" s="3123">
        <f t="shared" ref="BB522:BB552" si="307">IF($D522="是",I522-J522,0)</f>
        <v>0</v>
      </c>
      <c r="BC522" s="3123">
        <f t="shared" ref="BC522:BC552" si="308">IF($D522="是",K522-L522,0)</f>
        <v>0</v>
      </c>
      <c r="BD522" s="3123">
        <f t="shared" ref="BD522:BD552" si="309">IF($D522="是",M522-N522,0)</f>
        <v>0</v>
      </c>
      <c r="BE522" s="3123">
        <f t="shared" ref="BE522:BE552" si="310">IF($D522="是",O522-P522,0)</f>
        <v>0</v>
      </c>
      <c r="BF522" s="3123">
        <f t="shared" ref="BF522:BF552" si="311">IF($D522="是",Q522-R522,0)</f>
        <v>0</v>
      </c>
      <c r="BG522" s="3123">
        <f t="shared" ref="BG522:BG552" si="312">IF($D522="是",S522-T522,0)</f>
        <v>0</v>
      </c>
      <c r="BH522" s="3123">
        <f t="shared" ref="BH522:BH552" si="313">IF($D522="是",U522-V522,0)</f>
        <v>0</v>
      </c>
      <c r="BI522" s="3123">
        <f t="shared" ref="BI522:BI552" si="314">IF($D522="是",W522-X522,0)</f>
        <v>0</v>
      </c>
      <c r="BJ522" s="3123">
        <f t="shared" ref="BJ522:BJ552" si="315">IF($D522="是",Y522-Z522,0)</f>
        <v>0</v>
      </c>
      <c r="BK522" s="3123">
        <f t="shared" ref="BK522:BK552" si="316">IF($D522="是",AA522-AB522,0)</f>
        <v>0</v>
      </c>
      <c r="BL522" s="3123">
        <f t="shared" ref="BL522:BL552" si="317">SUM(BM522:BT522)</f>
        <v>0</v>
      </c>
      <c r="BM522" s="3123">
        <f t="shared" ref="BM522:BM552" si="318">IF($D522="是",AD522-AE522,0)</f>
        <v>0</v>
      </c>
      <c r="BN522" s="3123">
        <f t="shared" ref="BN522:BN552" si="319">IF($D522="是",AF522-AG522,0)</f>
        <v>0</v>
      </c>
      <c r="BO522" s="3123">
        <f t="shared" ref="BO522:BO552" si="320">IF($D522="是",AH522-AI522,0)</f>
        <v>0</v>
      </c>
      <c r="BP522" s="3123">
        <f t="shared" ref="BP522:BP552" si="321">IF($D522="是",AJ522-AK522,0)</f>
        <v>0</v>
      </c>
      <c r="BQ522" s="3123">
        <f t="shared" ref="BQ522:BQ552" si="322">IF($D522="是",AL522-AM522,0)</f>
        <v>0</v>
      </c>
      <c r="BR522" s="3123">
        <f t="shared" ref="BR522:BR552" si="323">IF($D522="是",AN522-AO522,0)</f>
        <v>0</v>
      </c>
      <c r="BS522" s="3123">
        <f t="shared" ref="BS522:BS552" si="324">IF($D522="是",AP522-AQ522,0)</f>
        <v>0</v>
      </c>
      <c r="BT522" s="3175">
        <f t="shared" ref="BT522:BT552" si="325">IF($D522="是",AR522-AS522,0)</f>
        <v>0</v>
      </c>
    </row>
    <row r="523" spans="1:72">
      <c r="A523" s="3120"/>
      <c r="B523" s="3121"/>
      <c r="C523" s="3121"/>
      <c r="D523" s="3122"/>
      <c r="E523" s="3123">
        <f t="shared" si="297"/>
        <v>0</v>
      </c>
      <c r="F523" s="3124"/>
      <c r="G523" s="3125">
        <f t="shared" si="301"/>
        <v>0</v>
      </c>
      <c r="H523" s="3126">
        <f t="shared" si="302"/>
        <v>0</v>
      </c>
      <c r="I523" s="3133"/>
      <c r="J523" s="3133"/>
      <c r="K523" s="3133"/>
      <c r="L523" s="3133"/>
      <c r="M523" s="3133"/>
      <c r="N523" s="3133"/>
      <c r="O523" s="3133"/>
      <c r="P523" s="3133"/>
      <c r="Q523" s="3133"/>
      <c r="R523" s="3133"/>
      <c r="S523" s="3133"/>
      <c r="T523" s="3133"/>
      <c r="U523" s="3133"/>
      <c r="V523" s="3133"/>
      <c r="W523" s="3133"/>
      <c r="X523" s="3133"/>
      <c r="Y523" s="3133"/>
      <c r="Z523" s="3133"/>
      <c r="AA523" s="3133"/>
      <c r="AB523" s="3133"/>
      <c r="AC523" s="3123">
        <f t="shared" si="303"/>
        <v>0</v>
      </c>
      <c r="AD523" s="3143"/>
      <c r="AE523" s="3143"/>
      <c r="AF523" s="3143"/>
      <c r="AG523" s="3143"/>
      <c r="AH523" s="3143"/>
      <c r="AI523" s="3143"/>
      <c r="AJ523" s="3143"/>
      <c r="AK523" s="3143"/>
      <c r="AL523" s="3143"/>
      <c r="AM523" s="3143"/>
      <c r="AN523" s="3143"/>
      <c r="AO523" s="3143"/>
      <c r="AP523" s="3143"/>
      <c r="AQ523" s="3143"/>
      <c r="AR523" s="3143"/>
      <c r="AS523" s="3143"/>
      <c r="AT523" s="3153"/>
      <c r="AU523" s="3154"/>
      <c r="AV523" s="270">
        <f t="shared" si="298"/>
        <v>0</v>
      </c>
      <c r="AW523" s="270">
        <f t="shared" si="299"/>
        <v>0</v>
      </c>
      <c r="AX523" s="270">
        <f t="shared" si="300"/>
        <v>0</v>
      </c>
      <c r="AY523" s="3168">
        <f t="shared" si="304"/>
        <v>0</v>
      </c>
      <c r="AZ523" s="3123">
        <f t="shared" si="305"/>
        <v>0</v>
      </c>
      <c r="BA523" s="3123">
        <f t="shared" si="306"/>
        <v>0</v>
      </c>
      <c r="BB523" s="3123">
        <f t="shared" si="307"/>
        <v>0</v>
      </c>
      <c r="BC523" s="3123">
        <f t="shared" si="308"/>
        <v>0</v>
      </c>
      <c r="BD523" s="3123">
        <f t="shared" si="309"/>
        <v>0</v>
      </c>
      <c r="BE523" s="3123">
        <f t="shared" si="310"/>
        <v>0</v>
      </c>
      <c r="BF523" s="3123">
        <f t="shared" si="311"/>
        <v>0</v>
      </c>
      <c r="BG523" s="3123">
        <f t="shared" si="312"/>
        <v>0</v>
      </c>
      <c r="BH523" s="3123">
        <f t="shared" si="313"/>
        <v>0</v>
      </c>
      <c r="BI523" s="3123">
        <f t="shared" si="314"/>
        <v>0</v>
      </c>
      <c r="BJ523" s="3123">
        <f t="shared" si="315"/>
        <v>0</v>
      </c>
      <c r="BK523" s="3123">
        <f t="shared" si="316"/>
        <v>0</v>
      </c>
      <c r="BL523" s="3123">
        <f t="shared" si="317"/>
        <v>0</v>
      </c>
      <c r="BM523" s="3123">
        <f t="shared" si="318"/>
        <v>0</v>
      </c>
      <c r="BN523" s="3123">
        <f t="shared" si="319"/>
        <v>0</v>
      </c>
      <c r="BO523" s="3123">
        <f t="shared" si="320"/>
        <v>0</v>
      </c>
      <c r="BP523" s="3123">
        <f t="shared" si="321"/>
        <v>0</v>
      </c>
      <c r="BQ523" s="3123">
        <f t="shared" si="322"/>
        <v>0</v>
      </c>
      <c r="BR523" s="3123">
        <f t="shared" si="323"/>
        <v>0</v>
      </c>
      <c r="BS523" s="3123">
        <f t="shared" si="324"/>
        <v>0</v>
      </c>
      <c r="BT523" s="3175">
        <f t="shared" si="325"/>
        <v>0</v>
      </c>
    </row>
    <row r="524" spans="1:72">
      <c r="A524" s="3120"/>
      <c r="B524" s="3121"/>
      <c r="C524" s="3121"/>
      <c r="D524" s="3122"/>
      <c r="E524" s="3123">
        <f t="shared" si="297"/>
        <v>0</v>
      </c>
      <c r="F524" s="3124"/>
      <c r="G524" s="3125">
        <f t="shared" si="301"/>
        <v>0</v>
      </c>
      <c r="H524" s="3126">
        <f t="shared" si="302"/>
        <v>0</v>
      </c>
      <c r="I524" s="3133"/>
      <c r="J524" s="3133"/>
      <c r="K524" s="3133"/>
      <c r="L524" s="3133"/>
      <c r="M524" s="3133"/>
      <c r="N524" s="3133"/>
      <c r="O524" s="3133"/>
      <c r="P524" s="3133"/>
      <c r="Q524" s="3133"/>
      <c r="R524" s="3133"/>
      <c r="S524" s="3133"/>
      <c r="T524" s="3133"/>
      <c r="U524" s="3133"/>
      <c r="V524" s="3133"/>
      <c r="W524" s="3133"/>
      <c r="X524" s="3133"/>
      <c r="Y524" s="3133"/>
      <c r="Z524" s="3133"/>
      <c r="AA524" s="3133"/>
      <c r="AB524" s="3133"/>
      <c r="AC524" s="3123">
        <f t="shared" si="303"/>
        <v>0</v>
      </c>
      <c r="AD524" s="3143"/>
      <c r="AE524" s="3143"/>
      <c r="AF524" s="3143"/>
      <c r="AG524" s="3143"/>
      <c r="AH524" s="3143"/>
      <c r="AI524" s="3143"/>
      <c r="AJ524" s="3143"/>
      <c r="AK524" s="3143"/>
      <c r="AL524" s="3143"/>
      <c r="AM524" s="3143"/>
      <c r="AN524" s="3143"/>
      <c r="AO524" s="3143"/>
      <c r="AP524" s="3143"/>
      <c r="AQ524" s="3143"/>
      <c r="AR524" s="3143"/>
      <c r="AS524" s="3143"/>
      <c r="AT524" s="3153"/>
      <c r="AU524" s="3154"/>
      <c r="AV524" s="270">
        <f t="shared" si="298"/>
        <v>0</v>
      </c>
      <c r="AW524" s="270">
        <f t="shared" si="299"/>
        <v>0</v>
      </c>
      <c r="AX524" s="270">
        <f t="shared" si="300"/>
        <v>0</v>
      </c>
      <c r="AY524" s="3168">
        <f t="shared" si="304"/>
        <v>0</v>
      </c>
      <c r="AZ524" s="3123">
        <f t="shared" si="305"/>
        <v>0</v>
      </c>
      <c r="BA524" s="3123">
        <f t="shared" si="306"/>
        <v>0</v>
      </c>
      <c r="BB524" s="3123">
        <f t="shared" si="307"/>
        <v>0</v>
      </c>
      <c r="BC524" s="3123">
        <f t="shared" si="308"/>
        <v>0</v>
      </c>
      <c r="BD524" s="3123">
        <f t="shared" si="309"/>
        <v>0</v>
      </c>
      <c r="BE524" s="3123">
        <f t="shared" si="310"/>
        <v>0</v>
      </c>
      <c r="BF524" s="3123">
        <f t="shared" si="311"/>
        <v>0</v>
      </c>
      <c r="BG524" s="3123">
        <f t="shared" si="312"/>
        <v>0</v>
      </c>
      <c r="BH524" s="3123">
        <f t="shared" si="313"/>
        <v>0</v>
      </c>
      <c r="BI524" s="3123">
        <f t="shared" si="314"/>
        <v>0</v>
      </c>
      <c r="BJ524" s="3123">
        <f t="shared" si="315"/>
        <v>0</v>
      </c>
      <c r="BK524" s="3123">
        <f t="shared" si="316"/>
        <v>0</v>
      </c>
      <c r="BL524" s="3123">
        <f t="shared" si="317"/>
        <v>0</v>
      </c>
      <c r="BM524" s="3123">
        <f t="shared" si="318"/>
        <v>0</v>
      </c>
      <c r="BN524" s="3123">
        <f t="shared" si="319"/>
        <v>0</v>
      </c>
      <c r="BO524" s="3123">
        <f t="shared" si="320"/>
        <v>0</v>
      </c>
      <c r="BP524" s="3123">
        <f t="shared" si="321"/>
        <v>0</v>
      </c>
      <c r="BQ524" s="3123">
        <f t="shared" si="322"/>
        <v>0</v>
      </c>
      <c r="BR524" s="3123">
        <f t="shared" si="323"/>
        <v>0</v>
      </c>
      <c r="BS524" s="3123">
        <f t="shared" si="324"/>
        <v>0</v>
      </c>
      <c r="BT524" s="3175">
        <f t="shared" si="325"/>
        <v>0</v>
      </c>
    </row>
    <row r="525" spans="1:72">
      <c r="A525" s="3120"/>
      <c r="B525" s="3121"/>
      <c r="C525" s="3121"/>
      <c r="D525" s="3122"/>
      <c r="E525" s="3123">
        <f t="shared" si="297"/>
        <v>0</v>
      </c>
      <c r="F525" s="3124"/>
      <c r="G525" s="3125">
        <f t="shared" si="301"/>
        <v>0</v>
      </c>
      <c r="H525" s="3126">
        <f t="shared" si="302"/>
        <v>0</v>
      </c>
      <c r="I525" s="3133"/>
      <c r="J525" s="3133"/>
      <c r="K525" s="3133"/>
      <c r="L525" s="3133"/>
      <c r="M525" s="3133"/>
      <c r="N525" s="3133"/>
      <c r="O525" s="3133"/>
      <c r="P525" s="3133"/>
      <c r="Q525" s="3133"/>
      <c r="R525" s="3133"/>
      <c r="S525" s="3133"/>
      <c r="T525" s="3133"/>
      <c r="U525" s="3133"/>
      <c r="V525" s="3133"/>
      <c r="W525" s="3133"/>
      <c r="X525" s="3133"/>
      <c r="Y525" s="3133"/>
      <c r="Z525" s="3133"/>
      <c r="AA525" s="3133"/>
      <c r="AB525" s="3133"/>
      <c r="AC525" s="3123">
        <f t="shared" si="303"/>
        <v>0</v>
      </c>
      <c r="AD525" s="3143"/>
      <c r="AE525" s="3143"/>
      <c r="AF525" s="3143"/>
      <c r="AG525" s="3143"/>
      <c r="AH525" s="3143"/>
      <c r="AI525" s="3143"/>
      <c r="AJ525" s="3143"/>
      <c r="AK525" s="3143"/>
      <c r="AL525" s="3143"/>
      <c r="AM525" s="3143"/>
      <c r="AN525" s="3143"/>
      <c r="AO525" s="3143"/>
      <c r="AP525" s="3143"/>
      <c r="AQ525" s="3143"/>
      <c r="AR525" s="3143"/>
      <c r="AS525" s="3143"/>
      <c r="AT525" s="3153"/>
      <c r="AU525" s="3154"/>
      <c r="AV525" s="270">
        <f t="shared" si="298"/>
        <v>0</v>
      </c>
      <c r="AW525" s="270">
        <f t="shared" si="299"/>
        <v>0</v>
      </c>
      <c r="AX525" s="270">
        <f t="shared" si="300"/>
        <v>0</v>
      </c>
      <c r="AY525" s="3168">
        <f t="shared" si="304"/>
        <v>0</v>
      </c>
      <c r="AZ525" s="3123">
        <f t="shared" si="305"/>
        <v>0</v>
      </c>
      <c r="BA525" s="3123">
        <f t="shared" si="306"/>
        <v>0</v>
      </c>
      <c r="BB525" s="3123">
        <f t="shared" si="307"/>
        <v>0</v>
      </c>
      <c r="BC525" s="3123">
        <f t="shared" si="308"/>
        <v>0</v>
      </c>
      <c r="BD525" s="3123">
        <f t="shared" si="309"/>
        <v>0</v>
      </c>
      <c r="BE525" s="3123">
        <f t="shared" si="310"/>
        <v>0</v>
      </c>
      <c r="BF525" s="3123">
        <f t="shared" si="311"/>
        <v>0</v>
      </c>
      <c r="BG525" s="3123">
        <f t="shared" si="312"/>
        <v>0</v>
      </c>
      <c r="BH525" s="3123">
        <f t="shared" si="313"/>
        <v>0</v>
      </c>
      <c r="BI525" s="3123">
        <f t="shared" si="314"/>
        <v>0</v>
      </c>
      <c r="BJ525" s="3123">
        <f t="shared" si="315"/>
        <v>0</v>
      </c>
      <c r="BK525" s="3123">
        <f t="shared" si="316"/>
        <v>0</v>
      </c>
      <c r="BL525" s="3123">
        <f t="shared" si="317"/>
        <v>0</v>
      </c>
      <c r="BM525" s="3123">
        <f t="shared" si="318"/>
        <v>0</v>
      </c>
      <c r="BN525" s="3123">
        <f t="shared" si="319"/>
        <v>0</v>
      </c>
      <c r="BO525" s="3123">
        <f t="shared" si="320"/>
        <v>0</v>
      </c>
      <c r="BP525" s="3123">
        <f t="shared" si="321"/>
        <v>0</v>
      </c>
      <c r="BQ525" s="3123">
        <f t="shared" si="322"/>
        <v>0</v>
      </c>
      <c r="BR525" s="3123">
        <f t="shared" si="323"/>
        <v>0</v>
      </c>
      <c r="BS525" s="3123">
        <f t="shared" si="324"/>
        <v>0</v>
      </c>
      <c r="BT525" s="3175">
        <f t="shared" si="325"/>
        <v>0</v>
      </c>
    </row>
    <row r="526" spans="1:72">
      <c r="A526" s="3120"/>
      <c r="B526" s="3121"/>
      <c r="C526" s="3121"/>
      <c r="D526" s="3122"/>
      <c r="E526" s="3123">
        <f t="shared" si="297"/>
        <v>0</v>
      </c>
      <c r="F526" s="3124"/>
      <c r="G526" s="3125">
        <f t="shared" si="301"/>
        <v>0</v>
      </c>
      <c r="H526" s="3126">
        <f t="shared" si="302"/>
        <v>0</v>
      </c>
      <c r="I526" s="3133"/>
      <c r="J526" s="3133"/>
      <c r="K526" s="3133"/>
      <c r="L526" s="3133"/>
      <c r="M526" s="3133"/>
      <c r="N526" s="3133"/>
      <c r="O526" s="3133"/>
      <c r="P526" s="3133"/>
      <c r="Q526" s="3133"/>
      <c r="R526" s="3133"/>
      <c r="S526" s="3133"/>
      <c r="T526" s="3133"/>
      <c r="U526" s="3133"/>
      <c r="V526" s="3133"/>
      <c r="W526" s="3133"/>
      <c r="X526" s="3133"/>
      <c r="Y526" s="3133"/>
      <c r="Z526" s="3133"/>
      <c r="AA526" s="3133"/>
      <c r="AB526" s="3133"/>
      <c r="AC526" s="3123">
        <f t="shared" si="303"/>
        <v>0</v>
      </c>
      <c r="AD526" s="3143"/>
      <c r="AE526" s="3143"/>
      <c r="AF526" s="3143"/>
      <c r="AG526" s="3143"/>
      <c r="AH526" s="3143"/>
      <c r="AI526" s="3143"/>
      <c r="AJ526" s="3143"/>
      <c r="AK526" s="3143"/>
      <c r="AL526" s="3143"/>
      <c r="AM526" s="3143"/>
      <c r="AN526" s="3143"/>
      <c r="AO526" s="3143"/>
      <c r="AP526" s="3143"/>
      <c r="AQ526" s="3143"/>
      <c r="AR526" s="3143"/>
      <c r="AS526" s="3143"/>
      <c r="AT526" s="3153"/>
      <c r="AU526" s="3154"/>
      <c r="AV526" s="270">
        <f t="shared" si="298"/>
        <v>0</v>
      </c>
      <c r="AW526" s="270">
        <f t="shared" si="299"/>
        <v>0</v>
      </c>
      <c r="AX526" s="270">
        <f t="shared" si="300"/>
        <v>0</v>
      </c>
      <c r="AY526" s="3168">
        <f t="shared" si="304"/>
        <v>0</v>
      </c>
      <c r="AZ526" s="3123">
        <f t="shared" si="305"/>
        <v>0</v>
      </c>
      <c r="BA526" s="3123">
        <f t="shared" si="306"/>
        <v>0</v>
      </c>
      <c r="BB526" s="3123">
        <f t="shared" si="307"/>
        <v>0</v>
      </c>
      <c r="BC526" s="3123">
        <f t="shared" si="308"/>
        <v>0</v>
      </c>
      <c r="BD526" s="3123">
        <f t="shared" si="309"/>
        <v>0</v>
      </c>
      <c r="BE526" s="3123">
        <f t="shared" si="310"/>
        <v>0</v>
      </c>
      <c r="BF526" s="3123">
        <f t="shared" si="311"/>
        <v>0</v>
      </c>
      <c r="BG526" s="3123">
        <f t="shared" si="312"/>
        <v>0</v>
      </c>
      <c r="BH526" s="3123">
        <f t="shared" si="313"/>
        <v>0</v>
      </c>
      <c r="BI526" s="3123">
        <f t="shared" si="314"/>
        <v>0</v>
      </c>
      <c r="BJ526" s="3123">
        <f t="shared" si="315"/>
        <v>0</v>
      </c>
      <c r="BK526" s="3123">
        <f t="shared" si="316"/>
        <v>0</v>
      </c>
      <c r="BL526" s="3123">
        <f t="shared" si="317"/>
        <v>0</v>
      </c>
      <c r="BM526" s="3123">
        <f t="shared" si="318"/>
        <v>0</v>
      </c>
      <c r="BN526" s="3123">
        <f t="shared" si="319"/>
        <v>0</v>
      </c>
      <c r="BO526" s="3123">
        <f t="shared" si="320"/>
        <v>0</v>
      </c>
      <c r="BP526" s="3123">
        <f t="shared" si="321"/>
        <v>0</v>
      </c>
      <c r="BQ526" s="3123">
        <f t="shared" si="322"/>
        <v>0</v>
      </c>
      <c r="BR526" s="3123">
        <f t="shared" si="323"/>
        <v>0</v>
      </c>
      <c r="BS526" s="3123">
        <f t="shared" si="324"/>
        <v>0</v>
      </c>
      <c r="BT526" s="3175">
        <f t="shared" si="325"/>
        <v>0</v>
      </c>
    </row>
    <row r="527" spans="1:72">
      <c r="A527" s="3120"/>
      <c r="B527" s="3121"/>
      <c r="C527" s="3121"/>
      <c r="D527" s="3122"/>
      <c r="E527" s="3123">
        <f t="shared" si="297"/>
        <v>0</v>
      </c>
      <c r="F527" s="3124"/>
      <c r="G527" s="3125">
        <f t="shared" si="301"/>
        <v>0</v>
      </c>
      <c r="H527" s="3126">
        <f t="shared" si="302"/>
        <v>0</v>
      </c>
      <c r="I527" s="3133"/>
      <c r="J527" s="3133"/>
      <c r="K527" s="3133"/>
      <c r="L527" s="3133"/>
      <c r="M527" s="3133"/>
      <c r="N527" s="3133"/>
      <c r="O527" s="3133"/>
      <c r="P527" s="3133"/>
      <c r="Q527" s="3133"/>
      <c r="R527" s="3133"/>
      <c r="S527" s="3133"/>
      <c r="T527" s="3133"/>
      <c r="U527" s="3133"/>
      <c r="V527" s="3133"/>
      <c r="W527" s="3133"/>
      <c r="X527" s="3133"/>
      <c r="Y527" s="3133"/>
      <c r="Z527" s="3133"/>
      <c r="AA527" s="3133"/>
      <c r="AB527" s="3133"/>
      <c r="AC527" s="3123">
        <f t="shared" si="303"/>
        <v>0</v>
      </c>
      <c r="AD527" s="3143"/>
      <c r="AE527" s="3143"/>
      <c r="AF527" s="3143"/>
      <c r="AG527" s="3143"/>
      <c r="AH527" s="3143"/>
      <c r="AI527" s="3143"/>
      <c r="AJ527" s="3143"/>
      <c r="AK527" s="3143"/>
      <c r="AL527" s="3143"/>
      <c r="AM527" s="3143"/>
      <c r="AN527" s="3143"/>
      <c r="AO527" s="3143"/>
      <c r="AP527" s="3143"/>
      <c r="AQ527" s="3143"/>
      <c r="AR527" s="3143"/>
      <c r="AS527" s="3143"/>
      <c r="AT527" s="3153"/>
      <c r="AU527" s="3154"/>
      <c r="AV527" s="270">
        <f t="shared" si="298"/>
        <v>0</v>
      </c>
      <c r="AW527" s="270">
        <f t="shared" si="299"/>
        <v>0</v>
      </c>
      <c r="AX527" s="270">
        <f t="shared" si="300"/>
        <v>0</v>
      </c>
      <c r="AY527" s="3168">
        <f t="shared" si="304"/>
        <v>0</v>
      </c>
      <c r="AZ527" s="3123">
        <f t="shared" si="305"/>
        <v>0</v>
      </c>
      <c r="BA527" s="3123">
        <f t="shared" si="306"/>
        <v>0</v>
      </c>
      <c r="BB527" s="3123">
        <f t="shared" si="307"/>
        <v>0</v>
      </c>
      <c r="BC527" s="3123">
        <f t="shared" si="308"/>
        <v>0</v>
      </c>
      <c r="BD527" s="3123">
        <f t="shared" si="309"/>
        <v>0</v>
      </c>
      <c r="BE527" s="3123">
        <f t="shared" si="310"/>
        <v>0</v>
      </c>
      <c r="BF527" s="3123">
        <f t="shared" si="311"/>
        <v>0</v>
      </c>
      <c r="BG527" s="3123">
        <f t="shared" si="312"/>
        <v>0</v>
      </c>
      <c r="BH527" s="3123">
        <f t="shared" si="313"/>
        <v>0</v>
      </c>
      <c r="BI527" s="3123">
        <f t="shared" si="314"/>
        <v>0</v>
      </c>
      <c r="BJ527" s="3123">
        <f t="shared" si="315"/>
        <v>0</v>
      </c>
      <c r="BK527" s="3123">
        <f t="shared" si="316"/>
        <v>0</v>
      </c>
      <c r="BL527" s="3123">
        <f t="shared" si="317"/>
        <v>0</v>
      </c>
      <c r="BM527" s="3123">
        <f t="shared" si="318"/>
        <v>0</v>
      </c>
      <c r="BN527" s="3123">
        <f t="shared" si="319"/>
        <v>0</v>
      </c>
      <c r="BO527" s="3123">
        <f t="shared" si="320"/>
        <v>0</v>
      </c>
      <c r="BP527" s="3123">
        <f t="shared" si="321"/>
        <v>0</v>
      </c>
      <c r="BQ527" s="3123">
        <f t="shared" si="322"/>
        <v>0</v>
      </c>
      <c r="BR527" s="3123">
        <f t="shared" si="323"/>
        <v>0</v>
      </c>
      <c r="BS527" s="3123">
        <f t="shared" si="324"/>
        <v>0</v>
      </c>
      <c r="BT527" s="3175">
        <f t="shared" si="325"/>
        <v>0</v>
      </c>
    </row>
    <row r="528" spans="1:72">
      <c r="A528" s="3120"/>
      <c r="B528" s="3121"/>
      <c r="C528" s="3121"/>
      <c r="D528" s="3122"/>
      <c r="E528" s="3123">
        <f t="shared" si="297"/>
        <v>0</v>
      </c>
      <c r="F528" s="3124"/>
      <c r="G528" s="3125">
        <f t="shared" si="301"/>
        <v>0</v>
      </c>
      <c r="H528" s="3126">
        <f t="shared" si="302"/>
        <v>0</v>
      </c>
      <c r="I528" s="3133"/>
      <c r="J528" s="3133"/>
      <c r="K528" s="3133"/>
      <c r="L528" s="3133"/>
      <c r="M528" s="3133"/>
      <c r="N528" s="3133"/>
      <c r="O528" s="3133"/>
      <c r="P528" s="3133"/>
      <c r="Q528" s="3133"/>
      <c r="R528" s="3133"/>
      <c r="S528" s="3133"/>
      <c r="T528" s="3133"/>
      <c r="U528" s="3133"/>
      <c r="V528" s="3133"/>
      <c r="W528" s="3133"/>
      <c r="X528" s="3133"/>
      <c r="Y528" s="3133"/>
      <c r="Z528" s="3133"/>
      <c r="AA528" s="3133"/>
      <c r="AB528" s="3133"/>
      <c r="AC528" s="3123">
        <f t="shared" si="303"/>
        <v>0</v>
      </c>
      <c r="AD528" s="3143"/>
      <c r="AE528" s="3143"/>
      <c r="AF528" s="3143"/>
      <c r="AG528" s="3143"/>
      <c r="AH528" s="3143"/>
      <c r="AI528" s="3143"/>
      <c r="AJ528" s="3143"/>
      <c r="AK528" s="3143"/>
      <c r="AL528" s="3143"/>
      <c r="AM528" s="3143"/>
      <c r="AN528" s="3143"/>
      <c r="AO528" s="3143"/>
      <c r="AP528" s="3143"/>
      <c r="AQ528" s="3143"/>
      <c r="AR528" s="3143"/>
      <c r="AS528" s="3143"/>
      <c r="AT528" s="3153"/>
      <c r="AU528" s="3154"/>
      <c r="AV528" s="270">
        <f t="shared" si="298"/>
        <v>0</v>
      </c>
      <c r="AW528" s="270">
        <f t="shared" si="299"/>
        <v>0</v>
      </c>
      <c r="AX528" s="270">
        <f t="shared" si="300"/>
        <v>0</v>
      </c>
      <c r="AY528" s="3168">
        <f t="shared" si="304"/>
        <v>0</v>
      </c>
      <c r="AZ528" s="3123">
        <f t="shared" si="305"/>
        <v>0</v>
      </c>
      <c r="BA528" s="3123">
        <f t="shared" si="306"/>
        <v>0</v>
      </c>
      <c r="BB528" s="3123">
        <f t="shared" si="307"/>
        <v>0</v>
      </c>
      <c r="BC528" s="3123">
        <f t="shared" si="308"/>
        <v>0</v>
      </c>
      <c r="BD528" s="3123">
        <f t="shared" si="309"/>
        <v>0</v>
      </c>
      <c r="BE528" s="3123">
        <f t="shared" si="310"/>
        <v>0</v>
      </c>
      <c r="BF528" s="3123">
        <f t="shared" si="311"/>
        <v>0</v>
      </c>
      <c r="BG528" s="3123">
        <f t="shared" si="312"/>
        <v>0</v>
      </c>
      <c r="BH528" s="3123">
        <f t="shared" si="313"/>
        <v>0</v>
      </c>
      <c r="BI528" s="3123">
        <f t="shared" si="314"/>
        <v>0</v>
      </c>
      <c r="BJ528" s="3123">
        <f t="shared" si="315"/>
        <v>0</v>
      </c>
      <c r="BK528" s="3123">
        <f t="shared" si="316"/>
        <v>0</v>
      </c>
      <c r="BL528" s="3123">
        <f t="shared" si="317"/>
        <v>0</v>
      </c>
      <c r="BM528" s="3123">
        <f t="shared" si="318"/>
        <v>0</v>
      </c>
      <c r="BN528" s="3123">
        <f t="shared" si="319"/>
        <v>0</v>
      </c>
      <c r="BO528" s="3123">
        <f t="shared" si="320"/>
        <v>0</v>
      </c>
      <c r="BP528" s="3123">
        <f t="shared" si="321"/>
        <v>0</v>
      </c>
      <c r="BQ528" s="3123">
        <f t="shared" si="322"/>
        <v>0</v>
      </c>
      <c r="BR528" s="3123">
        <f t="shared" si="323"/>
        <v>0</v>
      </c>
      <c r="BS528" s="3123">
        <f t="shared" si="324"/>
        <v>0</v>
      </c>
      <c r="BT528" s="3175">
        <f t="shared" si="325"/>
        <v>0</v>
      </c>
    </row>
    <row r="529" spans="1:72">
      <c r="A529" s="3120"/>
      <c r="B529" s="3121"/>
      <c r="C529" s="3121"/>
      <c r="D529" s="3122"/>
      <c r="E529" s="3123">
        <f t="shared" si="297"/>
        <v>0</v>
      </c>
      <c r="F529" s="3124"/>
      <c r="G529" s="3125">
        <f t="shared" si="301"/>
        <v>0</v>
      </c>
      <c r="H529" s="3126">
        <f t="shared" si="302"/>
        <v>0</v>
      </c>
      <c r="I529" s="3133"/>
      <c r="J529" s="3133"/>
      <c r="K529" s="3133"/>
      <c r="L529" s="3133"/>
      <c r="M529" s="3133"/>
      <c r="N529" s="3133"/>
      <c r="O529" s="3133"/>
      <c r="P529" s="3133"/>
      <c r="Q529" s="3133"/>
      <c r="R529" s="3133"/>
      <c r="S529" s="3133"/>
      <c r="T529" s="3133"/>
      <c r="U529" s="3133"/>
      <c r="V529" s="3133"/>
      <c r="W529" s="3133"/>
      <c r="X529" s="3133"/>
      <c r="Y529" s="3133"/>
      <c r="Z529" s="3133"/>
      <c r="AA529" s="3133"/>
      <c r="AB529" s="3133"/>
      <c r="AC529" s="3123">
        <f t="shared" si="303"/>
        <v>0</v>
      </c>
      <c r="AD529" s="3143"/>
      <c r="AE529" s="3143"/>
      <c r="AF529" s="3143"/>
      <c r="AG529" s="3143"/>
      <c r="AH529" s="3143"/>
      <c r="AI529" s="3143"/>
      <c r="AJ529" s="3143"/>
      <c r="AK529" s="3143"/>
      <c r="AL529" s="3143"/>
      <c r="AM529" s="3143"/>
      <c r="AN529" s="3143"/>
      <c r="AO529" s="3143"/>
      <c r="AP529" s="3143"/>
      <c r="AQ529" s="3143"/>
      <c r="AR529" s="3143"/>
      <c r="AS529" s="3143"/>
      <c r="AT529" s="3153"/>
      <c r="AU529" s="3154"/>
      <c r="AV529" s="270">
        <f t="shared" si="298"/>
        <v>0</v>
      </c>
      <c r="AW529" s="270">
        <f t="shared" si="299"/>
        <v>0</v>
      </c>
      <c r="AX529" s="270">
        <f t="shared" si="300"/>
        <v>0</v>
      </c>
      <c r="AY529" s="3168">
        <f t="shared" si="304"/>
        <v>0</v>
      </c>
      <c r="AZ529" s="3123">
        <f t="shared" si="305"/>
        <v>0</v>
      </c>
      <c r="BA529" s="3123">
        <f t="shared" si="306"/>
        <v>0</v>
      </c>
      <c r="BB529" s="3123">
        <f t="shared" si="307"/>
        <v>0</v>
      </c>
      <c r="BC529" s="3123">
        <f t="shared" si="308"/>
        <v>0</v>
      </c>
      <c r="BD529" s="3123">
        <f t="shared" si="309"/>
        <v>0</v>
      </c>
      <c r="BE529" s="3123">
        <f t="shared" si="310"/>
        <v>0</v>
      </c>
      <c r="BF529" s="3123">
        <f t="shared" si="311"/>
        <v>0</v>
      </c>
      <c r="BG529" s="3123">
        <f t="shared" si="312"/>
        <v>0</v>
      </c>
      <c r="BH529" s="3123">
        <f t="shared" si="313"/>
        <v>0</v>
      </c>
      <c r="BI529" s="3123">
        <f t="shared" si="314"/>
        <v>0</v>
      </c>
      <c r="BJ529" s="3123">
        <f t="shared" si="315"/>
        <v>0</v>
      </c>
      <c r="BK529" s="3123">
        <f t="shared" si="316"/>
        <v>0</v>
      </c>
      <c r="BL529" s="3123">
        <f t="shared" si="317"/>
        <v>0</v>
      </c>
      <c r="BM529" s="3123">
        <f t="shared" si="318"/>
        <v>0</v>
      </c>
      <c r="BN529" s="3123">
        <f t="shared" si="319"/>
        <v>0</v>
      </c>
      <c r="BO529" s="3123">
        <f t="shared" si="320"/>
        <v>0</v>
      </c>
      <c r="BP529" s="3123">
        <f t="shared" si="321"/>
        <v>0</v>
      </c>
      <c r="BQ529" s="3123">
        <f t="shared" si="322"/>
        <v>0</v>
      </c>
      <c r="BR529" s="3123">
        <f t="shared" si="323"/>
        <v>0</v>
      </c>
      <c r="BS529" s="3123">
        <f t="shared" si="324"/>
        <v>0</v>
      </c>
      <c r="BT529" s="3175">
        <f t="shared" si="325"/>
        <v>0</v>
      </c>
    </row>
    <row r="530" spans="1:72">
      <c r="A530" s="3120"/>
      <c r="B530" s="3121"/>
      <c r="C530" s="3121"/>
      <c r="D530" s="3122"/>
      <c r="E530" s="3123">
        <f t="shared" si="297"/>
        <v>0</v>
      </c>
      <c r="F530" s="3124"/>
      <c r="G530" s="3125">
        <f t="shared" si="301"/>
        <v>0</v>
      </c>
      <c r="H530" s="3126">
        <f t="shared" si="302"/>
        <v>0</v>
      </c>
      <c r="I530" s="3133"/>
      <c r="J530" s="3133"/>
      <c r="K530" s="3133"/>
      <c r="L530" s="3133"/>
      <c r="M530" s="3133"/>
      <c r="N530" s="3133"/>
      <c r="O530" s="3133"/>
      <c r="P530" s="3133"/>
      <c r="Q530" s="3133"/>
      <c r="R530" s="3133"/>
      <c r="S530" s="3133"/>
      <c r="T530" s="3133"/>
      <c r="U530" s="3133"/>
      <c r="V530" s="3133"/>
      <c r="W530" s="3133"/>
      <c r="X530" s="3133"/>
      <c r="Y530" s="3133"/>
      <c r="Z530" s="3133"/>
      <c r="AA530" s="3133"/>
      <c r="AB530" s="3133"/>
      <c r="AC530" s="3123">
        <f t="shared" si="303"/>
        <v>0</v>
      </c>
      <c r="AD530" s="3143"/>
      <c r="AE530" s="3143"/>
      <c r="AF530" s="3143"/>
      <c r="AG530" s="3143"/>
      <c r="AH530" s="3143"/>
      <c r="AI530" s="3143"/>
      <c r="AJ530" s="3143"/>
      <c r="AK530" s="3143"/>
      <c r="AL530" s="3143"/>
      <c r="AM530" s="3143"/>
      <c r="AN530" s="3143"/>
      <c r="AO530" s="3143"/>
      <c r="AP530" s="3143"/>
      <c r="AQ530" s="3143"/>
      <c r="AR530" s="3143"/>
      <c r="AS530" s="3143"/>
      <c r="AT530" s="3153"/>
      <c r="AU530" s="3154"/>
      <c r="AV530" s="270">
        <f t="shared" si="298"/>
        <v>0</v>
      </c>
      <c r="AW530" s="270">
        <f t="shared" si="299"/>
        <v>0</v>
      </c>
      <c r="AX530" s="270">
        <f t="shared" si="300"/>
        <v>0</v>
      </c>
      <c r="AY530" s="3168">
        <f t="shared" si="304"/>
        <v>0</v>
      </c>
      <c r="AZ530" s="3123">
        <f t="shared" si="305"/>
        <v>0</v>
      </c>
      <c r="BA530" s="3123">
        <f t="shared" si="306"/>
        <v>0</v>
      </c>
      <c r="BB530" s="3123">
        <f t="shared" si="307"/>
        <v>0</v>
      </c>
      <c r="BC530" s="3123">
        <f t="shared" si="308"/>
        <v>0</v>
      </c>
      <c r="BD530" s="3123">
        <f t="shared" si="309"/>
        <v>0</v>
      </c>
      <c r="BE530" s="3123">
        <f t="shared" si="310"/>
        <v>0</v>
      </c>
      <c r="BF530" s="3123">
        <f t="shared" si="311"/>
        <v>0</v>
      </c>
      <c r="BG530" s="3123">
        <f t="shared" si="312"/>
        <v>0</v>
      </c>
      <c r="BH530" s="3123">
        <f t="shared" si="313"/>
        <v>0</v>
      </c>
      <c r="BI530" s="3123">
        <f t="shared" si="314"/>
        <v>0</v>
      </c>
      <c r="BJ530" s="3123">
        <f t="shared" si="315"/>
        <v>0</v>
      </c>
      <c r="BK530" s="3123">
        <f t="shared" si="316"/>
        <v>0</v>
      </c>
      <c r="BL530" s="3123">
        <f t="shared" si="317"/>
        <v>0</v>
      </c>
      <c r="BM530" s="3123">
        <f t="shared" si="318"/>
        <v>0</v>
      </c>
      <c r="BN530" s="3123">
        <f t="shared" si="319"/>
        <v>0</v>
      </c>
      <c r="BO530" s="3123">
        <f t="shared" si="320"/>
        <v>0</v>
      </c>
      <c r="BP530" s="3123">
        <f t="shared" si="321"/>
        <v>0</v>
      </c>
      <c r="BQ530" s="3123">
        <f t="shared" si="322"/>
        <v>0</v>
      </c>
      <c r="BR530" s="3123">
        <f t="shared" si="323"/>
        <v>0</v>
      </c>
      <c r="BS530" s="3123">
        <f t="shared" si="324"/>
        <v>0</v>
      </c>
      <c r="BT530" s="3175">
        <f t="shared" si="325"/>
        <v>0</v>
      </c>
    </row>
    <row r="531" spans="1:72">
      <c r="A531" s="3120"/>
      <c r="B531" s="3121"/>
      <c r="C531" s="3121"/>
      <c r="D531" s="3122"/>
      <c r="E531" s="3123">
        <f t="shared" si="297"/>
        <v>0</v>
      </c>
      <c r="F531" s="3124"/>
      <c r="G531" s="3125">
        <f t="shared" si="301"/>
        <v>0</v>
      </c>
      <c r="H531" s="3126">
        <f t="shared" si="302"/>
        <v>0</v>
      </c>
      <c r="I531" s="3133"/>
      <c r="J531" s="3133"/>
      <c r="K531" s="3133"/>
      <c r="L531" s="3133"/>
      <c r="M531" s="3133"/>
      <c r="N531" s="3133"/>
      <c r="O531" s="3133"/>
      <c r="P531" s="3133"/>
      <c r="Q531" s="3133"/>
      <c r="R531" s="3133"/>
      <c r="S531" s="3133"/>
      <c r="T531" s="3133"/>
      <c r="U531" s="3133"/>
      <c r="V531" s="3133"/>
      <c r="W531" s="3133"/>
      <c r="X531" s="3133"/>
      <c r="Y531" s="3133"/>
      <c r="Z531" s="3133"/>
      <c r="AA531" s="3133"/>
      <c r="AB531" s="3133"/>
      <c r="AC531" s="3123">
        <f t="shared" si="303"/>
        <v>0</v>
      </c>
      <c r="AD531" s="3143"/>
      <c r="AE531" s="3143"/>
      <c r="AF531" s="3143"/>
      <c r="AG531" s="3143"/>
      <c r="AH531" s="3143"/>
      <c r="AI531" s="3143"/>
      <c r="AJ531" s="3143"/>
      <c r="AK531" s="3143"/>
      <c r="AL531" s="3143"/>
      <c r="AM531" s="3143"/>
      <c r="AN531" s="3143"/>
      <c r="AO531" s="3143"/>
      <c r="AP531" s="3143"/>
      <c r="AQ531" s="3143"/>
      <c r="AR531" s="3143"/>
      <c r="AS531" s="3143"/>
      <c r="AT531" s="3153"/>
      <c r="AU531" s="3154"/>
      <c r="AV531" s="270">
        <f t="shared" si="298"/>
        <v>0</v>
      </c>
      <c r="AW531" s="270">
        <f t="shared" si="299"/>
        <v>0</v>
      </c>
      <c r="AX531" s="270">
        <f t="shared" si="300"/>
        <v>0</v>
      </c>
      <c r="AY531" s="3168">
        <f t="shared" si="304"/>
        <v>0</v>
      </c>
      <c r="AZ531" s="3123">
        <f t="shared" si="305"/>
        <v>0</v>
      </c>
      <c r="BA531" s="3123">
        <f t="shared" si="306"/>
        <v>0</v>
      </c>
      <c r="BB531" s="3123">
        <f t="shared" si="307"/>
        <v>0</v>
      </c>
      <c r="BC531" s="3123">
        <f t="shared" si="308"/>
        <v>0</v>
      </c>
      <c r="BD531" s="3123">
        <f t="shared" si="309"/>
        <v>0</v>
      </c>
      <c r="BE531" s="3123">
        <f t="shared" si="310"/>
        <v>0</v>
      </c>
      <c r="BF531" s="3123">
        <f t="shared" si="311"/>
        <v>0</v>
      </c>
      <c r="BG531" s="3123">
        <f t="shared" si="312"/>
        <v>0</v>
      </c>
      <c r="BH531" s="3123">
        <f t="shared" si="313"/>
        <v>0</v>
      </c>
      <c r="BI531" s="3123">
        <f t="shared" si="314"/>
        <v>0</v>
      </c>
      <c r="BJ531" s="3123">
        <f t="shared" si="315"/>
        <v>0</v>
      </c>
      <c r="BK531" s="3123">
        <f t="shared" si="316"/>
        <v>0</v>
      </c>
      <c r="BL531" s="3123">
        <f t="shared" si="317"/>
        <v>0</v>
      </c>
      <c r="BM531" s="3123">
        <f t="shared" si="318"/>
        <v>0</v>
      </c>
      <c r="BN531" s="3123">
        <f t="shared" si="319"/>
        <v>0</v>
      </c>
      <c r="BO531" s="3123">
        <f t="shared" si="320"/>
        <v>0</v>
      </c>
      <c r="BP531" s="3123">
        <f t="shared" si="321"/>
        <v>0</v>
      </c>
      <c r="BQ531" s="3123">
        <f t="shared" si="322"/>
        <v>0</v>
      </c>
      <c r="BR531" s="3123">
        <f t="shared" si="323"/>
        <v>0</v>
      </c>
      <c r="BS531" s="3123">
        <f t="shared" si="324"/>
        <v>0</v>
      </c>
      <c r="BT531" s="3175">
        <f t="shared" si="325"/>
        <v>0</v>
      </c>
    </row>
    <row r="532" spans="1:72">
      <c r="A532" s="3120"/>
      <c r="B532" s="3121"/>
      <c r="C532" s="3121"/>
      <c r="D532" s="3122"/>
      <c r="E532" s="3123">
        <f t="shared" si="297"/>
        <v>0</v>
      </c>
      <c r="F532" s="3124"/>
      <c r="G532" s="3125">
        <f t="shared" si="301"/>
        <v>0</v>
      </c>
      <c r="H532" s="3126">
        <f t="shared" si="302"/>
        <v>0</v>
      </c>
      <c r="I532" s="3133"/>
      <c r="J532" s="3133"/>
      <c r="K532" s="3133"/>
      <c r="L532" s="3133"/>
      <c r="M532" s="3133"/>
      <c r="N532" s="3133"/>
      <c r="O532" s="3133"/>
      <c r="P532" s="3133"/>
      <c r="Q532" s="3133"/>
      <c r="R532" s="3133"/>
      <c r="S532" s="3133"/>
      <c r="T532" s="3133"/>
      <c r="U532" s="3133"/>
      <c r="V532" s="3133"/>
      <c r="W532" s="3133"/>
      <c r="X532" s="3133"/>
      <c r="Y532" s="3133"/>
      <c r="Z532" s="3133"/>
      <c r="AA532" s="3133"/>
      <c r="AB532" s="3133"/>
      <c r="AC532" s="3123">
        <f t="shared" si="303"/>
        <v>0</v>
      </c>
      <c r="AD532" s="3143"/>
      <c r="AE532" s="3143"/>
      <c r="AF532" s="3143"/>
      <c r="AG532" s="3143"/>
      <c r="AH532" s="3143"/>
      <c r="AI532" s="3143"/>
      <c r="AJ532" s="3143"/>
      <c r="AK532" s="3143"/>
      <c r="AL532" s="3143"/>
      <c r="AM532" s="3143"/>
      <c r="AN532" s="3143"/>
      <c r="AO532" s="3143"/>
      <c r="AP532" s="3143"/>
      <c r="AQ532" s="3143"/>
      <c r="AR532" s="3143"/>
      <c r="AS532" s="3143"/>
      <c r="AT532" s="3153"/>
      <c r="AU532" s="3154"/>
      <c r="AV532" s="270">
        <f t="shared" si="298"/>
        <v>0</v>
      </c>
      <c r="AW532" s="270">
        <f t="shared" si="299"/>
        <v>0</v>
      </c>
      <c r="AX532" s="270">
        <f t="shared" si="300"/>
        <v>0</v>
      </c>
      <c r="AY532" s="3168">
        <f t="shared" si="304"/>
        <v>0</v>
      </c>
      <c r="AZ532" s="3123">
        <f t="shared" si="305"/>
        <v>0</v>
      </c>
      <c r="BA532" s="3123">
        <f t="shared" si="306"/>
        <v>0</v>
      </c>
      <c r="BB532" s="3123">
        <f t="shared" si="307"/>
        <v>0</v>
      </c>
      <c r="BC532" s="3123">
        <f t="shared" si="308"/>
        <v>0</v>
      </c>
      <c r="BD532" s="3123">
        <f t="shared" si="309"/>
        <v>0</v>
      </c>
      <c r="BE532" s="3123">
        <f t="shared" si="310"/>
        <v>0</v>
      </c>
      <c r="BF532" s="3123">
        <f t="shared" si="311"/>
        <v>0</v>
      </c>
      <c r="BG532" s="3123">
        <f t="shared" si="312"/>
        <v>0</v>
      </c>
      <c r="BH532" s="3123">
        <f t="shared" si="313"/>
        <v>0</v>
      </c>
      <c r="BI532" s="3123">
        <f t="shared" si="314"/>
        <v>0</v>
      </c>
      <c r="BJ532" s="3123">
        <f t="shared" si="315"/>
        <v>0</v>
      </c>
      <c r="BK532" s="3123">
        <f t="shared" si="316"/>
        <v>0</v>
      </c>
      <c r="BL532" s="3123">
        <f t="shared" si="317"/>
        <v>0</v>
      </c>
      <c r="BM532" s="3123">
        <f t="shared" si="318"/>
        <v>0</v>
      </c>
      <c r="BN532" s="3123">
        <f t="shared" si="319"/>
        <v>0</v>
      </c>
      <c r="BO532" s="3123">
        <f t="shared" si="320"/>
        <v>0</v>
      </c>
      <c r="BP532" s="3123">
        <f t="shared" si="321"/>
        <v>0</v>
      </c>
      <c r="BQ532" s="3123">
        <f t="shared" si="322"/>
        <v>0</v>
      </c>
      <c r="BR532" s="3123">
        <f t="shared" si="323"/>
        <v>0</v>
      </c>
      <c r="BS532" s="3123">
        <f t="shared" si="324"/>
        <v>0</v>
      </c>
      <c r="BT532" s="3175">
        <f t="shared" si="325"/>
        <v>0</v>
      </c>
    </row>
    <row r="533" spans="1:72">
      <c r="A533" s="3120"/>
      <c r="B533" s="3121"/>
      <c r="C533" s="3121"/>
      <c r="D533" s="3122"/>
      <c r="E533" s="3123">
        <f t="shared" si="297"/>
        <v>0</v>
      </c>
      <c r="F533" s="3124"/>
      <c r="G533" s="3125">
        <f t="shared" si="301"/>
        <v>0</v>
      </c>
      <c r="H533" s="3126">
        <f t="shared" si="302"/>
        <v>0</v>
      </c>
      <c r="I533" s="3133"/>
      <c r="J533" s="3133"/>
      <c r="K533" s="3133"/>
      <c r="L533" s="3133"/>
      <c r="M533" s="3133"/>
      <c r="N533" s="3133"/>
      <c r="O533" s="3133"/>
      <c r="P533" s="3133"/>
      <c r="Q533" s="3133"/>
      <c r="R533" s="3133"/>
      <c r="S533" s="3133"/>
      <c r="T533" s="3133"/>
      <c r="U533" s="3133"/>
      <c r="V533" s="3133"/>
      <c r="W533" s="3133"/>
      <c r="X533" s="3133"/>
      <c r="Y533" s="3133"/>
      <c r="Z533" s="3133"/>
      <c r="AA533" s="3133"/>
      <c r="AB533" s="3133"/>
      <c r="AC533" s="3123">
        <f t="shared" si="303"/>
        <v>0</v>
      </c>
      <c r="AD533" s="3143"/>
      <c r="AE533" s="3143"/>
      <c r="AF533" s="3143"/>
      <c r="AG533" s="3143"/>
      <c r="AH533" s="3143"/>
      <c r="AI533" s="3143"/>
      <c r="AJ533" s="3143"/>
      <c r="AK533" s="3143"/>
      <c r="AL533" s="3143"/>
      <c r="AM533" s="3143"/>
      <c r="AN533" s="3143"/>
      <c r="AO533" s="3143"/>
      <c r="AP533" s="3143"/>
      <c r="AQ533" s="3143"/>
      <c r="AR533" s="3143"/>
      <c r="AS533" s="3143"/>
      <c r="AT533" s="3153"/>
      <c r="AU533" s="3154"/>
      <c r="AV533" s="270">
        <f t="shared" si="298"/>
        <v>0</v>
      </c>
      <c r="AW533" s="270">
        <f t="shared" si="299"/>
        <v>0</v>
      </c>
      <c r="AX533" s="270">
        <f t="shared" si="300"/>
        <v>0</v>
      </c>
      <c r="AY533" s="3168">
        <f t="shared" si="304"/>
        <v>0</v>
      </c>
      <c r="AZ533" s="3123">
        <f t="shared" si="305"/>
        <v>0</v>
      </c>
      <c r="BA533" s="3123">
        <f t="shared" si="306"/>
        <v>0</v>
      </c>
      <c r="BB533" s="3123">
        <f t="shared" si="307"/>
        <v>0</v>
      </c>
      <c r="BC533" s="3123">
        <f t="shared" si="308"/>
        <v>0</v>
      </c>
      <c r="BD533" s="3123">
        <f t="shared" si="309"/>
        <v>0</v>
      </c>
      <c r="BE533" s="3123">
        <f t="shared" si="310"/>
        <v>0</v>
      </c>
      <c r="BF533" s="3123">
        <f t="shared" si="311"/>
        <v>0</v>
      </c>
      <c r="BG533" s="3123">
        <f t="shared" si="312"/>
        <v>0</v>
      </c>
      <c r="BH533" s="3123">
        <f t="shared" si="313"/>
        <v>0</v>
      </c>
      <c r="BI533" s="3123">
        <f t="shared" si="314"/>
        <v>0</v>
      </c>
      <c r="BJ533" s="3123">
        <f t="shared" si="315"/>
        <v>0</v>
      </c>
      <c r="BK533" s="3123">
        <f t="shared" si="316"/>
        <v>0</v>
      </c>
      <c r="BL533" s="3123">
        <f t="shared" si="317"/>
        <v>0</v>
      </c>
      <c r="BM533" s="3123">
        <f t="shared" si="318"/>
        <v>0</v>
      </c>
      <c r="BN533" s="3123">
        <f t="shared" si="319"/>
        <v>0</v>
      </c>
      <c r="BO533" s="3123">
        <f t="shared" si="320"/>
        <v>0</v>
      </c>
      <c r="BP533" s="3123">
        <f t="shared" si="321"/>
        <v>0</v>
      </c>
      <c r="BQ533" s="3123">
        <f t="shared" si="322"/>
        <v>0</v>
      </c>
      <c r="BR533" s="3123">
        <f t="shared" si="323"/>
        <v>0</v>
      </c>
      <c r="BS533" s="3123">
        <f t="shared" si="324"/>
        <v>0</v>
      </c>
      <c r="BT533" s="3175">
        <f t="shared" si="325"/>
        <v>0</v>
      </c>
    </row>
    <row r="534" spans="1:72">
      <c r="A534" s="3120"/>
      <c r="B534" s="3121"/>
      <c r="C534" s="3121"/>
      <c r="D534" s="3122"/>
      <c r="E534" s="3123">
        <f t="shared" si="297"/>
        <v>0</v>
      </c>
      <c r="F534" s="3124"/>
      <c r="G534" s="3125">
        <f t="shared" si="301"/>
        <v>0</v>
      </c>
      <c r="H534" s="3126">
        <f t="shared" si="302"/>
        <v>0</v>
      </c>
      <c r="I534" s="3133"/>
      <c r="J534" s="3133"/>
      <c r="K534" s="3133"/>
      <c r="L534" s="3133"/>
      <c r="M534" s="3133"/>
      <c r="N534" s="3133"/>
      <c r="O534" s="3133"/>
      <c r="P534" s="3133"/>
      <c r="Q534" s="3133"/>
      <c r="R534" s="3133"/>
      <c r="S534" s="3133"/>
      <c r="T534" s="3133"/>
      <c r="U534" s="3133"/>
      <c r="V534" s="3133"/>
      <c r="W534" s="3133"/>
      <c r="X534" s="3133"/>
      <c r="Y534" s="3133"/>
      <c r="Z534" s="3133"/>
      <c r="AA534" s="3133"/>
      <c r="AB534" s="3133"/>
      <c r="AC534" s="3123">
        <f t="shared" si="303"/>
        <v>0</v>
      </c>
      <c r="AD534" s="3143"/>
      <c r="AE534" s="3143"/>
      <c r="AF534" s="3143"/>
      <c r="AG534" s="3143"/>
      <c r="AH534" s="3143"/>
      <c r="AI534" s="3143"/>
      <c r="AJ534" s="3143"/>
      <c r="AK534" s="3143"/>
      <c r="AL534" s="3143"/>
      <c r="AM534" s="3143"/>
      <c r="AN534" s="3143"/>
      <c r="AO534" s="3143"/>
      <c r="AP534" s="3143"/>
      <c r="AQ534" s="3143"/>
      <c r="AR534" s="3143"/>
      <c r="AS534" s="3143"/>
      <c r="AT534" s="3153"/>
      <c r="AU534" s="3154"/>
      <c r="AV534" s="270">
        <f t="shared" si="298"/>
        <v>0</v>
      </c>
      <c r="AW534" s="270">
        <f t="shared" si="299"/>
        <v>0</v>
      </c>
      <c r="AX534" s="270">
        <f t="shared" si="300"/>
        <v>0</v>
      </c>
      <c r="AY534" s="3168">
        <f t="shared" si="304"/>
        <v>0</v>
      </c>
      <c r="AZ534" s="3123">
        <f t="shared" si="305"/>
        <v>0</v>
      </c>
      <c r="BA534" s="3123">
        <f t="shared" si="306"/>
        <v>0</v>
      </c>
      <c r="BB534" s="3123">
        <f t="shared" si="307"/>
        <v>0</v>
      </c>
      <c r="BC534" s="3123">
        <f t="shared" si="308"/>
        <v>0</v>
      </c>
      <c r="BD534" s="3123">
        <f t="shared" si="309"/>
        <v>0</v>
      </c>
      <c r="BE534" s="3123">
        <f t="shared" si="310"/>
        <v>0</v>
      </c>
      <c r="BF534" s="3123">
        <f t="shared" si="311"/>
        <v>0</v>
      </c>
      <c r="BG534" s="3123">
        <f t="shared" si="312"/>
        <v>0</v>
      </c>
      <c r="BH534" s="3123">
        <f t="shared" si="313"/>
        <v>0</v>
      </c>
      <c r="BI534" s="3123">
        <f t="shared" si="314"/>
        <v>0</v>
      </c>
      <c r="BJ534" s="3123">
        <f t="shared" si="315"/>
        <v>0</v>
      </c>
      <c r="BK534" s="3123">
        <f t="shared" si="316"/>
        <v>0</v>
      </c>
      <c r="BL534" s="3123">
        <f t="shared" si="317"/>
        <v>0</v>
      </c>
      <c r="BM534" s="3123">
        <f t="shared" si="318"/>
        <v>0</v>
      </c>
      <c r="BN534" s="3123">
        <f t="shared" si="319"/>
        <v>0</v>
      </c>
      <c r="BO534" s="3123">
        <f t="shared" si="320"/>
        <v>0</v>
      </c>
      <c r="BP534" s="3123">
        <f t="shared" si="321"/>
        <v>0</v>
      </c>
      <c r="BQ534" s="3123">
        <f t="shared" si="322"/>
        <v>0</v>
      </c>
      <c r="BR534" s="3123">
        <f t="shared" si="323"/>
        <v>0</v>
      </c>
      <c r="BS534" s="3123">
        <f t="shared" si="324"/>
        <v>0</v>
      </c>
      <c r="BT534" s="3175">
        <f t="shared" si="325"/>
        <v>0</v>
      </c>
    </row>
    <row r="535" spans="1:72">
      <c r="A535" s="3120"/>
      <c r="B535" s="3121"/>
      <c r="C535" s="3121"/>
      <c r="D535" s="3122"/>
      <c r="E535" s="3123">
        <f t="shared" si="297"/>
        <v>0</v>
      </c>
      <c r="F535" s="3124"/>
      <c r="G535" s="3125">
        <f t="shared" si="301"/>
        <v>0</v>
      </c>
      <c r="H535" s="3126">
        <f t="shared" si="302"/>
        <v>0</v>
      </c>
      <c r="I535" s="3133"/>
      <c r="J535" s="3133"/>
      <c r="K535" s="3133"/>
      <c r="L535" s="3133"/>
      <c r="M535" s="3133"/>
      <c r="N535" s="3133"/>
      <c r="O535" s="3133"/>
      <c r="P535" s="3133"/>
      <c r="Q535" s="3133"/>
      <c r="R535" s="3133"/>
      <c r="S535" s="3133"/>
      <c r="T535" s="3133"/>
      <c r="U535" s="3133"/>
      <c r="V535" s="3133"/>
      <c r="W535" s="3133"/>
      <c r="X535" s="3133"/>
      <c r="Y535" s="3133"/>
      <c r="Z535" s="3133"/>
      <c r="AA535" s="3133"/>
      <c r="AB535" s="3133"/>
      <c r="AC535" s="3123">
        <f t="shared" si="303"/>
        <v>0</v>
      </c>
      <c r="AD535" s="3143"/>
      <c r="AE535" s="3143"/>
      <c r="AF535" s="3143"/>
      <c r="AG535" s="3143"/>
      <c r="AH535" s="3143"/>
      <c r="AI535" s="3143"/>
      <c r="AJ535" s="3143"/>
      <c r="AK535" s="3143"/>
      <c r="AL535" s="3143"/>
      <c r="AM535" s="3143"/>
      <c r="AN535" s="3143"/>
      <c r="AO535" s="3143"/>
      <c r="AP535" s="3143"/>
      <c r="AQ535" s="3143"/>
      <c r="AR535" s="3143"/>
      <c r="AS535" s="3143"/>
      <c r="AT535" s="3153"/>
      <c r="AU535" s="3154"/>
      <c r="AV535" s="270">
        <f t="shared" si="298"/>
        <v>0</v>
      </c>
      <c r="AW535" s="270">
        <f t="shared" si="299"/>
        <v>0</v>
      </c>
      <c r="AX535" s="270">
        <f t="shared" si="300"/>
        <v>0</v>
      </c>
      <c r="AY535" s="3168">
        <f t="shared" si="304"/>
        <v>0</v>
      </c>
      <c r="AZ535" s="3123">
        <f t="shared" si="305"/>
        <v>0</v>
      </c>
      <c r="BA535" s="3123">
        <f t="shared" si="306"/>
        <v>0</v>
      </c>
      <c r="BB535" s="3123">
        <f t="shared" si="307"/>
        <v>0</v>
      </c>
      <c r="BC535" s="3123">
        <f t="shared" si="308"/>
        <v>0</v>
      </c>
      <c r="BD535" s="3123">
        <f t="shared" si="309"/>
        <v>0</v>
      </c>
      <c r="BE535" s="3123">
        <f t="shared" si="310"/>
        <v>0</v>
      </c>
      <c r="BF535" s="3123">
        <f t="shared" si="311"/>
        <v>0</v>
      </c>
      <c r="BG535" s="3123">
        <f t="shared" si="312"/>
        <v>0</v>
      </c>
      <c r="BH535" s="3123">
        <f t="shared" si="313"/>
        <v>0</v>
      </c>
      <c r="BI535" s="3123">
        <f t="shared" si="314"/>
        <v>0</v>
      </c>
      <c r="BJ535" s="3123">
        <f t="shared" si="315"/>
        <v>0</v>
      </c>
      <c r="BK535" s="3123">
        <f t="shared" si="316"/>
        <v>0</v>
      </c>
      <c r="BL535" s="3123">
        <f t="shared" si="317"/>
        <v>0</v>
      </c>
      <c r="BM535" s="3123">
        <f t="shared" si="318"/>
        <v>0</v>
      </c>
      <c r="BN535" s="3123">
        <f t="shared" si="319"/>
        <v>0</v>
      </c>
      <c r="BO535" s="3123">
        <f t="shared" si="320"/>
        <v>0</v>
      </c>
      <c r="BP535" s="3123">
        <f t="shared" si="321"/>
        <v>0</v>
      </c>
      <c r="BQ535" s="3123">
        <f t="shared" si="322"/>
        <v>0</v>
      </c>
      <c r="BR535" s="3123">
        <f t="shared" si="323"/>
        <v>0</v>
      </c>
      <c r="BS535" s="3123">
        <f t="shared" si="324"/>
        <v>0</v>
      </c>
      <c r="BT535" s="3175">
        <f t="shared" si="325"/>
        <v>0</v>
      </c>
    </row>
    <row r="536" spans="1:72">
      <c r="A536" s="3120"/>
      <c r="B536" s="3121"/>
      <c r="C536" s="3121"/>
      <c r="D536" s="3122"/>
      <c r="E536" s="3123">
        <f t="shared" si="297"/>
        <v>0</v>
      </c>
      <c r="F536" s="3124"/>
      <c r="G536" s="3125">
        <f t="shared" si="301"/>
        <v>0</v>
      </c>
      <c r="H536" s="3126">
        <f t="shared" si="302"/>
        <v>0</v>
      </c>
      <c r="I536" s="3133"/>
      <c r="J536" s="3133"/>
      <c r="K536" s="3133"/>
      <c r="L536" s="3133"/>
      <c r="M536" s="3133"/>
      <c r="N536" s="3133"/>
      <c r="O536" s="3133"/>
      <c r="P536" s="3133"/>
      <c r="Q536" s="3133"/>
      <c r="R536" s="3133"/>
      <c r="S536" s="3133"/>
      <c r="T536" s="3133"/>
      <c r="U536" s="3133"/>
      <c r="V536" s="3133"/>
      <c r="W536" s="3133"/>
      <c r="X536" s="3133"/>
      <c r="Y536" s="3133"/>
      <c r="Z536" s="3133"/>
      <c r="AA536" s="3133"/>
      <c r="AB536" s="3133"/>
      <c r="AC536" s="3123">
        <f t="shared" si="303"/>
        <v>0</v>
      </c>
      <c r="AD536" s="3143"/>
      <c r="AE536" s="3143"/>
      <c r="AF536" s="3143"/>
      <c r="AG536" s="3143"/>
      <c r="AH536" s="3143"/>
      <c r="AI536" s="3143"/>
      <c r="AJ536" s="3143"/>
      <c r="AK536" s="3143"/>
      <c r="AL536" s="3143"/>
      <c r="AM536" s="3143"/>
      <c r="AN536" s="3143"/>
      <c r="AO536" s="3143"/>
      <c r="AP536" s="3143"/>
      <c r="AQ536" s="3143"/>
      <c r="AR536" s="3143"/>
      <c r="AS536" s="3143"/>
      <c r="AT536" s="3153"/>
      <c r="AU536" s="3154"/>
      <c r="AV536" s="270">
        <f t="shared" si="298"/>
        <v>0</v>
      </c>
      <c r="AW536" s="270">
        <f t="shared" si="299"/>
        <v>0</v>
      </c>
      <c r="AX536" s="270">
        <f t="shared" si="300"/>
        <v>0</v>
      </c>
      <c r="AY536" s="3168">
        <f t="shared" si="304"/>
        <v>0</v>
      </c>
      <c r="AZ536" s="3123">
        <f t="shared" si="305"/>
        <v>0</v>
      </c>
      <c r="BA536" s="3123">
        <f t="shared" si="306"/>
        <v>0</v>
      </c>
      <c r="BB536" s="3123">
        <f t="shared" si="307"/>
        <v>0</v>
      </c>
      <c r="BC536" s="3123">
        <f t="shared" si="308"/>
        <v>0</v>
      </c>
      <c r="BD536" s="3123">
        <f t="shared" si="309"/>
        <v>0</v>
      </c>
      <c r="BE536" s="3123">
        <f t="shared" si="310"/>
        <v>0</v>
      </c>
      <c r="BF536" s="3123">
        <f t="shared" si="311"/>
        <v>0</v>
      </c>
      <c r="BG536" s="3123">
        <f t="shared" si="312"/>
        <v>0</v>
      </c>
      <c r="BH536" s="3123">
        <f t="shared" si="313"/>
        <v>0</v>
      </c>
      <c r="BI536" s="3123">
        <f t="shared" si="314"/>
        <v>0</v>
      </c>
      <c r="BJ536" s="3123">
        <f t="shared" si="315"/>
        <v>0</v>
      </c>
      <c r="BK536" s="3123">
        <f t="shared" si="316"/>
        <v>0</v>
      </c>
      <c r="BL536" s="3123">
        <f t="shared" si="317"/>
        <v>0</v>
      </c>
      <c r="BM536" s="3123">
        <f t="shared" si="318"/>
        <v>0</v>
      </c>
      <c r="BN536" s="3123">
        <f t="shared" si="319"/>
        <v>0</v>
      </c>
      <c r="BO536" s="3123">
        <f t="shared" si="320"/>
        <v>0</v>
      </c>
      <c r="BP536" s="3123">
        <f t="shared" si="321"/>
        <v>0</v>
      </c>
      <c r="BQ536" s="3123">
        <f t="shared" si="322"/>
        <v>0</v>
      </c>
      <c r="BR536" s="3123">
        <f t="shared" si="323"/>
        <v>0</v>
      </c>
      <c r="BS536" s="3123">
        <f t="shared" si="324"/>
        <v>0</v>
      </c>
      <c r="BT536" s="3175">
        <f t="shared" si="325"/>
        <v>0</v>
      </c>
    </row>
    <row r="537" spans="1:72">
      <c r="A537" s="3120"/>
      <c r="B537" s="3121"/>
      <c r="C537" s="3121"/>
      <c r="D537" s="3122"/>
      <c r="E537" s="3123">
        <f t="shared" si="297"/>
        <v>0</v>
      </c>
      <c r="F537" s="3124"/>
      <c r="G537" s="3125">
        <f t="shared" si="301"/>
        <v>0</v>
      </c>
      <c r="H537" s="3126">
        <f t="shared" si="302"/>
        <v>0</v>
      </c>
      <c r="I537" s="3133"/>
      <c r="J537" s="3133"/>
      <c r="K537" s="3133"/>
      <c r="L537" s="3133"/>
      <c r="M537" s="3133"/>
      <c r="N537" s="3133"/>
      <c r="O537" s="3133"/>
      <c r="P537" s="3133"/>
      <c r="Q537" s="3133"/>
      <c r="R537" s="3133"/>
      <c r="S537" s="3133"/>
      <c r="T537" s="3133"/>
      <c r="U537" s="3133"/>
      <c r="V537" s="3133"/>
      <c r="W537" s="3133"/>
      <c r="X537" s="3133"/>
      <c r="Y537" s="3133"/>
      <c r="Z537" s="3133"/>
      <c r="AA537" s="3133"/>
      <c r="AB537" s="3133"/>
      <c r="AC537" s="3123">
        <f t="shared" si="303"/>
        <v>0</v>
      </c>
      <c r="AD537" s="3143"/>
      <c r="AE537" s="3143"/>
      <c r="AF537" s="3143"/>
      <c r="AG537" s="3143"/>
      <c r="AH537" s="3143"/>
      <c r="AI537" s="3143"/>
      <c r="AJ537" s="3143"/>
      <c r="AK537" s="3143"/>
      <c r="AL537" s="3143"/>
      <c r="AM537" s="3143"/>
      <c r="AN537" s="3143"/>
      <c r="AO537" s="3143"/>
      <c r="AP537" s="3143"/>
      <c r="AQ537" s="3143"/>
      <c r="AR537" s="3143"/>
      <c r="AS537" s="3143"/>
      <c r="AT537" s="3153"/>
      <c r="AU537" s="3154"/>
      <c r="AV537" s="270">
        <f t="shared" si="298"/>
        <v>0</v>
      </c>
      <c r="AW537" s="270">
        <f t="shared" si="299"/>
        <v>0</v>
      </c>
      <c r="AX537" s="270">
        <f t="shared" si="300"/>
        <v>0</v>
      </c>
      <c r="AY537" s="3168">
        <f t="shared" si="304"/>
        <v>0</v>
      </c>
      <c r="AZ537" s="3123">
        <f t="shared" si="305"/>
        <v>0</v>
      </c>
      <c r="BA537" s="3123">
        <f t="shared" si="306"/>
        <v>0</v>
      </c>
      <c r="BB537" s="3123">
        <f t="shared" si="307"/>
        <v>0</v>
      </c>
      <c r="BC537" s="3123">
        <f t="shared" si="308"/>
        <v>0</v>
      </c>
      <c r="BD537" s="3123">
        <f t="shared" si="309"/>
        <v>0</v>
      </c>
      <c r="BE537" s="3123">
        <f t="shared" si="310"/>
        <v>0</v>
      </c>
      <c r="BF537" s="3123">
        <f t="shared" si="311"/>
        <v>0</v>
      </c>
      <c r="BG537" s="3123">
        <f t="shared" si="312"/>
        <v>0</v>
      </c>
      <c r="BH537" s="3123">
        <f t="shared" si="313"/>
        <v>0</v>
      </c>
      <c r="BI537" s="3123">
        <f t="shared" si="314"/>
        <v>0</v>
      </c>
      <c r="BJ537" s="3123">
        <f t="shared" si="315"/>
        <v>0</v>
      </c>
      <c r="BK537" s="3123">
        <f t="shared" si="316"/>
        <v>0</v>
      </c>
      <c r="BL537" s="3123">
        <f t="shared" si="317"/>
        <v>0</v>
      </c>
      <c r="BM537" s="3123">
        <f t="shared" si="318"/>
        <v>0</v>
      </c>
      <c r="BN537" s="3123">
        <f t="shared" si="319"/>
        <v>0</v>
      </c>
      <c r="BO537" s="3123">
        <f t="shared" si="320"/>
        <v>0</v>
      </c>
      <c r="BP537" s="3123">
        <f t="shared" si="321"/>
        <v>0</v>
      </c>
      <c r="BQ537" s="3123">
        <f t="shared" si="322"/>
        <v>0</v>
      </c>
      <c r="BR537" s="3123">
        <f t="shared" si="323"/>
        <v>0</v>
      </c>
      <c r="BS537" s="3123">
        <f t="shared" si="324"/>
        <v>0</v>
      </c>
      <c r="BT537" s="3175">
        <f t="shared" si="325"/>
        <v>0</v>
      </c>
    </row>
    <row r="538" spans="1:72">
      <c r="A538" s="3120"/>
      <c r="B538" s="3121"/>
      <c r="C538" s="3121"/>
      <c r="D538" s="3122"/>
      <c r="E538" s="3123">
        <f t="shared" si="297"/>
        <v>0</v>
      </c>
      <c r="F538" s="3124"/>
      <c r="G538" s="3125">
        <f t="shared" si="301"/>
        <v>0</v>
      </c>
      <c r="H538" s="3126">
        <f t="shared" si="302"/>
        <v>0</v>
      </c>
      <c r="I538" s="3133"/>
      <c r="J538" s="3133"/>
      <c r="K538" s="3133"/>
      <c r="L538" s="3133"/>
      <c r="M538" s="3133"/>
      <c r="N538" s="3133"/>
      <c r="O538" s="3133"/>
      <c r="P538" s="3133"/>
      <c r="Q538" s="3133"/>
      <c r="R538" s="3133"/>
      <c r="S538" s="3133"/>
      <c r="T538" s="3133"/>
      <c r="U538" s="3133"/>
      <c r="V538" s="3133"/>
      <c r="W538" s="3133"/>
      <c r="X538" s="3133"/>
      <c r="Y538" s="3133"/>
      <c r="Z538" s="3133"/>
      <c r="AA538" s="3133"/>
      <c r="AB538" s="3133"/>
      <c r="AC538" s="3123">
        <f t="shared" si="303"/>
        <v>0</v>
      </c>
      <c r="AD538" s="3143"/>
      <c r="AE538" s="3143"/>
      <c r="AF538" s="3143"/>
      <c r="AG538" s="3143"/>
      <c r="AH538" s="3143"/>
      <c r="AI538" s="3143"/>
      <c r="AJ538" s="3143"/>
      <c r="AK538" s="3143"/>
      <c r="AL538" s="3143"/>
      <c r="AM538" s="3143"/>
      <c r="AN538" s="3143"/>
      <c r="AO538" s="3143"/>
      <c r="AP538" s="3143"/>
      <c r="AQ538" s="3143"/>
      <c r="AR538" s="3143"/>
      <c r="AS538" s="3143"/>
      <c r="AT538" s="3153"/>
      <c r="AU538" s="3154"/>
      <c r="AV538" s="270">
        <f t="shared" si="298"/>
        <v>0</v>
      </c>
      <c r="AW538" s="270">
        <f t="shared" si="299"/>
        <v>0</v>
      </c>
      <c r="AX538" s="270">
        <f t="shared" si="300"/>
        <v>0</v>
      </c>
      <c r="AY538" s="3168">
        <f t="shared" si="304"/>
        <v>0</v>
      </c>
      <c r="AZ538" s="3123">
        <f t="shared" si="305"/>
        <v>0</v>
      </c>
      <c r="BA538" s="3123">
        <f t="shared" si="306"/>
        <v>0</v>
      </c>
      <c r="BB538" s="3123">
        <f t="shared" si="307"/>
        <v>0</v>
      </c>
      <c r="BC538" s="3123">
        <f t="shared" si="308"/>
        <v>0</v>
      </c>
      <c r="BD538" s="3123">
        <f t="shared" si="309"/>
        <v>0</v>
      </c>
      <c r="BE538" s="3123">
        <f t="shared" si="310"/>
        <v>0</v>
      </c>
      <c r="BF538" s="3123">
        <f t="shared" si="311"/>
        <v>0</v>
      </c>
      <c r="BG538" s="3123">
        <f t="shared" si="312"/>
        <v>0</v>
      </c>
      <c r="BH538" s="3123">
        <f t="shared" si="313"/>
        <v>0</v>
      </c>
      <c r="BI538" s="3123">
        <f t="shared" si="314"/>
        <v>0</v>
      </c>
      <c r="BJ538" s="3123">
        <f t="shared" si="315"/>
        <v>0</v>
      </c>
      <c r="BK538" s="3123">
        <f t="shared" si="316"/>
        <v>0</v>
      </c>
      <c r="BL538" s="3123">
        <f t="shared" si="317"/>
        <v>0</v>
      </c>
      <c r="BM538" s="3123">
        <f t="shared" si="318"/>
        <v>0</v>
      </c>
      <c r="BN538" s="3123">
        <f t="shared" si="319"/>
        <v>0</v>
      </c>
      <c r="BO538" s="3123">
        <f t="shared" si="320"/>
        <v>0</v>
      </c>
      <c r="BP538" s="3123">
        <f t="shared" si="321"/>
        <v>0</v>
      </c>
      <c r="BQ538" s="3123">
        <f t="shared" si="322"/>
        <v>0</v>
      </c>
      <c r="BR538" s="3123">
        <f t="shared" si="323"/>
        <v>0</v>
      </c>
      <c r="BS538" s="3123">
        <f t="shared" si="324"/>
        <v>0</v>
      </c>
      <c r="BT538" s="3175">
        <f t="shared" si="325"/>
        <v>0</v>
      </c>
    </row>
    <row r="539" spans="1:72">
      <c r="A539" s="3120"/>
      <c r="B539" s="3121"/>
      <c r="C539" s="3121"/>
      <c r="D539" s="3122"/>
      <c r="E539" s="3123">
        <f t="shared" si="297"/>
        <v>0</v>
      </c>
      <c r="F539" s="3124"/>
      <c r="G539" s="3125">
        <f t="shared" si="301"/>
        <v>0</v>
      </c>
      <c r="H539" s="3126">
        <f t="shared" si="302"/>
        <v>0</v>
      </c>
      <c r="I539" s="3133"/>
      <c r="J539" s="3133"/>
      <c r="K539" s="3133"/>
      <c r="L539" s="3133"/>
      <c r="M539" s="3133"/>
      <c r="N539" s="3133"/>
      <c r="O539" s="3133"/>
      <c r="P539" s="3133"/>
      <c r="Q539" s="3133"/>
      <c r="R539" s="3133"/>
      <c r="S539" s="3133"/>
      <c r="T539" s="3133"/>
      <c r="U539" s="3133"/>
      <c r="V539" s="3133"/>
      <c r="W539" s="3133"/>
      <c r="X539" s="3133"/>
      <c r="Y539" s="3133"/>
      <c r="Z539" s="3133"/>
      <c r="AA539" s="3133"/>
      <c r="AB539" s="3133"/>
      <c r="AC539" s="3123">
        <f t="shared" si="303"/>
        <v>0</v>
      </c>
      <c r="AD539" s="3143"/>
      <c r="AE539" s="3143"/>
      <c r="AF539" s="3143"/>
      <c r="AG539" s="3143"/>
      <c r="AH539" s="3143"/>
      <c r="AI539" s="3143"/>
      <c r="AJ539" s="3143"/>
      <c r="AK539" s="3143"/>
      <c r="AL539" s="3143"/>
      <c r="AM539" s="3143"/>
      <c r="AN539" s="3143"/>
      <c r="AO539" s="3143"/>
      <c r="AP539" s="3143"/>
      <c r="AQ539" s="3143"/>
      <c r="AR539" s="3143"/>
      <c r="AS539" s="3143"/>
      <c r="AT539" s="3153"/>
      <c r="AU539" s="3154"/>
      <c r="AV539" s="270">
        <f t="shared" si="298"/>
        <v>0</v>
      </c>
      <c r="AW539" s="270">
        <f t="shared" si="299"/>
        <v>0</v>
      </c>
      <c r="AX539" s="270">
        <f t="shared" si="300"/>
        <v>0</v>
      </c>
      <c r="AY539" s="3168">
        <f t="shared" si="304"/>
        <v>0</v>
      </c>
      <c r="AZ539" s="3123">
        <f t="shared" si="305"/>
        <v>0</v>
      </c>
      <c r="BA539" s="3123">
        <f t="shared" si="306"/>
        <v>0</v>
      </c>
      <c r="BB539" s="3123">
        <f t="shared" si="307"/>
        <v>0</v>
      </c>
      <c r="BC539" s="3123">
        <f t="shared" si="308"/>
        <v>0</v>
      </c>
      <c r="BD539" s="3123">
        <f t="shared" si="309"/>
        <v>0</v>
      </c>
      <c r="BE539" s="3123">
        <f t="shared" si="310"/>
        <v>0</v>
      </c>
      <c r="BF539" s="3123">
        <f t="shared" si="311"/>
        <v>0</v>
      </c>
      <c r="BG539" s="3123">
        <f t="shared" si="312"/>
        <v>0</v>
      </c>
      <c r="BH539" s="3123">
        <f t="shared" si="313"/>
        <v>0</v>
      </c>
      <c r="BI539" s="3123">
        <f t="shared" si="314"/>
        <v>0</v>
      </c>
      <c r="BJ539" s="3123">
        <f t="shared" si="315"/>
        <v>0</v>
      </c>
      <c r="BK539" s="3123">
        <f t="shared" si="316"/>
        <v>0</v>
      </c>
      <c r="BL539" s="3123">
        <f t="shared" si="317"/>
        <v>0</v>
      </c>
      <c r="BM539" s="3123">
        <f t="shared" si="318"/>
        <v>0</v>
      </c>
      <c r="BN539" s="3123">
        <f t="shared" si="319"/>
        <v>0</v>
      </c>
      <c r="BO539" s="3123">
        <f t="shared" si="320"/>
        <v>0</v>
      </c>
      <c r="BP539" s="3123">
        <f t="shared" si="321"/>
        <v>0</v>
      </c>
      <c r="BQ539" s="3123">
        <f t="shared" si="322"/>
        <v>0</v>
      </c>
      <c r="BR539" s="3123">
        <f t="shared" si="323"/>
        <v>0</v>
      </c>
      <c r="BS539" s="3123">
        <f t="shared" si="324"/>
        <v>0</v>
      </c>
      <c r="BT539" s="3175">
        <f t="shared" si="325"/>
        <v>0</v>
      </c>
    </row>
    <row r="540" spans="1:72">
      <c r="A540" s="3120"/>
      <c r="B540" s="3121"/>
      <c r="C540" s="3121"/>
      <c r="D540" s="3122"/>
      <c r="E540" s="3123">
        <f t="shared" si="297"/>
        <v>0</v>
      </c>
      <c r="F540" s="3124"/>
      <c r="G540" s="3125">
        <f t="shared" si="301"/>
        <v>0</v>
      </c>
      <c r="H540" s="3126">
        <f t="shared" si="302"/>
        <v>0</v>
      </c>
      <c r="I540" s="3133"/>
      <c r="J540" s="3133"/>
      <c r="K540" s="3133"/>
      <c r="L540" s="3133"/>
      <c r="M540" s="3133"/>
      <c r="N540" s="3133"/>
      <c r="O540" s="3133"/>
      <c r="P540" s="3133"/>
      <c r="Q540" s="3133"/>
      <c r="R540" s="3133"/>
      <c r="S540" s="3133"/>
      <c r="T540" s="3133"/>
      <c r="U540" s="3133"/>
      <c r="V540" s="3133"/>
      <c r="W540" s="3133"/>
      <c r="X540" s="3133"/>
      <c r="Y540" s="3133"/>
      <c r="Z540" s="3133"/>
      <c r="AA540" s="3133"/>
      <c r="AB540" s="3133"/>
      <c r="AC540" s="3123">
        <f t="shared" si="303"/>
        <v>0</v>
      </c>
      <c r="AD540" s="3143"/>
      <c r="AE540" s="3143"/>
      <c r="AF540" s="3143"/>
      <c r="AG540" s="3143"/>
      <c r="AH540" s="3143"/>
      <c r="AI540" s="3143"/>
      <c r="AJ540" s="3143"/>
      <c r="AK540" s="3143"/>
      <c r="AL540" s="3143"/>
      <c r="AM540" s="3143"/>
      <c r="AN540" s="3143"/>
      <c r="AO540" s="3143"/>
      <c r="AP540" s="3143"/>
      <c r="AQ540" s="3143"/>
      <c r="AR540" s="3143"/>
      <c r="AS540" s="3143"/>
      <c r="AT540" s="3153"/>
      <c r="AU540" s="3154"/>
      <c r="AV540" s="270">
        <f t="shared" si="298"/>
        <v>0</v>
      </c>
      <c r="AW540" s="270">
        <f t="shared" si="299"/>
        <v>0</v>
      </c>
      <c r="AX540" s="270">
        <f t="shared" si="300"/>
        <v>0</v>
      </c>
      <c r="AY540" s="3168">
        <f t="shared" si="304"/>
        <v>0</v>
      </c>
      <c r="AZ540" s="3123">
        <f t="shared" si="305"/>
        <v>0</v>
      </c>
      <c r="BA540" s="3123">
        <f t="shared" si="306"/>
        <v>0</v>
      </c>
      <c r="BB540" s="3123">
        <f t="shared" si="307"/>
        <v>0</v>
      </c>
      <c r="BC540" s="3123">
        <f t="shared" si="308"/>
        <v>0</v>
      </c>
      <c r="BD540" s="3123">
        <f t="shared" si="309"/>
        <v>0</v>
      </c>
      <c r="BE540" s="3123">
        <f t="shared" si="310"/>
        <v>0</v>
      </c>
      <c r="BF540" s="3123">
        <f t="shared" si="311"/>
        <v>0</v>
      </c>
      <c r="BG540" s="3123">
        <f t="shared" si="312"/>
        <v>0</v>
      </c>
      <c r="BH540" s="3123">
        <f t="shared" si="313"/>
        <v>0</v>
      </c>
      <c r="BI540" s="3123">
        <f t="shared" si="314"/>
        <v>0</v>
      </c>
      <c r="BJ540" s="3123">
        <f t="shared" si="315"/>
        <v>0</v>
      </c>
      <c r="BK540" s="3123">
        <f t="shared" si="316"/>
        <v>0</v>
      </c>
      <c r="BL540" s="3123">
        <f t="shared" si="317"/>
        <v>0</v>
      </c>
      <c r="BM540" s="3123">
        <f t="shared" si="318"/>
        <v>0</v>
      </c>
      <c r="BN540" s="3123">
        <f t="shared" si="319"/>
        <v>0</v>
      </c>
      <c r="BO540" s="3123">
        <f t="shared" si="320"/>
        <v>0</v>
      </c>
      <c r="BP540" s="3123">
        <f t="shared" si="321"/>
        <v>0</v>
      </c>
      <c r="BQ540" s="3123">
        <f t="shared" si="322"/>
        <v>0</v>
      </c>
      <c r="BR540" s="3123">
        <f t="shared" si="323"/>
        <v>0</v>
      </c>
      <c r="BS540" s="3123">
        <f t="shared" si="324"/>
        <v>0</v>
      </c>
      <c r="BT540" s="3175">
        <f t="shared" si="325"/>
        <v>0</v>
      </c>
    </row>
    <row r="541" spans="1:72">
      <c r="A541" s="3120"/>
      <c r="B541" s="3121"/>
      <c r="C541" s="3121"/>
      <c r="D541" s="3122"/>
      <c r="E541" s="3123">
        <f t="shared" si="297"/>
        <v>0</v>
      </c>
      <c r="F541" s="3124"/>
      <c r="G541" s="3125">
        <f t="shared" si="301"/>
        <v>0</v>
      </c>
      <c r="H541" s="3126">
        <f t="shared" si="302"/>
        <v>0</v>
      </c>
      <c r="I541" s="3133"/>
      <c r="J541" s="3133"/>
      <c r="K541" s="3133"/>
      <c r="L541" s="3133"/>
      <c r="M541" s="3133"/>
      <c r="N541" s="3133"/>
      <c r="O541" s="3133"/>
      <c r="P541" s="3133"/>
      <c r="Q541" s="3133"/>
      <c r="R541" s="3133"/>
      <c r="S541" s="3133"/>
      <c r="T541" s="3133"/>
      <c r="U541" s="3133"/>
      <c r="V541" s="3133"/>
      <c r="W541" s="3133"/>
      <c r="X541" s="3133"/>
      <c r="Y541" s="3133"/>
      <c r="Z541" s="3133"/>
      <c r="AA541" s="3133"/>
      <c r="AB541" s="3133"/>
      <c r="AC541" s="3123">
        <f t="shared" si="303"/>
        <v>0</v>
      </c>
      <c r="AD541" s="3143"/>
      <c r="AE541" s="3143"/>
      <c r="AF541" s="3143"/>
      <c r="AG541" s="3143"/>
      <c r="AH541" s="3143"/>
      <c r="AI541" s="3143"/>
      <c r="AJ541" s="3143"/>
      <c r="AK541" s="3143"/>
      <c r="AL541" s="3143"/>
      <c r="AM541" s="3143"/>
      <c r="AN541" s="3143"/>
      <c r="AO541" s="3143"/>
      <c r="AP541" s="3143"/>
      <c r="AQ541" s="3143"/>
      <c r="AR541" s="3143"/>
      <c r="AS541" s="3143"/>
      <c r="AT541" s="3153"/>
      <c r="AU541" s="3154"/>
      <c r="AV541" s="270">
        <f t="shared" si="298"/>
        <v>0</v>
      </c>
      <c r="AW541" s="270">
        <f t="shared" si="299"/>
        <v>0</v>
      </c>
      <c r="AX541" s="270">
        <f t="shared" si="300"/>
        <v>0</v>
      </c>
      <c r="AY541" s="3168">
        <f t="shared" si="304"/>
        <v>0</v>
      </c>
      <c r="AZ541" s="3123">
        <f t="shared" si="305"/>
        <v>0</v>
      </c>
      <c r="BA541" s="3123">
        <f t="shared" si="306"/>
        <v>0</v>
      </c>
      <c r="BB541" s="3123">
        <f t="shared" si="307"/>
        <v>0</v>
      </c>
      <c r="BC541" s="3123">
        <f t="shared" si="308"/>
        <v>0</v>
      </c>
      <c r="BD541" s="3123">
        <f t="shared" si="309"/>
        <v>0</v>
      </c>
      <c r="BE541" s="3123">
        <f t="shared" si="310"/>
        <v>0</v>
      </c>
      <c r="BF541" s="3123">
        <f t="shared" si="311"/>
        <v>0</v>
      </c>
      <c r="BG541" s="3123">
        <f t="shared" si="312"/>
        <v>0</v>
      </c>
      <c r="BH541" s="3123">
        <f t="shared" si="313"/>
        <v>0</v>
      </c>
      <c r="BI541" s="3123">
        <f t="shared" si="314"/>
        <v>0</v>
      </c>
      <c r="BJ541" s="3123">
        <f t="shared" si="315"/>
        <v>0</v>
      </c>
      <c r="BK541" s="3123">
        <f t="shared" si="316"/>
        <v>0</v>
      </c>
      <c r="BL541" s="3123">
        <f t="shared" si="317"/>
        <v>0</v>
      </c>
      <c r="BM541" s="3123">
        <f t="shared" si="318"/>
        <v>0</v>
      </c>
      <c r="BN541" s="3123">
        <f t="shared" si="319"/>
        <v>0</v>
      </c>
      <c r="BO541" s="3123">
        <f t="shared" si="320"/>
        <v>0</v>
      </c>
      <c r="BP541" s="3123">
        <f t="shared" si="321"/>
        <v>0</v>
      </c>
      <c r="BQ541" s="3123">
        <f t="shared" si="322"/>
        <v>0</v>
      </c>
      <c r="BR541" s="3123">
        <f t="shared" si="323"/>
        <v>0</v>
      </c>
      <c r="BS541" s="3123">
        <f t="shared" si="324"/>
        <v>0</v>
      </c>
      <c r="BT541" s="3175">
        <f t="shared" si="325"/>
        <v>0</v>
      </c>
    </row>
    <row r="542" spans="1:72">
      <c r="A542" s="3120"/>
      <c r="B542" s="3121"/>
      <c r="C542" s="3121"/>
      <c r="D542" s="3122"/>
      <c r="E542" s="3123">
        <f t="shared" si="297"/>
        <v>0</v>
      </c>
      <c r="F542" s="3124"/>
      <c r="G542" s="3125">
        <f t="shared" si="301"/>
        <v>0</v>
      </c>
      <c r="H542" s="3126">
        <f t="shared" si="302"/>
        <v>0</v>
      </c>
      <c r="I542" s="3133"/>
      <c r="J542" s="3133"/>
      <c r="K542" s="3133"/>
      <c r="L542" s="3133"/>
      <c r="M542" s="3133"/>
      <c r="N542" s="3133"/>
      <c r="O542" s="3133"/>
      <c r="P542" s="3133"/>
      <c r="Q542" s="3133"/>
      <c r="R542" s="3133"/>
      <c r="S542" s="3133"/>
      <c r="T542" s="3133"/>
      <c r="U542" s="3133"/>
      <c r="V542" s="3133"/>
      <c r="W542" s="3133"/>
      <c r="X542" s="3133"/>
      <c r="Y542" s="3133"/>
      <c r="Z542" s="3133"/>
      <c r="AA542" s="3133"/>
      <c r="AB542" s="3133"/>
      <c r="AC542" s="3123">
        <f t="shared" si="303"/>
        <v>0</v>
      </c>
      <c r="AD542" s="3143"/>
      <c r="AE542" s="3143"/>
      <c r="AF542" s="3143"/>
      <c r="AG542" s="3143"/>
      <c r="AH542" s="3143"/>
      <c r="AI542" s="3143"/>
      <c r="AJ542" s="3143"/>
      <c r="AK542" s="3143"/>
      <c r="AL542" s="3143"/>
      <c r="AM542" s="3143"/>
      <c r="AN542" s="3143"/>
      <c r="AO542" s="3143"/>
      <c r="AP542" s="3143"/>
      <c r="AQ542" s="3143"/>
      <c r="AR542" s="3143"/>
      <c r="AS542" s="3143"/>
      <c r="AT542" s="3153"/>
      <c r="AU542" s="3154"/>
      <c r="AV542" s="270">
        <f t="shared" si="298"/>
        <v>0</v>
      </c>
      <c r="AW542" s="270">
        <f t="shared" si="299"/>
        <v>0</v>
      </c>
      <c r="AX542" s="270">
        <f t="shared" si="300"/>
        <v>0</v>
      </c>
      <c r="AY542" s="3168">
        <f t="shared" si="304"/>
        <v>0</v>
      </c>
      <c r="AZ542" s="3123">
        <f t="shared" si="305"/>
        <v>0</v>
      </c>
      <c r="BA542" s="3123">
        <f t="shared" si="306"/>
        <v>0</v>
      </c>
      <c r="BB542" s="3123">
        <f t="shared" si="307"/>
        <v>0</v>
      </c>
      <c r="BC542" s="3123">
        <f t="shared" si="308"/>
        <v>0</v>
      </c>
      <c r="BD542" s="3123">
        <f t="shared" si="309"/>
        <v>0</v>
      </c>
      <c r="BE542" s="3123">
        <f t="shared" si="310"/>
        <v>0</v>
      </c>
      <c r="BF542" s="3123">
        <f t="shared" si="311"/>
        <v>0</v>
      </c>
      <c r="BG542" s="3123">
        <f t="shared" si="312"/>
        <v>0</v>
      </c>
      <c r="BH542" s="3123">
        <f t="shared" si="313"/>
        <v>0</v>
      </c>
      <c r="BI542" s="3123">
        <f t="shared" si="314"/>
        <v>0</v>
      </c>
      <c r="BJ542" s="3123">
        <f t="shared" si="315"/>
        <v>0</v>
      </c>
      <c r="BK542" s="3123">
        <f t="shared" si="316"/>
        <v>0</v>
      </c>
      <c r="BL542" s="3123">
        <f t="shared" si="317"/>
        <v>0</v>
      </c>
      <c r="BM542" s="3123">
        <f t="shared" si="318"/>
        <v>0</v>
      </c>
      <c r="BN542" s="3123">
        <f t="shared" si="319"/>
        <v>0</v>
      </c>
      <c r="BO542" s="3123">
        <f t="shared" si="320"/>
        <v>0</v>
      </c>
      <c r="BP542" s="3123">
        <f t="shared" si="321"/>
        <v>0</v>
      </c>
      <c r="BQ542" s="3123">
        <f t="shared" si="322"/>
        <v>0</v>
      </c>
      <c r="BR542" s="3123">
        <f t="shared" si="323"/>
        <v>0</v>
      </c>
      <c r="BS542" s="3123">
        <f t="shared" si="324"/>
        <v>0</v>
      </c>
      <c r="BT542" s="3175">
        <f t="shared" si="325"/>
        <v>0</v>
      </c>
    </row>
    <row r="543" spans="1:72">
      <c r="A543" s="3120"/>
      <c r="B543" s="3121"/>
      <c r="C543" s="3121"/>
      <c r="D543" s="3122"/>
      <c r="E543" s="3123">
        <f t="shared" si="297"/>
        <v>0</v>
      </c>
      <c r="F543" s="3124"/>
      <c r="G543" s="3125">
        <f t="shared" si="301"/>
        <v>0</v>
      </c>
      <c r="H543" s="3126">
        <f t="shared" si="302"/>
        <v>0</v>
      </c>
      <c r="I543" s="3133"/>
      <c r="J543" s="3133"/>
      <c r="K543" s="3133"/>
      <c r="L543" s="3133"/>
      <c r="M543" s="3133"/>
      <c r="N543" s="3133"/>
      <c r="O543" s="3133"/>
      <c r="P543" s="3133"/>
      <c r="Q543" s="3133"/>
      <c r="R543" s="3133"/>
      <c r="S543" s="3133"/>
      <c r="T543" s="3133"/>
      <c r="U543" s="3133"/>
      <c r="V543" s="3133"/>
      <c r="W543" s="3133"/>
      <c r="X543" s="3133"/>
      <c r="Y543" s="3133"/>
      <c r="Z543" s="3133"/>
      <c r="AA543" s="3133"/>
      <c r="AB543" s="3133"/>
      <c r="AC543" s="3123">
        <f t="shared" si="303"/>
        <v>0</v>
      </c>
      <c r="AD543" s="3143"/>
      <c r="AE543" s="3143"/>
      <c r="AF543" s="3143"/>
      <c r="AG543" s="3143"/>
      <c r="AH543" s="3143"/>
      <c r="AI543" s="3143"/>
      <c r="AJ543" s="3143"/>
      <c r="AK543" s="3143"/>
      <c r="AL543" s="3143"/>
      <c r="AM543" s="3143"/>
      <c r="AN543" s="3143"/>
      <c r="AO543" s="3143"/>
      <c r="AP543" s="3143"/>
      <c r="AQ543" s="3143"/>
      <c r="AR543" s="3143"/>
      <c r="AS543" s="3143"/>
      <c r="AT543" s="3153"/>
      <c r="AU543" s="3154"/>
      <c r="AV543" s="270">
        <f t="shared" si="298"/>
        <v>0</v>
      </c>
      <c r="AW543" s="270">
        <f t="shared" si="299"/>
        <v>0</v>
      </c>
      <c r="AX543" s="270">
        <f t="shared" si="300"/>
        <v>0</v>
      </c>
      <c r="AY543" s="3168">
        <f t="shared" si="304"/>
        <v>0</v>
      </c>
      <c r="AZ543" s="3123">
        <f t="shared" si="305"/>
        <v>0</v>
      </c>
      <c r="BA543" s="3123">
        <f t="shared" si="306"/>
        <v>0</v>
      </c>
      <c r="BB543" s="3123">
        <f t="shared" si="307"/>
        <v>0</v>
      </c>
      <c r="BC543" s="3123">
        <f t="shared" si="308"/>
        <v>0</v>
      </c>
      <c r="BD543" s="3123">
        <f t="shared" si="309"/>
        <v>0</v>
      </c>
      <c r="BE543" s="3123">
        <f t="shared" si="310"/>
        <v>0</v>
      </c>
      <c r="BF543" s="3123">
        <f t="shared" si="311"/>
        <v>0</v>
      </c>
      <c r="BG543" s="3123">
        <f t="shared" si="312"/>
        <v>0</v>
      </c>
      <c r="BH543" s="3123">
        <f t="shared" si="313"/>
        <v>0</v>
      </c>
      <c r="BI543" s="3123">
        <f t="shared" si="314"/>
        <v>0</v>
      </c>
      <c r="BJ543" s="3123">
        <f t="shared" si="315"/>
        <v>0</v>
      </c>
      <c r="BK543" s="3123">
        <f t="shared" si="316"/>
        <v>0</v>
      </c>
      <c r="BL543" s="3123">
        <f t="shared" si="317"/>
        <v>0</v>
      </c>
      <c r="BM543" s="3123">
        <f t="shared" si="318"/>
        <v>0</v>
      </c>
      <c r="BN543" s="3123">
        <f t="shared" si="319"/>
        <v>0</v>
      </c>
      <c r="BO543" s="3123">
        <f t="shared" si="320"/>
        <v>0</v>
      </c>
      <c r="BP543" s="3123">
        <f t="shared" si="321"/>
        <v>0</v>
      </c>
      <c r="BQ543" s="3123">
        <f t="shared" si="322"/>
        <v>0</v>
      </c>
      <c r="BR543" s="3123">
        <f t="shared" si="323"/>
        <v>0</v>
      </c>
      <c r="BS543" s="3123">
        <f t="shared" si="324"/>
        <v>0</v>
      </c>
      <c r="BT543" s="3175">
        <f t="shared" si="325"/>
        <v>0</v>
      </c>
    </row>
    <row r="544" spans="1:72">
      <c r="A544" s="3120"/>
      <c r="B544" s="3121"/>
      <c r="C544" s="3121"/>
      <c r="D544" s="3122"/>
      <c r="E544" s="3123">
        <f t="shared" si="297"/>
        <v>0</v>
      </c>
      <c r="F544" s="3124"/>
      <c r="G544" s="3125">
        <f t="shared" si="301"/>
        <v>0</v>
      </c>
      <c r="H544" s="3126">
        <f t="shared" si="302"/>
        <v>0</v>
      </c>
      <c r="I544" s="3133"/>
      <c r="J544" s="3133"/>
      <c r="K544" s="3133"/>
      <c r="L544" s="3133"/>
      <c r="M544" s="3133"/>
      <c r="N544" s="3133"/>
      <c r="O544" s="3133"/>
      <c r="P544" s="3133"/>
      <c r="Q544" s="3133"/>
      <c r="R544" s="3133"/>
      <c r="S544" s="3133"/>
      <c r="T544" s="3133"/>
      <c r="U544" s="3133"/>
      <c r="V544" s="3133"/>
      <c r="W544" s="3133"/>
      <c r="X544" s="3133"/>
      <c r="Y544" s="3133"/>
      <c r="Z544" s="3133"/>
      <c r="AA544" s="3133"/>
      <c r="AB544" s="3133"/>
      <c r="AC544" s="3123">
        <f t="shared" si="303"/>
        <v>0</v>
      </c>
      <c r="AD544" s="3143"/>
      <c r="AE544" s="3143"/>
      <c r="AF544" s="3143"/>
      <c r="AG544" s="3143"/>
      <c r="AH544" s="3143"/>
      <c r="AI544" s="3143"/>
      <c r="AJ544" s="3143"/>
      <c r="AK544" s="3143"/>
      <c r="AL544" s="3143"/>
      <c r="AM544" s="3143"/>
      <c r="AN544" s="3143"/>
      <c r="AO544" s="3143"/>
      <c r="AP544" s="3143"/>
      <c r="AQ544" s="3143"/>
      <c r="AR544" s="3143"/>
      <c r="AS544" s="3143"/>
      <c r="AT544" s="3153"/>
      <c r="AU544" s="3154"/>
      <c r="AV544" s="270">
        <f t="shared" si="298"/>
        <v>0</v>
      </c>
      <c r="AW544" s="270">
        <f t="shared" si="299"/>
        <v>0</v>
      </c>
      <c r="AX544" s="270">
        <f t="shared" si="300"/>
        <v>0</v>
      </c>
      <c r="AY544" s="3168">
        <f t="shared" si="304"/>
        <v>0</v>
      </c>
      <c r="AZ544" s="3123">
        <f t="shared" si="305"/>
        <v>0</v>
      </c>
      <c r="BA544" s="3123">
        <f t="shared" si="306"/>
        <v>0</v>
      </c>
      <c r="BB544" s="3123">
        <f t="shared" si="307"/>
        <v>0</v>
      </c>
      <c r="BC544" s="3123">
        <f t="shared" si="308"/>
        <v>0</v>
      </c>
      <c r="BD544" s="3123">
        <f t="shared" si="309"/>
        <v>0</v>
      </c>
      <c r="BE544" s="3123">
        <f t="shared" si="310"/>
        <v>0</v>
      </c>
      <c r="BF544" s="3123">
        <f t="shared" si="311"/>
        <v>0</v>
      </c>
      <c r="BG544" s="3123">
        <f t="shared" si="312"/>
        <v>0</v>
      </c>
      <c r="BH544" s="3123">
        <f t="shared" si="313"/>
        <v>0</v>
      </c>
      <c r="BI544" s="3123">
        <f t="shared" si="314"/>
        <v>0</v>
      </c>
      <c r="BJ544" s="3123">
        <f t="shared" si="315"/>
        <v>0</v>
      </c>
      <c r="BK544" s="3123">
        <f t="shared" si="316"/>
        <v>0</v>
      </c>
      <c r="BL544" s="3123">
        <f t="shared" si="317"/>
        <v>0</v>
      </c>
      <c r="BM544" s="3123">
        <f t="shared" si="318"/>
        <v>0</v>
      </c>
      <c r="BN544" s="3123">
        <f t="shared" si="319"/>
        <v>0</v>
      </c>
      <c r="BO544" s="3123">
        <f t="shared" si="320"/>
        <v>0</v>
      </c>
      <c r="BP544" s="3123">
        <f t="shared" si="321"/>
        <v>0</v>
      </c>
      <c r="BQ544" s="3123">
        <f t="shared" si="322"/>
        <v>0</v>
      </c>
      <c r="BR544" s="3123">
        <f t="shared" si="323"/>
        <v>0</v>
      </c>
      <c r="BS544" s="3123">
        <f t="shared" si="324"/>
        <v>0</v>
      </c>
      <c r="BT544" s="3175">
        <f t="shared" si="325"/>
        <v>0</v>
      </c>
    </row>
    <row r="545" spans="1:72">
      <c r="A545" s="3120"/>
      <c r="B545" s="3121"/>
      <c r="C545" s="3121"/>
      <c r="D545" s="3122"/>
      <c r="E545" s="3123">
        <f t="shared" si="297"/>
        <v>0</v>
      </c>
      <c r="F545" s="3124"/>
      <c r="G545" s="3125">
        <f t="shared" si="301"/>
        <v>0</v>
      </c>
      <c r="H545" s="3126">
        <f t="shared" si="302"/>
        <v>0</v>
      </c>
      <c r="I545" s="3133"/>
      <c r="J545" s="3133"/>
      <c r="K545" s="3133"/>
      <c r="L545" s="3133"/>
      <c r="M545" s="3133"/>
      <c r="N545" s="3133"/>
      <c r="O545" s="3133"/>
      <c r="P545" s="3133"/>
      <c r="Q545" s="3133"/>
      <c r="R545" s="3133"/>
      <c r="S545" s="3133"/>
      <c r="T545" s="3133"/>
      <c r="U545" s="3133"/>
      <c r="V545" s="3133"/>
      <c r="W545" s="3133"/>
      <c r="X545" s="3133"/>
      <c r="Y545" s="3133"/>
      <c r="Z545" s="3133"/>
      <c r="AA545" s="3133"/>
      <c r="AB545" s="3133"/>
      <c r="AC545" s="3123">
        <f t="shared" si="303"/>
        <v>0</v>
      </c>
      <c r="AD545" s="3143"/>
      <c r="AE545" s="3143"/>
      <c r="AF545" s="3143"/>
      <c r="AG545" s="3143"/>
      <c r="AH545" s="3143"/>
      <c r="AI545" s="3143"/>
      <c r="AJ545" s="3143"/>
      <c r="AK545" s="3143"/>
      <c r="AL545" s="3143"/>
      <c r="AM545" s="3143"/>
      <c r="AN545" s="3143"/>
      <c r="AO545" s="3143"/>
      <c r="AP545" s="3143"/>
      <c r="AQ545" s="3143"/>
      <c r="AR545" s="3143"/>
      <c r="AS545" s="3143"/>
      <c r="AT545" s="3153"/>
      <c r="AU545" s="3154"/>
      <c r="AV545" s="270">
        <f t="shared" si="298"/>
        <v>0</v>
      </c>
      <c r="AW545" s="270">
        <f t="shared" si="299"/>
        <v>0</v>
      </c>
      <c r="AX545" s="270">
        <f t="shared" si="300"/>
        <v>0</v>
      </c>
      <c r="AY545" s="3168">
        <f t="shared" si="304"/>
        <v>0</v>
      </c>
      <c r="AZ545" s="3123">
        <f t="shared" si="305"/>
        <v>0</v>
      </c>
      <c r="BA545" s="3123">
        <f t="shared" si="306"/>
        <v>0</v>
      </c>
      <c r="BB545" s="3123">
        <f t="shared" si="307"/>
        <v>0</v>
      </c>
      <c r="BC545" s="3123">
        <f t="shared" si="308"/>
        <v>0</v>
      </c>
      <c r="BD545" s="3123">
        <f t="shared" si="309"/>
        <v>0</v>
      </c>
      <c r="BE545" s="3123">
        <f t="shared" si="310"/>
        <v>0</v>
      </c>
      <c r="BF545" s="3123">
        <f t="shared" si="311"/>
        <v>0</v>
      </c>
      <c r="BG545" s="3123">
        <f t="shared" si="312"/>
        <v>0</v>
      </c>
      <c r="BH545" s="3123">
        <f t="shared" si="313"/>
        <v>0</v>
      </c>
      <c r="BI545" s="3123">
        <f t="shared" si="314"/>
        <v>0</v>
      </c>
      <c r="BJ545" s="3123">
        <f t="shared" si="315"/>
        <v>0</v>
      </c>
      <c r="BK545" s="3123">
        <f t="shared" si="316"/>
        <v>0</v>
      </c>
      <c r="BL545" s="3123">
        <f t="shared" si="317"/>
        <v>0</v>
      </c>
      <c r="BM545" s="3123">
        <f t="shared" si="318"/>
        <v>0</v>
      </c>
      <c r="BN545" s="3123">
        <f t="shared" si="319"/>
        <v>0</v>
      </c>
      <c r="BO545" s="3123">
        <f t="shared" si="320"/>
        <v>0</v>
      </c>
      <c r="BP545" s="3123">
        <f t="shared" si="321"/>
        <v>0</v>
      </c>
      <c r="BQ545" s="3123">
        <f t="shared" si="322"/>
        <v>0</v>
      </c>
      <c r="BR545" s="3123">
        <f t="shared" si="323"/>
        <v>0</v>
      </c>
      <c r="BS545" s="3123">
        <f t="shared" si="324"/>
        <v>0</v>
      </c>
      <c r="BT545" s="3175">
        <f t="shared" si="325"/>
        <v>0</v>
      </c>
    </row>
    <row r="546" spans="1:72">
      <c r="A546" s="3120"/>
      <c r="B546" s="3121"/>
      <c r="C546" s="3121"/>
      <c r="D546" s="3122"/>
      <c r="E546" s="3123">
        <f t="shared" si="297"/>
        <v>0</v>
      </c>
      <c r="F546" s="3124"/>
      <c r="G546" s="3125">
        <f t="shared" si="301"/>
        <v>0</v>
      </c>
      <c r="H546" s="3126">
        <f t="shared" si="302"/>
        <v>0</v>
      </c>
      <c r="I546" s="3133"/>
      <c r="J546" s="3133"/>
      <c r="K546" s="3133"/>
      <c r="L546" s="3133"/>
      <c r="M546" s="3133"/>
      <c r="N546" s="3133"/>
      <c r="O546" s="3133"/>
      <c r="P546" s="3133"/>
      <c r="Q546" s="3133"/>
      <c r="R546" s="3133"/>
      <c r="S546" s="3133"/>
      <c r="T546" s="3133"/>
      <c r="U546" s="3133"/>
      <c r="V546" s="3133"/>
      <c r="W546" s="3133"/>
      <c r="X546" s="3133"/>
      <c r="Y546" s="3133"/>
      <c r="Z546" s="3133"/>
      <c r="AA546" s="3133"/>
      <c r="AB546" s="3133"/>
      <c r="AC546" s="3123">
        <f t="shared" si="303"/>
        <v>0</v>
      </c>
      <c r="AD546" s="3143"/>
      <c r="AE546" s="3143"/>
      <c r="AF546" s="3143"/>
      <c r="AG546" s="3143"/>
      <c r="AH546" s="3143"/>
      <c r="AI546" s="3143"/>
      <c r="AJ546" s="3143"/>
      <c r="AK546" s="3143"/>
      <c r="AL546" s="3143"/>
      <c r="AM546" s="3143"/>
      <c r="AN546" s="3143"/>
      <c r="AO546" s="3143"/>
      <c r="AP546" s="3143"/>
      <c r="AQ546" s="3143"/>
      <c r="AR546" s="3143"/>
      <c r="AS546" s="3143"/>
      <c r="AT546" s="3153"/>
      <c r="AU546" s="3154"/>
      <c r="AV546" s="270">
        <f t="shared" si="298"/>
        <v>0</v>
      </c>
      <c r="AW546" s="270">
        <f t="shared" si="299"/>
        <v>0</v>
      </c>
      <c r="AX546" s="270">
        <f t="shared" si="300"/>
        <v>0</v>
      </c>
      <c r="AY546" s="3168">
        <f t="shared" si="304"/>
        <v>0</v>
      </c>
      <c r="AZ546" s="3123">
        <f t="shared" si="305"/>
        <v>0</v>
      </c>
      <c r="BA546" s="3123">
        <f t="shared" si="306"/>
        <v>0</v>
      </c>
      <c r="BB546" s="3123">
        <f t="shared" si="307"/>
        <v>0</v>
      </c>
      <c r="BC546" s="3123">
        <f t="shared" si="308"/>
        <v>0</v>
      </c>
      <c r="BD546" s="3123">
        <f t="shared" si="309"/>
        <v>0</v>
      </c>
      <c r="BE546" s="3123">
        <f t="shared" si="310"/>
        <v>0</v>
      </c>
      <c r="BF546" s="3123">
        <f t="shared" si="311"/>
        <v>0</v>
      </c>
      <c r="BG546" s="3123">
        <f t="shared" si="312"/>
        <v>0</v>
      </c>
      <c r="BH546" s="3123">
        <f t="shared" si="313"/>
        <v>0</v>
      </c>
      <c r="BI546" s="3123">
        <f t="shared" si="314"/>
        <v>0</v>
      </c>
      <c r="BJ546" s="3123">
        <f t="shared" si="315"/>
        <v>0</v>
      </c>
      <c r="BK546" s="3123">
        <f t="shared" si="316"/>
        <v>0</v>
      </c>
      <c r="BL546" s="3123">
        <f t="shared" si="317"/>
        <v>0</v>
      </c>
      <c r="BM546" s="3123">
        <f t="shared" si="318"/>
        <v>0</v>
      </c>
      <c r="BN546" s="3123">
        <f t="shared" si="319"/>
        <v>0</v>
      </c>
      <c r="BO546" s="3123">
        <f t="shared" si="320"/>
        <v>0</v>
      </c>
      <c r="BP546" s="3123">
        <f t="shared" si="321"/>
        <v>0</v>
      </c>
      <c r="BQ546" s="3123">
        <f t="shared" si="322"/>
        <v>0</v>
      </c>
      <c r="BR546" s="3123">
        <f t="shared" si="323"/>
        <v>0</v>
      </c>
      <c r="BS546" s="3123">
        <f t="shared" si="324"/>
        <v>0</v>
      </c>
      <c r="BT546" s="3175">
        <f t="shared" si="325"/>
        <v>0</v>
      </c>
    </row>
    <row r="547" spans="1:72">
      <c r="A547" s="3120"/>
      <c r="B547" s="3121"/>
      <c r="C547" s="3121"/>
      <c r="D547" s="3122"/>
      <c r="E547" s="3123">
        <f t="shared" si="297"/>
        <v>0</v>
      </c>
      <c r="F547" s="3124"/>
      <c r="G547" s="3125">
        <f t="shared" si="301"/>
        <v>0</v>
      </c>
      <c r="H547" s="3126">
        <f t="shared" si="302"/>
        <v>0</v>
      </c>
      <c r="I547" s="3133"/>
      <c r="J547" s="3133"/>
      <c r="K547" s="3133"/>
      <c r="L547" s="3133"/>
      <c r="M547" s="3133"/>
      <c r="N547" s="3133"/>
      <c r="O547" s="3133"/>
      <c r="P547" s="3133"/>
      <c r="Q547" s="3133"/>
      <c r="R547" s="3133"/>
      <c r="S547" s="3133"/>
      <c r="T547" s="3133"/>
      <c r="U547" s="3133"/>
      <c r="V547" s="3133"/>
      <c r="W547" s="3133"/>
      <c r="X547" s="3133"/>
      <c r="Y547" s="3133"/>
      <c r="Z547" s="3133"/>
      <c r="AA547" s="3133"/>
      <c r="AB547" s="3133"/>
      <c r="AC547" s="3123">
        <f t="shared" si="303"/>
        <v>0</v>
      </c>
      <c r="AD547" s="3143"/>
      <c r="AE547" s="3143"/>
      <c r="AF547" s="3143"/>
      <c r="AG547" s="3143"/>
      <c r="AH547" s="3143"/>
      <c r="AI547" s="3143"/>
      <c r="AJ547" s="3143"/>
      <c r="AK547" s="3143"/>
      <c r="AL547" s="3143"/>
      <c r="AM547" s="3143"/>
      <c r="AN547" s="3143"/>
      <c r="AO547" s="3143"/>
      <c r="AP547" s="3143"/>
      <c r="AQ547" s="3143"/>
      <c r="AR547" s="3143"/>
      <c r="AS547" s="3143"/>
      <c r="AT547" s="3153"/>
      <c r="AU547" s="3154"/>
      <c r="AV547" s="270">
        <f t="shared" si="298"/>
        <v>0</v>
      </c>
      <c r="AW547" s="270">
        <f t="shared" si="299"/>
        <v>0</v>
      </c>
      <c r="AX547" s="270">
        <f t="shared" si="300"/>
        <v>0</v>
      </c>
      <c r="AY547" s="3168">
        <f t="shared" si="304"/>
        <v>0</v>
      </c>
      <c r="AZ547" s="3123">
        <f t="shared" si="305"/>
        <v>0</v>
      </c>
      <c r="BA547" s="3123">
        <f t="shared" si="306"/>
        <v>0</v>
      </c>
      <c r="BB547" s="3123">
        <f t="shared" si="307"/>
        <v>0</v>
      </c>
      <c r="BC547" s="3123">
        <f t="shared" si="308"/>
        <v>0</v>
      </c>
      <c r="BD547" s="3123">
        <f t="shared" si="309"/>
        <v>0</v>
      </c>
      <c r="BE547" s="3123">
        <f t="shared" si="310"/>
        <v>0</v>
      </c>
      <c r="BF547" s="3123">
        <f t="shared" si="311"/>
        <v>0</v>
      </c>
      <c r="BG547" s="3123">
        <f t="shared" si="312"/>
        <v>0</v>
      </c>
      <c r="BH547" s="3123">
        <f t="shared" si="313"/>
        <v>0</v>
      </c>
      <c r="BI547" s="3123">
        <f t="shared" si="314"/>
        <v>0</v>
      </c>
      <c r="BJ547" s="3123">
        <f t="shared" si="315"/>
        <v>0</v>
      </c>
      <c r="BK547" s="3123">
        <f t="shared" si="316"/>
        <v>0</v>
      </c>
      <c r="BL547" s="3123">
        <f t="shared" si="317"/>
        <v>0</v>
      </c>
      <c r="BM547" s="3123">
        <f t="shared" si="318"/>
        <v>0</v>
      </c>
      <c r="BN547" s="3123">
        <f t="shared" si="319"/>
        <v>0</v>
      </c>
      <c r="BO547" s="3123">
        <f t="shared" si="320"/>
        <v>0</v>
      </c>
      <c r="BP547" s="3123">
        <f t="shared" si="321"/>
        <v>0</v>
      </c>
      <c r="BQ547" s="3123">
        <f t="shared" si="322"/>
        <v>0</v>
      </c>
      <c r="BR547" s="3123">
        <f t="shared" si="323"/>
        <v>0</v>
      </c>
      <c r="BS547" s="3123">
        <f t="shared" si="324"/>
        <v>0</v>
      </c>
      <c r="BT547" s="3175">
        <f t="shared" si="325"/>
        <v>0</v>
      </c>
    </row>
    <row r="548" spans="1:72">
      <c r="A548" s="3120"/>
      <c r="B548" s="3121"/>
      <c r="C548" s="3121"/>
      <c r="D548" s="3122"/>
      <c r="E548" s="3123">
        <f t="shared" si="297"/>
        <v>0</v>
      </c>
      <c r="F548" s="3124"/>
      <c r="G548" s="3125">
        <f t="shared" si="301"/>
        <v>0</v>
      </c>
      <c r="H548" s="3126">
        <f t="shared" si="302"/>
        <v>0</v>
      </c>
      <c r="I548" s="3133"/>
      <c r="J548" s="3133"/>
      <c r="K548" s="3133"/>
      <c r="L548" s="3133"/>
      <c r="M548" s="3133"/>
      <c r="N548" s="3133"/>
      <c r="O548" s="3133"/>
      <c r="P548" s="3133"/>
      <c r="Q548" s="3133"/>
      <c r="R548" s="3133"/>
      <c r="S548" s="3133"/>
      <c r="T548" s="3133"/>
      <c r="U548" s="3133"/>
      <c r="V548" s="3133"/>
      <c r="W548" s="3133"/>
      <c r="X548" s="3133"/>
      <c r="Y548" s="3133"/>
      <c r="Z548" s="3133"/>
      <c r="AA548" s="3133"/>
      <c r="AB548" s="3133"/>
      <c r="AC548" s="3123">
        <f t="shared" si="303"/>
        <v>0</v>
      </c>
      <c r="AD548" s="3143"/>
      <c r="AE548" s="3143"/>
      <c r="AF548" s="3143"/>
      <c r="AG548" s="3143"/>
      <c r="AH548" s="3143"/>
      <c r="AI548" s="3143"/>
      <c r="AJ548" s="3143"/>
      <c r="AK548" s="3143"/>
      <c r="AL548" s="3143"/>
      <c r="AM548" s="3143"/>
      <c r="AN548" s="3143"/>
      <c r="AO548" s="3143"/>
      <c r="AP548" s="3143"/>
      <c r="AQ548" s="3143"/>
      <c r="AR548" s="3143"/>
      <c r="AS548" s="3143"/>
      <c r="AT548" s="3153"/>
      <c r="AU548" s="3154"/>
      <c r="AV548" s="270">
        <f t="shared" si="298"/>
        <v>0</v>
      </c>
      <c r="AW548" s="270">
        <f t="shared" si="299"/>
        <v>0</v>
      </c>
      <c r="AX548" s="270">
        <f t="shared" si="300"/>
        <v>0</v>
      </c>
      <c r="AY548" s="3168">
        <f t="shared" si="304"/>
        <v>0</v>
      </c>
      <c r="AZ548" s="3123">
        <f t="shared" si="305"/>
        <v>0</v>
      </c>
      <c r="BA548" s="3123">
        <f t="shared" si="306"/>
        <v>0</v>
      </c>
      <c r="BB548" s="3123">
        <f t="shared" si="307"/>
        <v>0</v>
      </c>
      <c r="BC548" s="3123">
        <f t="shared" si="308"/>
        <v>0</v>
      </c>
      <c r="BD548" s="3123">
        <f t="shared" si="309"/>
        <v>0</v>
      </c>
      <c r="BE548" s="3123">
        <f t="shared" si="310"/>
        <v>0</v>
      </c>
      <c r="BF548" s="3123">
        <f t="shared" si="311"/>
        <v>0</v>
      </c>
      <c r="BG548" s="3123">
        <f t="shared" si="312"/>
        <v>0</v>
      </c>
      <c r="BH548" s="3123">
        <f t="shared" si="313"/>
        <v>0</v>
      </c>
      <c r="BI548" s="3123">
        <f t="shared" si="314"/>
        <v>0</v>
      </c>
      <c r="BJ548" s="3123">
        <f t="shared" si="315"/>
        <v>0</v>
      </c>
      <c r="BK548" s="3123">
        <f t="shared" si="316"/>
        <v>0</v>
      </c>
      <c r="BL548" s="3123">
        <f t="shared" si="317"/>
        <v>0</v>
      </c>
      <c r="BM548" s="3123">
        <f t="shared" si="318"/>
        <v>0</v>
      </c>
      <c r="BN548" s="3123">
        <f t="shared" si="319"/>
        <v>0</v>
      </c>
      <c r="BO548" s="3123">
        <f t="shared" si="320"/>
        <v>0</v>
      </c>
      <c r="BP548" s="3123">
        <f t="shared" si="321"/>
        <v>0</v>
      </c>
      <c r="BQ548" s="3123">
        <f t="shared" si="322"/>
        <v>0</v>
      </c>
      <c r="BR548" s="3123">
        <f t="shared" si="323"/>
        <v>0</v>
      </c>
      <c r="BS548" s="3123">
        <f t="shared" si="324"/>
        <v>0</v>
      </c>
      <c r="BT548" s="3175">
        <f t="shared" si="325"/>
        <v>0</v>
      </c>
    </row>
    <row r="549" spans="1:72">
      <c r="A549" s="3120"/>
      <c r="B549" s="3121"/>
      <c r="C549" s="3121"/>
      <c r="D549" s="3122"/>
      <c r="E549" s="3123">
        <f t="shared" si="297"/>
        <v>0</v>
      </c>
      <c r="F549" s="3124"/>
      <c r="G549" s="3125">
        <f t="shared" si="301"/>
        <v>0</v>
      </c>
      <c r="H549" s="3126">
        <f t="shared" si="302"/>
        <v>0</v>
      </c>
      <c r="I549" s="3133"/>
      <c r="J549" s="3133"/>
      <c r="K549" s="3133"/>
      <c r="L549" s="3133"/>
      <c r="M549" s="3133"/>
      <c r="N549" s="3133"/>
      <c r="O549" s="3133"/>
      <c r="P549" s="3133"/>
      <c r="Q549" s="3133"/>
      <c r="R549" s="3133"/>
      <c r="S549" s="3133"/>
      <c r="T549" s="3133"/>
      <c r="U549" s="3133"/>
      <c r="V549" s="3133"/>
      <c r="W549" s="3133"/>
      <c r="X549" s="3133"/>
      <c r="Y549" s="3133"/>
      <c r="Z549" s="3133"/>
      <c r="AA549" s="3133"/>
      <c r="AB549" s="3133"/>
      <c r="AC549" s="3123">
        <f t="shared" si="303"/>
        <v>0</v>
      </c>
      <c r="AD549" s="3143"/>
      <c r="AE549" s="3143"/>
      <c r="AF549" s="3143"/>
      <c r="AG549" s="3143"/>
      <c r="AH549" s="3143"/>
      <c r="AI549" s="3143"/>
      <c r="AJ549" s="3143"/>
      <c r="AK549" s="3143"/>
      <c r="AL549" s="3143"/>
      <c r="AM549" s="3143"/>
      <c r="AN549" s="3143"/>
      <c r="AO549" s="3143"/>
      <c r="AP549" s="3143"/>
      <c r="AQ549" s="3143"/>
      <c r="AR549" s="3143"/>
      <c r="AS549" s="3143"/>
      <c r="AT549" s="3153"/>
      <c r="AU549" s="3154"/>
      <c r="AV549" s="270">
        <f t="shared" si="298"/>
        <v>0</v>
      </c>
      <c r="AW549" s="270">
        <f t="shared" si="299"/>
        <v>0</v>
      </c>
      <c r="AX549" s="270">
        <f t="shared" si="300"/>
        <v>0</v>
      </c>
      <c r="AY549" s="3168">
        <f t="shared" si="304"/>
        <v>0</v>
      </c>
      <c r="AZ549" s="3123">
        <f t="shared" si="305"/>
        <v>0</v>
      </c>
      <c r="BA549" s="3123">
        <f t="shared" si="306"/>
        <v>0</v>
      </c>
      <c r="BB549" s="3123">
        <f t="shared" si="307"/>
        <v>0</v>
      </c>
      <c r="BC549" s="3123">
        <f t="shared" si="308"/>
        <v>0</v>
      </c>
      <c r="BD549" s="3123">
        <f t="shared" si="309"/>
        <v>0</v>
      </c>
      <c r="BE549" s="3123">
        <f t="shared" si="310"/>
        <v>0</v>
      </c>
      <c r="BF549" s="3123">
        <f t="shared" si="311"/>
        <v>0</v>
      </c>
      <c r="BG549" s="3123">
        <f t="shared" si="312"/>
        <v>0</v>
      </c>
      <c r="BH549" s="3123">
        <f t="shared" si="313"/>
        <v>0</v>
      </c>
      <c r="BI549" s="3123">
        <f t="shared" si="314"/>
        <v>0</v>
      </c>
      <c r="BJ549" s="3123">
        <f t="shared" si="315"/>
        <v>0</v>
      </c>
      <c r="BK549" s="3123">
        <f t="shared" si="316"/>
        <v>0</v>
      </c>
      <c r="BL549" s="3123">
        <f t="shared" si="317"/>
        <v>0</v>
      </c>
      <c r="BM549" s="3123">
        <f t="shared" si="318"/>
        <v>0</v>
      </c>
      <c r="BN549" s="3123">
        <f t="shared" si="319"/>
        <v>0</v>
      </c>
      <c r="BO549" s="3123">
        <f t="shared" si="320"/>
        <v>0</v>
      </c>
      <c r="BP549" s="3123">
        <f t="shared" si="321"/>
        <v>0</v>
      </c>
      <c r="BQ549" s="3123">
        <f t="shared" si="322"/>
        <v>0</v>
      </c>
      <c r="BR549" s="3123">
        <f t="shared" si="323"/>
        <v>0</v>
      </c>
      <c r="BS549" s="3123">
        <f t="shared" si="324"/>
        <v>0</v>
      </c>
      <c r="BT549" s="3175">
        <f t="shared" si="325"/>
        <v>0</v>
      </c>
    </row>
    <row r="550" spans="1:72">
      <c r="A550" s="3120"/>
      <c r="B550" s="3121"/>
      <c r="C550" s="3121"/>
      <c r="D550" s="3122"/>
      <c r="E550" s="3123">
        <f t="shared" si="297"/>
        <v>0</v>
      </c>
      <c r="F550" s="3124"/>
      <c r="G550" s="3125">
        <f t="shared" si="301"/>
        <v>0</v>
      </c>
      <c r="H550" s="3126">
        <f t="shared" si="302"/>
        <v>0</v>
      </c>
      <c r="I550" s="3133"/>
      <c r="J550" s="3133"/>
      <c r="K550" s="3133"/>
      <c r="L550" s="3133"/>
      <c r="M550" s="3133"/>
      <c r="N550" s="3133"/>
      <c r="O550" s="3133"/>
      <c r="P550" s="3133"/>
      <c r="Q550" s="3133"/>
      <c r="R550" s="3133"/>
      <c r="S550" s="3133"/>
      <c r="T550" s="3133"/>
      <c r="U550" s="3133"/>
      <c r="V550" s="3133"/>
      <c r="W550" s="3133"/>
      <c r="X550" s="3133"/>
      <c r="Y550" s="3133"/>
      <c r="Z550" s="3133"/>
      <c r="AA550" s="3133"/>
      <c r="AB550" s="3133"/>
      <c r="AC550" s="3123">
        <f t="shared" si="303"/>
        <v>0</v>
      </c>
      <c r="AD550" s="3143"/>
      <c r="AE550" s="3143"/>
      <c r="AF550" s="3143"/>
      <c r="AG550" s="3143"/>
      <c r="AH550" s="3143"/>
      <c r="AI550" s="3143"/>
      <c r="AJ550" s="3143"/>
      <c r="AK550" s="3143"/>
      <c r="AL550" s="3143"/>
      <c r="AM550" s="3143"/>
      <c r="AN550" s="3143"/>
      <c r="AO550" s="3143"/>
      <c r="AP550" s="3143"/>
      <c r="AQ550" s="3143"/>
      <c r="AR550" s="3143"/>
      <c r="AS550" s="3143"/>
      <c r="AT550" s="3153"/>
      <c r="AU550" s="3154"/>
      <c r="AV550" s="270">
        <f t="shared" si="298"/>
        <v>0</v>
      </c>
      <c r="AW550" s="270">
        <f t="shared" si="299"/>
        <v>0</v>
      </c>
      <c r="AX550" s="270">
        <f t="shared" si="300"/>
        <v>0</v>
      </c>
      <c r="AY550" s="3168">
        <f t="shared" si="304"/>
        <v>0</v>
      </c>
      <c r="AZ550" s="3123">
        <f t="shared" si="305"/>
        <v>0</v>
      </c>
      <c r="BA550" s="3123">
        <f t="shared" si="306"/>
        <v>0</v>
      </c>
      <c r="BB550" s="3123">
        <f t="shared" si="307"/>
        <v>0</v>
      </c>
      <c r="BC550" s="3123">
        <f t="shared" si="308"/>
        <v>0</v>
      </c>
      <c r="BD550" s="3123">
        <f t="shared" si="309"/>
        <v>0</v>
      </c>
      <c r="BE550" s="3123">
        <f t="shared" si="310"/>
        <v>0</v>
      </c>
      <c r="BF550" s="3123">
        <f t="shared" si="311"/>
        <v>0</v>
      </c>
      <c r="BG550" s="3123">
        <f t="shared" si="312"/>
        <v>0</v>
      </c>
      <c r="BH550" s="3123">
        <f t="shared" si="313"/>
        <v>0</v>
      </c>
      <c r="BI550" s="3123">
        <f t="shared" si="314"/>
        <v>0</v>
      </c>
      <c r="BJ550" s="3123">
        <f t="shared" si="315"/>
        <v>0</v>
      </c>
      <c r="BK550" s="3123">
        <f t="shared" si="316"/>
        <v>0</v>
      </c>
      <c r="BL550" s="3123">
        <f t="shared" si="317"/>
        <v>0</v>
      </c>
      <c r="BM550" s="3123">
        <f t="shared" si="318"/>
        <v>0</v>
      </c>
      <c r="BN550" s="3123">
        <f t="shared" si="319"/>
        <v>0</v>
      </c>
      <c r="BO550" s="3123">
        <f t="shared" si="320"/>
        <v>0</v>
      </c>
      <c r="BP550" s="3123">
        <f t="shared" si="321"/>
        <v>0</v>
      </c>
      <c r="BQ550" s="3123">
        <f t="shared" si="322"/>
        <v>0</v>
      </c>
      <c r="BR550" s="3123">
        <f t="shared" si="323"/>
        <v>0</v>
      </c>
      <c r="BS550" s="3123">
        <f t="shared" si="324"/>
        <v>0</v>
      </c>
      <c r="BT550" s="3175">
        <f t="shared" si="325"/>
        <v>0</v>
      </c>
    </row>
    <row r="551" spans="1:72">
      <c r="A551" s="3120"/>
      <c r="B551" s="3121"/>
      <c r="C551" s="3121"/>
      <c r="D551" s="3122"/>
      <c r="E551" s="3123">
        <f t="shared" si="297"/>
        <v>0</v>
      </c>
      <c r="F551" s="3124"/>
      <c r="G551" s="3125">
        <f t="shared" si="301"/>
        <v>0</v>
      </c>
      <c r="H551" s="3126">
        <f t="shared" si="302"/>
        <v>0</v>
      </c>
      <c r="I551" s="3133"/>
      <c r="J551" s="3133"/>
      <c r="K551" s="3133"/>
      <c r="L551" s="3133"/>
      <c r="M551" s="3133"/>
      <c r="N551" s="3133"/>
      <c r="O551" s="3133"/>
      <c r="P551" s="3133"/>
      <c r="Q551" s="3133"/>
      <c r="R551" s="3133"/>
      <c r="S551" s="3133"/>
      <c r="T551" s="3133"/>
      <c r="U551" s="3133"/>
      <c r="V551" s="3133"/>
      <c r="W551" s="3133"/>
      <c r="X551" s="3133"/>
      <c r="Y551" s="3133"/>
      <c r="Z551" s="3133"/>
      <c r="AA551" s="3133"/>
      <c r="AB551" s="3133"/>
      <c r="AC551" s="3123">
        <f t="shared" si="303"/>
        <v>0</v>
      </c>
      <c r="AD551" s="3143"/>
      <c r="AE551" s="3143"/>
      <c r="AF551" s="3143"/>
      <c r="AG551" s="3143"/>
      <c r="AH551" s="3143"/>
      <c r="AI551" s="3143"/>
      <c r="AJ551" s="3143"/>
      <c r="AK551" s="3143"/>
      <c r="AL551" s="3143"/>
      <c r="AM551" s="3143"/>
      <c r="AN551" s="3143"/>
      <c r="AO551" s="3143"/>
      <c r="AP551" s="3143"/>
      <c r="AQ551" s="3143"/>
      <c r="AR551" s="3143"/>
      <c r="AS551" s="3143"/>
      <c r="AT551" s="3153"/>
      <c r="AU551" s="3154"/>
      <c r="AV551" s="270">
        <f t="shared" si="298"/>
        <v>0</v>
      </c>
      <c r="AW551" s="270">
        <f t="shared" si="299"/>
        <v>0</v>
      </c>
      <c r="AX551" s="270">
        <f t="shared" si="300"/>
        <v>0</v>
      </c>
      <c r="AY551" s="3168">
        <f t="shared" si="304"/>
        <v>0</v>
      </c>
      <c r="AZ551" s="3123">
        <f t="shared" si="305"/>
        <v>0</v>
      </c>
      <c r="BA551" s="3123">
        <f t="shared" si="306"/>
        <v>0</v>
      </c>
      <c r="BB551" s="3123">
        <f t="shared" si="307"/>
        <v>0</v>
      </c>
      <c r="BC551" s="3123">
        <f t="shared" si="308"/>
        <v>0</v>
      </c>
      <c r="BD551" s="3123">
        <f t="shared" si="309"/>
        <v>0</v>
      </c>
      <c r="BE551" s="3123">
        <f t="shared" si="310"/>
        <v>0</v>
      </c>
      <c r="BF551" s="3123">
        <f t="shared" si="311"/>
        <v>0</v>
      </c>
      <c r="BG551" s="3123">
        <f t="shared" si="312"/>
        <v>0</v>
      </c>
      <c r="BH551" s="3123">
        <f t="shared" si="313"/>
        <v>0</v>
      </c>
      <c r="BI551" s="3123">
        <f t="shared" si="314"/>
        <v>0</v>
      </c>
      <c r="BJ551" s="3123">
        <f t="shared" si="315"/>
        <v>0</v>
      </c>
      <c r="BK551" s="3123">
        <f t="shared" si="316"/>
        <v>0</v>
      </c>
      <c r="BL551" s="3123">
        <f t="shared" si="317"/>
        <v>0</v>
      </c>
      <c r="BM551" s="3123">
        <f t="shared" si="318"/>
        <v>0</v>
      </c>
      <c r="BN551" s="3123">
        <f t="shared" si="319"/>
        <v>0</v>
      </c>
      <c r="BO551" s="3123">
        <f t="shared" si="320"/>
        <v>0</v>
      </c>
      <c r="BP551" s="3123">
        <f t="shared" si="321"/>
        <v>0</v>
      </c>
      <c r="BQ551" s="3123">
        <f t="shared" si="322"/>
        <v>0</v>
      </c>
      <c r="BR551" s="3123">
        <f t="shared" si="323"/>
        <v>0</v>
      </c>
      <c r="BS551" s="3123">
        <f t="shared" si="324"/>
        <v>0</v>
      </c>
      <c r="BT551" s="3175">
        <f t="shared" si="325"/>
        <v>0</v>
      </c>
    </row>
    <row r="552" spans="1:72">
      <c r="A552" s="3120"/>
      <c r="B552" s="3121"/>
      <c r="C552" s="3121"/>
      <c r="D552" s="3122"/>
      <c r="E552" s="3123">
        <f t="shared" ref="E552:E587" si="326">IF($C$3="是",ROUND($A$3*G552/$B$3,2),ROUND($A$3*(G552-AT552)/$B$3,2))</f>
        <v>0</v>
      </c>
      <c r="F552" s="3124"/>
      <c r="G552" s="3125">
        <f t="shared" si="301"/>
        <v>0</v>
      </c>
      <c r="H552" s="3126">
        <f t="shared" si="302"/>
        <v>0</v>
      </c>
      <c r="I552" s="3133"/>
      <c r="J552" s="3133"/>
      <c r="K552" s="3133"/>
      <c r="L552" s="3133"/>
      <c r="M552" s="3133"/>
      <c r="N552" s="3133"/>
      <c r="O552" s="3133"/>
      <c r="P552" s="3133"/>
      <c r="Q552" s="3133"/>
      <c r="R552" s="3133"/>
      <c r="S552" s="3133"/>
      <c r="T552" s="3133"/>
      <c r="U552" s="3133"/>
      <c r="V552" s="3133"/>
      <c r="W552" s="3133"/>
      <c r="X552" s="3133"/>
      <c r="Y552" s="3133"/>
      <c r="Z552" s="3133"/>
      <c r="AA552" s="3133"/>
      <c r="AB552" s="3133"/>
      <c r="AC552" s="3123">
        <f t="shared" si="303"/>
        <v>0</v>
      </c>
      <c r="AD552" s="3143"/>
      <c r="AE552" s="3143"/>
      <c r="AF552" s="3143"/>
      <c r="AG552" s="3143"/>
      <c r="AH552" s="3143"/>
      <c r="AI552" s="3143"/>
      <c r="AJ552" s="3143"/>
      <c r="AK552" s="3143"/>
      <c r="AL552" s="3143"/>
      <c r="AM552" s="3143"/>
      <c r="AN552" s="3143"/>
      <c r="AO552" s="3143"/>
      <c r="AP552" s="3143"/>
      <c r="AQ552" s="3143"/>
      <c r="AR552" s="3143"/>
      <c r="AS552" s="3143"/>
      <c r="AT552" s="3153"/>
      <c r="AU552" s="3154"/>
      <c r="AV552" s="270">
        <f t="shared" si="298"/>
        <v>0</v>
      </c>
      <c r="AW552" s="270">
        <f t="shared" si="299"/>
        <v>0</v>
      </c>
      <c r="AX552" s="270">
        <f t="shared" si="300"/>
        <v>0</v>
      </c>
      <c r="AY552" s="3168">
        <f t="shared" si="304"/>
        <v>0</v>
      </c>
      <c r="AZ552" s="3123">
        <f t="shared" si="305"/>
        <v>0</v>
      </c>
      <c r="BA552" s="3123">
        <f t="shared" si="306"/>
        <v>0</v>
      </c>
      <c r="BB552" s="3123">
        <f t="shared" si="307"/>
        <v>0</v>
      </c>
      <c r="BC552" s="3123">
        <f t="shared" si="308"/>
        <v>0</v>
      </c>
      <c r="BD552" s="3123">
        <f t="shared" si="309"/>
        <v>0</v>
      </c>
      <c r="BE552" s="3123">
        <f t="shared" si="310"/>
        <v>0</v>
      </c>
      <c r="BF552" s="3123">
        <f t="shared" si="311"/>
        <v>0</v>
      </c>
      <c r="BG552" s="3123">
        <f t="shared" si="312"/>
        <v>0</v>
      </c>
      <c r="BH552" s="3123">
        <f t="shared" si="313"/>
        <v>0</v>
      </c>
      <c r="BI552" s="3123">
        <f t="shared" si="314"/>
        <v>0</v>
      </c>
      <c r="BJ552" s="3123">
        <f t="shared" si="315"/>
        <v>0</v>
      </c>
      <c r="BK552" s="3123">
        <f t="shared" si="316"/>
        <v>0</v>
      </c>
      <c r="BL552" s="3123">
        <f t="shared" si="317"/>
        <v>0</v>
      </c>
      <c r="BM552" s="3123">
        <f t="shared" si="318"/>
        <v>0</v>
      </c>
      <c r="BN552" s="3123">
        <f t="shared" si="319"/>
        <v>0</v>
      </c>
      <c r="BO552" s="3123">
        <f t="shared" si="320"/>
        <v>0</v>
      </c>
      <c r="BP552" s="3123">
        <f t="shared" si="321"/>
        <v>0</v>
      </c>
      <c r="BQ552" s="3123">
        <f t="shared" si="322"/>
        <v>0</v>
      </c>
      <c r="BR552" s="3123">
        <f t="shared" si="323"/>
        <v>0</v>
      </c>
      <c r="BS552" s="3123">
        <f t="shared" si="324"/>
        <v>0</v>
      </c>
      <c r="BT552" s="3175">
        <f t="shared" si="325"/>
        <v>0</v>
      </c>
    </row>
    <row r="553" spans="1:72">
      <c r="A553" s="3120"/>
      <c r="B553" s="3121"/>
      <c r="C553" s="3121"/>
      <c r="D553" s="3122"/>
      <c r="E553" s="3123">
        <f t="shared" si="326"/>
        <v>0</v>
      </c>
      <c r="F553" s="3124"/>
      <c r="G553" s="3125">
        <f t="shared" ref="G553:G587" si="327">H553+AC553+AT553</f>
        <v>0</v>
      </c>
      <c r="H553" s="3126">
        <f t="shared" ref="H553:H587" si="328">SUMIF(I$12:AB$12,"总值",I553:AB553)</f>
        <v>0</v>
      </c>
      <c r="I553" s="3133"/>
      <c r="J553" s="3133"/>
      <c r="K553" s="3133"/>
      <c r="L553" s="3133"/>
      <c r="M553" s="3133"/>
      <c r="N553" s="3133"/>
      <c r="O553" s="3133"/>
      <c r="P553" s="3133"/>
      <c r="Q553" s="3133"/>
      <c r="R553" s="3133"/>
      <c r="S553" s="3133"/>
      <c r="T553" s="3133"/>
      <c r="U553" s="3133"/>
      <c r="V553" s="3133"/>
      <c r="W553" s="3133"/>
      <c r="X553" s="3133"/>
      <c r="Y553" s="3133"/>
      <c r="Z553" s="3133"/>
      <c r="AA553" s="3133"/>
      <c r="AB553" s="3133"/>
      <c r="AC553" s="3123">
        <f t="shared" ref="AC553:AC587" si="329">SUMIF(AD$12:AS$12,"总值",AD553:AS553)</f>
        <v>0</v>
      </c>
      <c r="AD553" s="3143"/>
      <c r="AE553" s="3143"/>
      <c r="AF553" s="3143"/>
      <c r="AG553" s="3143"/>
      <c r="AH553" s="3143"/>
      <c r="AI553" s="3143"/>
      <c r="AJ553" s="3143"/>
      <c r="AK553" s="3143"/>
      <c r="AL553" s="3143"/>
      <c r="AM553" s="3143"/>
      <c r="AN553" s="3143"/>
      <c r="AO553" s="3143"/>
      <c r="AP553" s="3143"/>
      <c r="AQ553" s="3143"/>
      <c r="AR553" s="3143"/>
      <c r="AS553" s="3143"/>
      <c r="AT553" s="3153"/>
      <c r="AU553" s="3154"/>
      <c r="AV553" s="270">
        <f t="shared" ref="AV553:AV587" si="330">A553</f>
        <v>0</v>
      </c>
      <c r="AW553" s="270">
        <f t="shared" ref="AW553:AW587" si="331">B553</f>
        <v>0</v>
      </c>
      <c r="AX553" s="270">
        <f t="shared" ref="AX553:AX587" si="332">C553</f>
        <v>0</v>
      </c>
      <c r="AY553" s="3168">
        <f t="shared" ref="AY553:AY587" si="333">ROUND($AY$6*AZ553/$AZ$5,2)</f>
        <v>0</v>
      </c>
      <c r="AZ553" s="3123">
        <f t="shared" ref="AZ553:AZ587" si="334">BA553+BL553</f>
        <v>0</v>
      </c>
      <c r="BA553" s="3123">
        <f t="shared" ref="BA553:BA587" si="335">SUM(BB553:BK553)</f>
        <v>0</v>
      </c>
      <c r="BB553" s="3123">
        <f t="shared" ref="BB553:BB587" si="336">IF($D553="是",I553-J553,0)</f>
        <v>0</v>
      </c>
      <c r="BC553" s="3123">
        <f t="shared" ref="BC553:BC587" si="337">IF($D553="是",K553-L553,0)</f>
        <v>0</v>
      </c>
      <c r="BD553" s="3123">
        <f t="shared" ref="BD553:BD587" si="338">IF($D553="是",M553-N553,0)</f>
        <v>0</v>
      </c>
      <c r="BE553" s="3123">
        <f t="shared" ref="BE553:BE587" si="339">IF($D553="是",O553-P553,0)</f>
        <v>0</v>
      </c>
      <c r="BF553" s="3123">
        <f t="shared" ref="BF553:BF587" si="340">IF($D553="是",Q553-R553,0)</f>
        <v>0</v>
      </c>
      <c r="BG553" s="3123">
        <f t="shared" ref="BG553:BG587" si="341">IF($D553="是",S553-T553,0)</f>
        <v>0</v>
      </c>
      <c r="BH553" s="3123">
        <f t="shared" ref="BH553:BH587" si="342">IF($D553="是",U553-V553,0)</f>
        <v>0</v>
      </c>
      <c r="BI553" s="3123">
        <f t="shared" ref="BI553:BI587" si="343">IF($D553="是",W553-X553,0)</f>
        <v>0</v>
      </c>
      <c r="BJ553" s="3123">
        <f t="shared" ref="BJ553:BJ587" si="344">IF($D553="是",Y553-Z553,0)</f>
        <v>0</v>
      </c>
      <c r="BK553" s="3123">
        <f t="shared" ref="BK553:BK587" si="345">IF($D553="是",AA553-AB553,0)</f>
        <v>0</v>
      </c>
      <c r="BL553" s="3123">
        <f t="shared" ref="BL553:BL587" si="346">SUM(BM553:BT553)</f>
        <v>0</v>
      </c>
      <c r="BM553" s="3123">
        <f t="shared" ref="BM553:BM587" si="347">IF($D553="是",AD553-AE553,0)</f>
        <v>0</v>
      </c>
      <c r="BN553" s="3123">
        <f t="shared" ref="BN553:BN587" si="348">IF($D553="是",AF553-AG553,0)</f>
        <v>0</v>
      </c>
      <c r="BO553" s="3123">
        <f t="shared" ref="BO553:BO587" si="349">IF($D553="是",AH553-AI553,0)</f>
        <v>0</v>
      </c>
      <c r="BP553" s="3123">
        <f t="shared" ref="BP553:BP587" si="350">IF($D553="是",AJ553-AK553,0)</f>
        <v>0</v>
      </c>
      <c r="BQ553" s="3123">
        <f t="shared" ref="BQ553:BQ587" si="351">IF($D553="是",AL553-AM553,0)</f>
        <v>0</v>
      </c>
      <c r="BR553" s="3123">
        <f t="shared" ref="BR553:BR587" si="352">IF($D553="是",AN553-AO553,0)</f>
        <v>0</v>
      </c>
      <c r="BS553" s="3123">
        <f t="shared" ref="BS553:BS587" si="353">IF($D553="是",AP553-AQ553,0)</f>
        <v>0</v>
      </c>
      <c r="BT553" s="3175">
        <f t="shared" ref="BT553:BT587" si="354">IF($D553="是",AR553-AS553,0)</f>
        <v>0</v>
      </c>
    </row>
    <row r="554" spans="1:72">
      <c r="A554" s="3120"/>
      <c r="B554" s="3121"/>
      <c r="C554" s="3121"/>
      <c r="D554" s="3122"/>
      <c r="E554" s="3123">
        <f t="shared" si="326"/>
        <v>0</v>
      </c>
      <c r="F554" s="3124"/>
      <c r="G554" s="3125">
        <f t="shared" si="327"/>
        <v>0</v>
      </c>
      <c r="H554" s="3126">
        <f t="shared" si="328"/>
        <v>0</v>
      </c>
      <c r="I554" s="3133"/>
      <c r="J554" s="3133"/>
      <c r="K554" s="3133"/>
      <c r="L554" s="3133"/>
      <c r="M554" s="3133"/>
      <c r="N554" s="3133"/>
      <c r="O554" s="3133"/>
      <c r="P554" s="3133"/>
      <c r="Q554" s="3133"/>
      <c r="R554" s="3133"/>
      <c r="S554" s="3133"/>
      <c r="T554" s="3133"/>
      <c r="U554" s="3133"/>
      <c r="V554" s="3133"/>
      <c r="W554" s="3133"/>
      <c r="X554" s="3133"/>
      <c r="Y554" s="3133"/>
      <c r="Z554" s="3133"/>
      <c r="AA554" s="3133"/>
      <c r="AB554" s="3133"/>
      <c r="AC554" s="3123">
        <f t="shared" si="329"/>
        <v>0</v>
      </c>
      <c r="AD554" s="3143"/>
      <c r="AE554" s="3143"/>
      <c r="AF554" s="3143"/>
      <c r="AG554" s="3143"/>
      <c r="AH554" s="3143"/>
      <c r="AI554" s="3143"/>
      <c r="AJ554" s="3143"/>
      <c r="AK554" s="3143"/>
      <c r="AL554" s="3143"/>
      <c r="AM554" s="3143"/>
      <c r="AN554" s="3143"/>
      <c r="AO554" s="3143"/>
      <c r="AP554" s="3143"/>
      <c r="AQ554" s="3143"/>
      <c r="AR554" s="3143"/>
      <c r="AS554" s="3143"/>
      <c r="AT554" s="3153"/>
      <c r="AU554" s="3154"/>
      <c r="AV554" s="270">
        <f t="shared" si="330"/>
        <v>0</v>
      </c>
      <c r="AW554" s="270">
        <f t="shared" si="331"/>
        <v>0</v>
      </c>
      <c r="AX554" s="270">
        <f t="shared" si="332"/>
        <v>0</v>
      </c>
      <c r="AY554" s="3168">
        <f t="shared" si="333"/>
        <v>0</v>
      </c>
      <c r="AZ554" s="3123">
        <f t="shared" si="334"/>
        <v>0</v>
      </c>
      <c r="BA554" s="3123">
        <f t="shared" si="335"/>
        <v>0</v>
      </c>
      <c r="BB554" s="3123">
        <f t="shared" si="336"/>
        <v>0</v>
      </c>
      <c r="BC554" s="3123">
        <f t="shared" si="337"/>
        <v>0</v>
      </c>
      <c r="BD554" s="3123">
        <f t="shared" si="338"/>
        <v>0</v>
      </c>
      <c r="BE554" s="3123">
        <f t="shared" si="339"/>
        <v>0</v>
      </c>
      <c r="BF554" s="3123">
        <f t="shared" si="340"/>
        <v>0</v>
      </c>
      <c r="BG554" s="3123">
        <f t="shared" si="341"/>
        <v>0</v>
      </c>
      <c r="BH554" s="3123">
        <f t="shared" si="342"/>
        <v>0</v>
      </c>
      <c r="BI554" s="3123">
        <f t="shared" si="343"/>
        <v>0</v>
      </c>
      <c r="BJ554" s="3123">
        <f t="shared" si="344"/>
        <v>0</v>
      </c>
      <c r="BK554" s="3123">
        <f t="shared" si="345"/>
        <v>0</v>
      </c>
      <c r="BL554" s="3123">
        <f t="shared" si="346"/>
        <v>0</v>
      </c>
      <c r="BM554" s="3123">
        <f t="shared" si="347"/>
        <v>0</v>
      </c>
      <c r="BN554" s="3123">
        <f t="shared" si="348"/>
        <v>0</v>
      </c>
      <c r="BO554" s="3123">
        <f t="shared" si="349"/>
        <v>0</v>
      </c>
      <c r="BP554" s="3123">
        <f t="shared" si="350"/>
        <v>0</v>
      </c>
      <c r="BQ554" s="3123">
        <f t="shared" si="351"/>
        <v>0</v>
      </c>
      <c r="BR554" s="3123">
        <f t="shared" si="352"/>
        <v>0</v>
      </c>
      <c r="BS554" s="3123">
        <f t="shared" si="353"/>
        <v>0</v>
      </c>
      <c r="BT554" s="3175">
        <f t="shared" si="354"/>
        <v>0</v>
      </c>
    </row>
    <row r="555" spans="1:72">
      <c r="A555" s="3120"/>
      <c r="B555" s="3121"/>
      <c r="C555" s="3121"/>
      <c r="D555" s="3122"/>
      <c r="E555" s="3123">
        <f t="shared" si="326"/>
        <v>0</v>
      </c>
      <c r="F555" s="3124"/>
      <c r="G555" s="3125">
        <f t="shared" si="327"/>
        <v>0</v>
      </c>
      <c r="H555" s="3126">
        <f t="shared" si="328"/>
        <v>0</v>
      </c>
      <c r="I555" s="3133"/>
      <c r="J555" s="3133"/>
      <c r="K555" s="3133"/>
      <c r="L555" s="3133"/>
      <c r="M555" s="3133"/>
      <c r="N555" s="3133"/>
      <c r="O555" s="3133"/>
      <c r="P555" s="3133"/>
      <c r="Q555" s="3133"/>
      <c r="R555" s="3133"/>
      <c r="S555" s="3133"/>
      <c r="T555" s="3133"/>
      <c r="U555" s="3133"/>
      <c r="V555" s="3133"/>
      <c r="W555" s="3133"/>
      <c r="X555" s="3133"/>
      <c r="Y555" s="3133"/>
      <c r="Z555" s="3133"/>
      <c r="AA555" s="3133"/>
      <c r="AB555" s="3133"/>
      <c r="AC555" s="3123">
        <f t="shared" si="329"/>
        <v>0</v>
      </c>
      <c r="AD555" s="3143"/>
      <c r="AE555" s="3143"/>
      <c r="AF555" s="3143"/>
      <c r="AG555" s="3143"/>
      <c r="AH555" s="3143"/>
      <c r="AI555" s="3143"/>
      <c r="AJ555" s="3143"/>
      <c r="AK555" s="3143"/>
      <c r="AL555" s="3143"/>
      <c r="AM555" s="3143"/>
      <c r="AN555" s="3143"/>
      <c r="AO555" s="3143"/>
      <c r="AP555" s="3143"/>
      <c r="AQ555" s="3143"/>
      <c r="AR555" s="3143"/>
      <c r="AS555" s="3143"/>
      <c r="AT555" s="3153"/>
      <c r="AU555" s="3154"/>
      <c r="AV555" s="270">
        <f t="shared" si="330"/>
        <v>0</v>
      </c>
      <c r="AW555" s="270">
        <f t="shared" si="331"/>
        <v>0</v>
      </c>
      <c r="AX555" s="270">
        <f t="shared" si="332"/>
        <v>0</v>
      </c>
      <c r="AY555" s="3168">
        <f t="shared" si="333"/>
        <v>0</v>
      </c>
      <c r="AZ555" s="3123">
        <f t="shared" si="334"/>
        <v>0</v>
      </c>
      <c r="BA555" s="3123">
        <f t="shared" si="335"/>
        <v>0</v>
      </c>
      <c r="BB555" s="3123">
        <f t="shared" si="336"/>
        <v>0</v>
      </c>
      <c r="BC555" s="3123">
        <f t="shared" si="337"/>
        <v>0</v>
      </c>
      <c r="BD555" s="3123">
        <f t="shared" si="338"/>
        <v>0</v>
      </c>
      <c r="BE555" s="3123">
        <f t="shared" si="339"/>
        <v>0</v>
      </c>
      <c r="BF555" s="3123">
        <f t="shared" si="340"/>
        <v>0</v>
      </c>
      <c r="BG555" s="3123">
        <f t="shared" si="341"/>
        <v>0</v>
      </c>
      <c r="BH555" s="3123">
        <f t="shared" si="342"/>
        <v>0</v>
      </c>
      <c r="BI555" s="3123">
        <f t="shared" si="343"/>
        <v>0</v>
      </c>
      <c r="BJ555" s="3123">
        <f t="shared" si="344"/>
        <v>0</v>
      </c>
      <c r="BK555" s="3123">
        <f t="shared" si="345"/>
        <v>0</v>
      </c>
      <c r="BL555" s="3123">
        <f t="shared" si="346"/>
        <v>0</v>
      </c>
      <c r="BM555" s="3123">
        <f t="shared" si="347"/>
        <v>0</v>
      </c>
      <c r="BN555" s="3123">
        <f t="shared" si="348"/>
        <v>0</v>
      </c>
      <c r="BO555" s="3123">
        <f t="shared" si="349"/>
        <v>0</v>
      </c>
      <c r="BP555" s="3123">
        <f t="shared" si="350"/>
        <v>0</v>
      </c>
      <c r="BQ555" s="3123">
        <f t="shared" si="351"/>
        <v>0</v>
      </c>
      <c r="BR555" s="3123">
        <f t="shared" si="352"/>
        <v>0</v>
      </c>
      <c r="BS555" s="3123">
        <f t="shared" si="353"/>
        <v>0</v>
      </c>
      <c r="BT555" s="3175">
        <f t="shared" si="354"/>
        <v>0</v>
      </c>
    </row>
    <row r="556" spans="1:72">
      <c r="A556" s="3120"/>
      <c r="B556" s="3121"/>
      <c r="C556" s="3121"/>
      <c r="D556" s="3122"/>
      <c r="E556" s="3123">
        <f t="shared" si="326"/>
        <v>0</v>
      </c>
      <c r="F556" s="3124"/>
      <c r="G556" s="3125">
        <f t="shared" si="327"/>
        <v>0</v>
      </c>
      <c r="H556" s="3126">
        <f t="shared" si="328"/>
        <v>0</v>
      </c>
      <c r="I556" s="3133"/>
      <c r="J556" s="3133"/>
      <c r="K556" s="3133"/>
      <c r="L556" s="3133"/>
      <c r="M556" s="3133"/>
      <c r="N556" s="3133"/>
      <c r="O556" s="3133"/>
      <c r="P556" s="3133"/>
      <c r="Q556" s="3133"/>
      <c r="R556" s="3133"/>
      <c r="S556" s="3133"/>
      <c r="T556" s="3133"/>
      <c r="U556" s="3133"/>
      <c r="V556" s="3133"/>
      <c r="W556" s="3133"/>
      <c r="X556" s="3133"/>
      <c r="Y556" s="3133"/>
      <c r="Z556" s="3133"/>
      <c r="AA556" s="3133"/>
      <c r="AB556" s="3133"/>
      <c r="AC556" s="3123">
        <f t="shared" si="329"/>
        <v>0</v>
      </c>
      <c r="AD556" s="3143"/>
      <c r="AE556" s="3143"/>
      <c r="AF556" s="3143"/>
      <c r="AG556" s="3143"/>
      <c r="AH556" s="3143"/>
      <c r="AI556" s="3143"/>
      <c r="AJ556" s="3143"/>
      <c r="AK556" s="3143"/>
      <c r="AL556" s="3143"/>
      <c r="AM556" s="3143"/>
      <c r="AN556" s="3143"/>
      <c r="AO556" s="3143"/>
      <c r="AP556" s="3143"/>
      <c r="AQ556" s="3143"/>
      <c r="AR556" s="3143"/>
      <c r="AS556" s="3143"/>
      <c r="AT556" s="3153"/>
      <c r="AU556" s="3154"/>
      <c r="AV556" s="270">
        <f t="shared" si="330"/>
        <v>0</v>
      </c>
      <c r="AW556" s="270">
        <f t="shared" si="331"/>
        <v>0</v>
      </c>
      <c r="AX556" s="270">
        <f t="shared" si="332"/>
        <v>0</v>
      </c>
      <c r="AY556" s="3168">
        <f t="shared" si="333"/>
        <v>0</v>
      </c>
      <c r="AZ556" s="3123">
        <f t="shared" si="334"/>
        <v>0</v>
      </c>
      <c r="BA556" s="3123">
        <f t="shared" si="335"/>
        <v>0</v>
      </c>
      <c r="BB556" s="3123">
        <f t="shared" si="336"/>
        <v>0</v>
      </c>
      <c r="BC556" s="3123">
        <f t="shared" si="337"/>
        <v>0</v>
      </c>
      <c r="BD556" s="3123">
        <f t="shared" si="338"/>
        <v>0</v>
      </c>
      <c r="BE556" s="3123">
        <f t="shared" si="339"/>
        <v>0</v>
      </c>
      <c r="BF556" s="3123">
        <f t="shared" si="340"/>
        <v>0</v>
      </c>
      <c r="BG556" s="3123">
        <f t="shared" si="341"/>
        <v>0</v>
      </c>
      <c r="BH556" s="3123">
        <f t="shared" si="342"/>
        <v>0</v>
      </c>
      <c r="BI556" s="3123">
        <f t="shared" si="343"/>
        <v>0</v>
      </c>
      <c r="BJ556" s="3123">
        <f t="shared" si="344"/>
        <v>0</v>
      </c>
      <c r="BK556" s="3123">
        <f t="shared" si="345"/>
        <v>0</v>
      </c>
      <c r="BL556" s="3123">
        <f t="shared" si="346"/>
        <v>0</v>
      </c>
      <c r="BM556" s="3123">
        <f t="shared" si="347"/>
        <v>0</v>
      </c>
      <c r="BN556" s="3123">
        <f t="shared" si="348"/>
        <v>0</v>
      </c>
      <c r="BO556" s="3123">
        <f t="shared" si="349"/>
        <v>0</v>
      </c>
      <c r="BP556" s="3123">
        <f t="shared" si="350"/>
        <v>0</v>
      </c>
      <c r="BQ556" s="3123">
        <f t="shared" si="351"/>
        <v>0</v>
      </c>
      <c r="BR556" s="3123">
        <f t="shared" si="352"/>
        <v>0</v>
      </c>
      <c r="BS556" s="3123">
        <f t="shared" si="353"/>
        <v>0</v>
      </c>
      <c r="BT556" s="3175">
        <f t="shared" si="354"/>
        <v>0</v>
      </c>
    </row>
    <row r="557" spans="1:72">
      <c r="A557" s="3120"/>
      <c r="B557" s="3121"/>
      <c r="C557" s="3121"/>
      <c r="D557" s="3122"/>
      <c r="E557" s="3123">
        <f t="shared" si="326"/>
        <v>0</v>
      </c>
      <c r="F557" s="3124"/>
      <c r="G557" s="3125">
        <f t="shared" si="327"/>
        <v>0</v>
      </c>
      <c r="H557" s="3126">
        <f t="shared" si="328"/>
        <v>0</v>
      </c>
      <c r="I557" s="3133"/>
      <c r="J557" s="3133"/>
      <c r="K557" s="3133"/>
      <c r="L557" s="3133"/>
      <c r="M557" s="3133"/>
      <c r="N557" s="3133"/>
      <c r="O557" s="3133"/>
      <c r="P557" s="3133"/>
      <c r="Q557" s="3133"/>
      <c r="R557" s="3133"/>
      <c r="S557" s="3133"/>
      <c r="T557" s="3133"/>
      <c r="U557" s="3133"/>
      <c r="V557" s="3133"/>
      <c r="W557" s="3133"/>
      <c r="X557" s="3133"/>
      <c r="Y557" s="3133"/>
      <c r="Z557" s="3133"/>
      <c r="AA557" s="3133"/>
      <c r="AB557" s="3133"/>
      <c r="AC557" s="3123">
        <f t="shared" si="329"/>
        <v>0</v>
      </c>
      <c r="AD557" s="3143"/>
      <c r="AE557" s="3143"/>
      <c r="AF557" s="3143"/>
      <c r="AG557" s="3143"/>
      <c r="AH557" s="3143"/>
      <c r="AI557" s="3143"/>
      <c r="AJ557" s="3143"/>
      <c r="AK557" s="3143"/>
      <c r="AL557" s="3143"/>
      <c r="AM557" s="3143"/>
      <c r="AN557" s="3143"/>
      <c r="AO557" s="3143"/>
      <c r="AP557" s="3143"/>
      <c r="AQ557" s="3143"/>
      <c r="AR557" s="3143"/>
      <c r="AS557" s="3143"/>
      <c r="AT557" s="3153"/>
      <c r="AU557" s="3154"/>
      <c r="AV557" s="270">
        <f t="shared" si="330"/>
        <v>0</v>
      </c>
      <c r="AW557" s="270">
        <f t="shared" si="331"/>
        <v>0</v>
      </c>
      <c r="AX557" s="270">
        <f t="shared" si="332"/>
        <v>0</v>
      </c>
      <c r="AY557" s="3168">
        <f t="shared" si="333"/>
        <v>0</v>
      </c>
      <c r="AZ557" s="3123">
        <f t="shared" si="334"/>
        <v>0</v>
      </c>
      <c r="BA557" s="3123">
        <f t="shared" si="335"/>
        <v>0</v>
      </c>
      <c r="BB557" s="3123">
        <f t="shared" si="336"/>
        <v>0</v>
      </c>
      <c r="BC557" s="3123">
        <f t="shared" si="337"/>
        <v>0</v>
      </c>
      <c r="BD557" s="3123">
        <f t="shared" si="338"/>
        <v>0</v>
      </c>
      <c r="BE557" s="3123">
        <f t="shared" si="339"/>
        <v>0</v>
      </c>
      <c r="BF557" s="3123">
        <f t="shared" si="340"/>
        <v>0</v>
      </c>
      <c r="BG557" s="3123">
        <f t="shared" si="341"/>
        <v>0</v>
      </c>
      <c r="BH557" s="3123">
        <f t="shared" si="342"/>
        <v>0</v>
      </c>
      <c r="BI557" s="3123">
        <f t="shared" si="343"/>
        <v>0</v>
      </c>
      <c r="BJ557" s="3123">
        <f t="shared" si="344"/>
        <v>0</v>
      </c>
      <c r="BK557" s="3123">
        <f t="shared" si="345"/>
        <v>0</v>
      </c>
      <c r="BL557" s="3123">
        <f t="shared" si="346"/>
        <v>0</v>
      </c>
      <c r="BM557" s="3123">
        <f t="shared" si="347"/>
        <v>0</v>
      </c>
      <c r="BN557" s="3123">
        <f t="shared" si="348"/>
        <v>0</v>
      </c>
      <c r="BO557" s="3123">
        <f t="shared" si="349"/>
        <v>0</v>
      </c>
      <c r="BP557" s="3123">
        <f t="shared" si="350"/>
        <v>0</v>
      </c>
      <c r="BQ557" s="3123">
        <f t="shared" si="351"/>
        <v>0</v>
      </c>
      <c r="BR557" s="3123">
        <f t="shared" si="352"/>
        <v>0</v>
      </c>
      <c r="BS557" s="3123">
        <f t="shared" si="353"/>
        <v>0</v>
      </c>
      <c r="BT557" s="3175">
        <f t="shared" si="354"/>
        <v>0</v>
      </c>
    </row>
    <row r="558" spans="1:72">
      <c r="A558" s="3120"/>
      <c r="B558" s="3121"/>
      <c r="C558" s="3121"/>
      <c r="D558" s="3122"/>
      <c r="E558" s="3123">
        <f t="shared" si="326"/>
        <v>0</v>
      </c>
      <c r="F558" s="3124"/>
      <c r="G558" s="3125">
        <f t="shared" si="327"/>
        <v>0</v>
      </c>
      <c r="H558" s="3126">
        <f t="shared" si="328"/>
        <v>0</v>
      </c>
      <c r="I558" s="3133"/>
      <c r="J558" s="3133"/>
      <c r="K558" s="3133"/>
      <c r="L558" s="3133"/>
      <c r="M558" s="3133"/>
      <c r="N558" s="3133"/>
      <c r="O558" s="3133"/>
      <c r="P558" s="3133"/>
      <c r="Q558" s="3133"/>
      <c r="R558" s="3133"/>
      <c r="S558" s="3133"/>
      <c r="T558" s="3133"/>
      <c r="U558" s="3133"/>
      <c r="V558" s="3133"/>
      <c r="W558" s="3133"/>
      <c r="X558" s="3133"/>
      <c r="Y558" s="3133"/>
      <c r="Z558" s="3133"/>
      <c r="AA558" s="3133"/>
      <c r="AB558" s="3133"/>
      <c r="AC558" s="3123">
        <f t="shared" si="329"/>
        <v>0</v>
      </c>
      <c r="AD558" s="3143"/>
      <c r="AE558" s="3143"/>
      <c r="AF558" s="3143"/>
      <c r="AG558" s="3143"/>
      <c r="AH558" s="3143"/>
      <c r="AI558" s="3143"/>
      <c r="AJ558" s="3143"/>
      <c r="AK558" s="3143"/>
      <c r="AL558" s="3143"/>
      <c r="AM558" s="3143"/>
      <c r="AN558" s="3143"/>
      <c r="AO558" s="3143"/>
      <c r="AP558" s="3143"/>
      <c r="AQ558" s="3143"/>
      <c r="AR558" s="3143"/>
      <c r="AS558" s="3143"/>
      <c r="AT558" s="3153"/>
      <c r="AU558" s="3154"/>
      <c r="AV558" s="270">
        <f t="shared" si="330"/>
        <v>0</v>
      </c>
      <c r="AW558" s="270">
        <f t="shared" si="331"/>
        <v>0</v>
      </c>
      <c r="AX558" s="270">
        <f t="shared" si="332"/>
        <v>0</v>
      </c>
      <c r="AY558" s="3168">
        <f t="shared" si="333"/>
        <v>0</v>
      </c>
      <c r="AZ558" s="3123">
        <f t="shared" si="334"/>
        <v>0</v>
      </c>
      <c r="BA558" s="3123">
        <f t="shared" si="335"/>
        <v>0</v>
      </c>
      <c r="BB558" s="3123">
        <f t="shared" si="336"/>
        <v>0</v>
      </c>
      <c r="BC558" s="3123">
        <f t="shared" si="337"/>
        <v>0</v>
      </c>
      <c r="BD558" s="3123">
        <f t="shared" si="338"/>
        <v>0</v>
      </c>
      <c r="BE558" s="3123">
        <f t="shared" si="339"/>
        <v>0</v>
      </c>
      <c r="BF558" s="3123">
        <f t="shared" si="340"/>
        <v>0</v>
      </c>
      <c r="BG558" s="3123">
        <f t="shared" si="341"/>
        <v>0</v>
      </c>
      <c r="BH558" s="3123">
        <f t="shared" si="342"/>
        <v>0</v>
      </c>
      <c r="BI558" s="3123">
        <f t="shared" si="343"/>
        <v>0</v>
      </c>
      <c r="BJ558" s="3123">
        <f t="shared" si="344"/>
        <v>0</v>
      </c>
      <c r="BK558" s="3123">
        <f t="shared" si="345"/>
        <v>0</v>
      </c>
      <c r="BL558" s="3123">
        <f t="shared" si="346"/>
        <v>0</v>
      </c>
      <c r="BM558" s="3123">
        <f t="shared" si="347"/>
        <v>0</v>
      </c>
      <c r="BN558" s="3123">
        <f t="shared" si="348"/>
        <v>0</v>
      </c>
      <c r="BO558" s="3123">
        <f t="shared" si="349"/>
        <v>0</v>
      </c>
      <c r="BP558" s="3123">
        <f t="shared" si="350"/>
        <v>0</v>
      </c>
      <c r="BQ558" s="3123">
        <f t="shared" si="351"/>
        <v>0</v>
      </c>
      <c r="BR558" s="3123">
        <f t="shared" si="352"/>
        <v>0</v>
      </c>
      <c r="BS558" s="3123">
        <f t="shared" si="353"/>
        <v>0</v>
      </c>
      <c r="BT558" s="3175">
        <f t="shared" si="354"/>
        <v>0</v>
      </c>
    </row>
    <row r="559" spans="1:72">
      <c r="A559" s="3120"/>
      <c r="B559" s="3121"/>
      <c r="C559" s="3121"/>
      <c r="D559" s="3122"/>
      <c r="E559" s="3123">
        <f t="shared" si="326"/>
        <v>0</v>
      </c>
      <c r="F559" s="3124"/>
      <c r="G559" s="3125">
        <f t="shared" si="327"/>
        <v>0</v>
      </c>
      <c r="H559" s="3126">
        <f t="shared" si="328"/>
        <v>0</v>
      </c>
      <c r="I559" s="3133"/>
      <c r="J559" s="3133"/>
      <c r="K559" s="3133"/>
      <c r="L559" s="3133"/>
      <c r="M559" s="3133"/>
      <c r="N559" s="3133"/>
      <c r="O559" s="3133"/>
      <c r="P559" s="3133"/>
      <c r="Q559" s="3133"/>
      <c r="R559" s="3133"/>
      <c r="S559" s="3133"/>
      <c r="T559" s="3133"/>
      <c r="U559" s="3133"/>
      <c r="V559" s="3133"/>
      <c r="W559" s="3133"/>
      <c r="X559" s="3133"/>
      <c r="Y559" s="3133"/>
      <c r="Z559" s="3133"/>
      <c r="AA559" s="3133"/>
      <c r="AB559" s="3133"/>
      <c r="AC559" s="3123">
        <f t="shared" si="329"/>
        <v>0</v>
      </c>
      <c r="AD559" s="3143"/>
      <c r="AE559" s="3143"/>
      <c r="AF559" s="3143"/>
      <c r="AG559" s="3143"/>
      <c r="AH559" s="3143"/>
      <c r="AI559" s="3143"/>
      <c r="AJ559" s="3143"/>
      <c r="AK559" s="3143"/>
      <c r="AL559" s="3143"/>
      <c r="AM559" s="3143"/>
      <c r="AN559" s="3143"/>
      <c r="AO559" s="3143"/>
      <c r="AP559" s="3143"/>
      <c r="AQ559" s="3143"/>
      <c r="AR559" s="3143"/>
      <c r="AS559" s="3143"/>
      <c r="AT559" s="3153"/>
      <c r="AU559" s="3154"/>
      <c r="AV559" s="270">
        <f t="shared" si="330"/>
        <v>0</v>
      </c>
      <c r="AW559" s="270">
        <f t="shared" si="331"/>
        <v>0</v>
      </c>
      <c r="AX559" s="270">
        <f t="shared" si="332"/>
        <v>0</v>
      </c>
      <c r="AY559" s="3168">
        <f t="shared" si="333"/>
        <v>0</v>
      </c>
      <c r="AZ559" s="3123">
        <f t="shared" si="334"/>
        <v>0</v>
      </c>
      <c r="BA559" s="3123">
        <f t="shared" si="335"/>
        <v>0</v>
      </c>
      <c r="BB559" s="3123">
        <f t="shared" si="336"/>
        <v>0</v>
      </c>
      <c r="BC559" s="3123">
        <f t="shared" si="337"/>
        <v>0</v>
      </c>
      <c r="BD559" s="3123">
        <f t="shared" si="338"/>
        <v>0</v>
      </c>
      <c r="BE559" s="3123">
        <f t="shared" si="339"/>
        <v>0</v>
      </c>
      <c r="BF559" s="3123">
        <f t="shared" si="340"/>
        <v>0</v>
      </c>
      <c r="BG559" s="3123">
        <f t="shared" si="341"/>
        <v>0</v>
      </c>
      <c r="BH559" s="3123">
        <f t="shared" si="342"/>
        <v>0</v>
      </c>
      <c r="BI559" s="3123">
        <f t="shared" si="343"/>
        <v>0</v>
      </c>
      <c r="BJ559" s="3123">
        <f t="shared" si="344"/>
        <v>0</v>
      </c>
      <c r="BK559" s="3123">
        <f t="shared" si="345"/>
        <v>0</v>
      </c>
      <c r="BL559" s="3123">
        <f t="shared" si="346"/>
        <v>0</v>
      </c>
      <c r="BM559" s="3123">
        <f t="shared" si="347"/>
        <v>0</v>
      </c>
      <c r="BN559" s="3123">
        <f t="shared" si="348"/>
        <v>0</v>
      </c>
      <c r="BO559" s="3123">
        <f t="shared" si="349"/>
        <v>0</v>
      </c>
      <c r="BP559" s="3123">
        <f t="shared" si="350"/>
        <v>0</v>
      </c>
      <c r="BQ559" s="3123">
        <f t="shared" si="351"/>
        <v>0</v>
      </c>
      <c r="BR559" s="3123">
        <f t="shared" si="352"/>
        <v>0</v>
      </c>
      <c r="BS559" s="3123">
        <f t="shared" si="353"/>
        <v>0</v>
      </c>
      <c r="BT559" s="3175">
        <f t="shared" si="354"/>
        <v>0</v>
      </c>
    </row>
    <row r="560" spans="1:72">
      <c r="A560" s="3120"/>
      <c r="B560" s="3121"/>
      <c r="C560" s="3121"/>
      <c r="D560" s="3122"/>
      <c r="E560" s="3123">
        <f t="shared" si="326"/>
        <v>0</v>
      </c>
      <c r="F560" s="3124"/>
      <c r="G560" s="3125">
        <f t="shared" si="327"/>
        <v>0</v>
      </c>
      <c r="H560" s="3126">
        <f t="shared" si="328"/>
        <v>0</v>
      </c>
      <c r="I560" s="3133"/>
      <c r="J560" s="3133"/>
      <c r="K560" s="3133"/>
      <c r="L560" s="3133"/>
      <c r="M560" s="3133"/>
      <c r="N560" s="3133"/>
      <c r="O560" s="3133"/>
      <c r="P560" s="3133"/>
      <c r="Q560" s="3133"/>
      <c r="R560" s="3133"/>
      <c r="S560" s="3133"/>
      <c r="T560" s="3133"/>
      <c r="U560" s="3133"/>
      <c r="V560" s="3133"/>
      <c r="W560" s="3133"/>
      <c r="X560" s="3133"/>
      <c r="Y560" s="3133"/>
      <c r="Z560" s="3133"/>
      <c r="AA560" s="3133"/>
      <c r="AB560" s="3133"/>
      <c r="AC560" s="3123">
        <f t="shared" si="329"/>
        <v>0</v>
      </c>
      <c r="AD560" s="3143"/>
      <c r="AE560" s="3143"/>
      <c r="AF560" s="3143"/>
      <c r="AG560" s="3143"/>
      <c r="AH560" s="3143"/>
      <c r="AI560" s="3143"/>
      <c r="AJ560" s="3143"/>
      <c r="AK560" s="3143"/>
      <c r="AL560" s="3143"/>
      <c r="AM560" s="3143"/>
      <c r="AN560" s="3143"/>
      <c r="AO560" s="3143"/>
      <c r="AP560" s="3143"/>
      <c r="AQ560" s="3143"/>
      <c r="AR560" s="3143"/>
      <c r="AS560" s="3143"/>
      <c r="AT560" s="3153"/>
      <c r="AU560" s="3154"/>
      <c r="AV560" s="270">
        <f t="shared" si="330"/>
        <v>0</v>
      </c>
      <c r="AW560" s="270">
        <f t="shared" si="331"/>
        <v>0</v>
      </c>
      <c r="AX560" s="270">
        <f t="shared" si="332"/>
        <v>0</v>
      </c>
      <c r="AY560" s="3168">
        <f t="shared" si="333"/>
        <v>0</v>
      </c>
      <c r="AZ560" s="3123">
        <f t="shared" si="334"/>
        <v>0</v>
      </c>
      <c r="BA560" s="3123">
        <f t="shared" si="335"/>
        <v>0</v>
      </c>
      <c r="BB560" s="3123">
        <f t="shared" si="336"/>
        <v>0</v>
      </c>
      <c r="BC560" s="3123">
        <f t="shared" si="337"/>
        <v>0</v>
      </c>
      <c r="BD560" s="3123">
        <f t="shared" si="338"/>
        <v>0</v>
      </c>
      <c r="BE560" s="3123">
        <f t="shared" si="339"/>
        <v>0</v>
      </c>
      <c r="BF560" s="3123">
        <f t="shared" si="340"/>
        <v>0</v>
      </c>
      <c r="BG560" s="3123">
        <f t="shared" si="341"/>
        <v>0</v>
      </c>
      <c r="BH560" s="3123">
        <f t="shared" si="342"/>
        <v>0</v>
      </c>
      <c r="BI560" s="3123">
        <f t="shared" si="343"/>
        <v>0</v>
      </c>
      <c r="BJ560" s="3123">
        <f t="shared" si="344"/>
        <v>0</v>
      </c>
      <c r="BK560" s="3123">
        <f t="shared" si="345"/>
        <v>0</v>
      </c>
      <c r="BL560" s="3123">
        <f t="shared" si="346"/>
        <v>0</v>
      </c>
      <c r="BM560" s="3123">
        <f t="shared" si="347"/>
        <v>0</v>
      </c>
      <c r="BN560" s="3123">
        <f t="shared" si="348"/>
        <v>0</v>
      </c>
      <c r="BO560" s="3123">
        <f t="shared" si="349"/>
        <v>0</v>
      </c>
      <c r="BP560" s="3123">
        <f t="shared" si="350"/>
        <v>0</v>
      </c>
      <c r="BQ560" s="3123">
        <f t="shared" si="351"/>
        <v>0</v>
      </c>
      <c r="BR560" s="3123">
        <f t="shared" si="352"/>
        <v>0</v>
      </c>
      <c r="BS560" s="3123">
        <f t="shared" si="353"/>
        <v>0</v>
      </c>
      <c r="BT560" s="3175">
        <f t="shared" si="354"/>
        <v>0</v>
      </c>
    </row>
    <row r="561" spans="1:72">
      <c r="A561" s="3120"/>
      <c r="B561" s="3121"/>
      <c r="C561" s="3121"/>
      <c r="D561" s="3122"/>
      <c r="E561" s="3123">
        <f t="shared" si="326"/>
        <v>0</v>
      </c>
      <c r="F561" s="3124"/>
      <c r="G561" s="3125">
        <f t="shared" si="327"/>
        <v>0</v>
      </c>
      <c r="H561" s="3126">
        <f t="shared" si="328"/>
        <v>0</v>
      </c>
      <c r="I561" s="3133"/>
      <c r="J561" s="3133"/>
      <c r="K561" s="3133"/>
      <c r="L561" s="3133"/>
      <c r="M561" s="3133"/>
      <c r="N561" s="3133"/>
      <c r="O561" s="3133"/>
      <c r="P561" s="3133"/>
      <c r="Q561" s="3133"/>
      <c r="R561" s="3133"/>
      <c r="S561" s="3133"/>
      <c r="T561" s="3133"/>
      <c r="U561" s="3133"/>
      <c r="V561" s="3133"/>
      <c r="W561" s="3133"/>
      <c r="X561" s="3133"/>
      <c r="Y561" s="3133"/>
      <c r="Z561" s="3133"/>
      <c r="AA561" s="3133"/>
      <c r="AB561" s="3133"/>
      <c r="AC561" s="3123">
        <f t="shared" si="329"/>
        <v>0</v>
      </c>
      <c r="AD561" s="3143"/>
      <c r="AE561" s="3143"/>
      <c r="AF561" s="3143"/>
      <c r="AG561" s="3143"/>
      <c r="AH561" s="3143"/>
      <c r="AI561" s="3143"/>
      <c r="AJ561" s="3143"/>
      <c r="AK561" s="3143"/>
      <c r="AL561" s="3143"/>
      <c r="AM561" s="3143"/>
      <c r="AN561" s="3143"/>
      <c r="AO561" s="3143"/>
      <c r="AP561" s="3143"/>
      <c r="AQ561" s="3143"/>
      <c r="AR561" s="3143"/>
      <c r="AS561" s="3143"/>
      <c r="AT561" s="3153"/>
      <c r="AU561" s="3154"/>
      <c r="AV561" s="270">
        <f t="shared" si="330"/>
        <v>0</v>
      </c>
      <c r="AW561" s="270">
        <f t="shared" si="331"/>
        <v>0</v>
      </c>
      <c r="AX561" s="270">
        <f t="shared" si="332"/>
        <v>0</v>
      </c>
      <c r="AY561" s="3168">
        <f t="shared" si="333"/>
        <v>0</v>
      </c>
      <c r="AZ561" s="3123">
        <f t="shared" si="334"/>
        <v>0</v>
      </c>
      <c r="BA561" s="3123">
        <f t="shared" si="335"/>
        <v>0</v>
      </c>
      <c r="BB561" s="3123">
        <f t="shared" si="336"/>
        <v>0</v>
      </c>
      <c r="BC561" s="3123">
        <f t="shared" si="337"/>
        <v>0</v>
      </c>
      <c r="BD561" s="3123">
        <f t="shared" si="338"/>
        <v>0</v>
      </c>
      <c r="BE561" s="3123">
        <f t="shared" si="339"/>
        <v>0</v>
      </c>
      <c r="BF561" s="3123">
        <f t="shared" si="340"/>
        <v>0</v>
      </c>
      <c r="BG561" s="3123">
        <f t="shared" si="341"/>
        <v>0</v>
      </c>
      <c r="BH561" s="3123">
        <f t="shared" si="342"/>
        <v>0</v>
      </c>
      <c r="BI561" s="3123">
        <f t="shared" si="343"/>
        <v>0</v>
      </c>
      <c r="BJ561" s="3123">
        <f t="shared" si="344"/>
        <v>0</v>
      </c>
      <c r="BK561" s="3123">
        <f t="shared" si="345"/>
        <v>0</v>
      </c>
      <c r="BL561" s="3123">
        <f t="shared" si="346"/>
        <v>0</v>
      </c>
      <c r="BM561" s="3123">
        <f t="shared" si="347"/>
        <v>0</v>
      </c>
      <c r="BN561" s="3123">
        <f t="shared" si="348"/>
        <v>0</v>
      </c>
      <c r="BO561" s="3123">
        <f t="shared" si="349"/>
        <v>0</v>
      </c>
      <c r="BP561" s="3123">
        <f t="shared" si="350"/>
        <v>0</v>
      </c>
      <c r="BQ561" s="3123">
        <f t="shared" si="351"/>
        <v>0</v>
      </c>
      <c r="BR561" s="3123">
        <f t="shared" si="352"/>
        <v>0</v>
      </c>
      <c r="BS561" s="3123">
        <f t="shared" si="353"/>
        <v>0</v>
      </c>
      <c r="BT561" s="3175">
        <f t="shared" si="354"/>
        <v>0</v>
      </c>
    </row>
    <row r="562" spans="1:72">
      <c r="A562" s="3120"/>
      <c r="B562" s="3121"/>
      <c r="C562" s="3121"/>
      <c r="D562" s="3122"/>
      <c r="E562" s="3123">
        <f t="shared" si="326"/>
        <v>0</v>
      </c>
      <c r="F562" s="3124"/>
      <c r="G562" s="3125">
        <f t="shared" si="327"/>
        <v>0</v>
      </c>
      <c r="H562" s="3126">
        <f t="shared" si="328"/>
        <v>0</v>
      </c>
      <c r="I562" s="3133"/>
      <c r="J562" s="3133"/>
      <c r="K562" s="3133"/>
      <c r="L562" s="3133"/>
      <c r="M562" s="3133"/>
      <c r="N562" s="3133"/>
      <c r="O562" s="3133"/>
      <c r="P562" s="3133"/>
      <c r="Q562" s="3133"/>
      <c r="R562" s="3133"/>
      <c r="S562" s="3133"/>
      <c r="T562" s="3133"/>
      <c r="U562" s="3133"/>
      <c r="V562" s="3133"/>
      <c r="W562" s="3133"/>
      <c r="X562" s="3133"/>
      <c r="Y562" s="3133"/>
      <c r="Z562" s="3133"/>
      <c r="AA562" s="3133"/>
      <c r="AB562" s="3133"/>
      <c r="AC562" s="3123">
        <f t="shared" si="329"/>
        <v>0</v>
      </c>
      <c r="AD562" s="3143"/>
      <c r="AE562" s="3143"/>
      <c r="AF562" s="3143"/>
      <c r="AG562" s="3143"/>
      <c r="AH562" s="3143"/>
      <c r="AI562" s="3143"/>
      <c r="AJ562" s="3143"/>
      <c r="AK562" s="3143"/>
      <c r="AL562" s="3143"/>
      <c r="AM562" s="3143"/>
      <c r="AN562" s="3143"/>
      <c r="AO562" s="3143"/>
      <c r="AP562" s="3143"/>
      <c r="AQ562" s="3143"/>
      <c r="AR562" s="3143"/>
      <c r="AS562" s="3143"/>
      <c r="AT562" s="3153"/>
      <c r="AU562" s="3154"/>
      <c r="AV562" s="270">
        <f t="shared" si="330"/>
        <v>0</v>
      </c>
      <c r="AW562" s="270">
        <f t="shared" si="331"/>
        <v>0</v>
      </c>
      <c r="AX562" s="270">
        <f t="shared" si="332"/>
        <v>0</v>
      </c>
      <c r="AY562" s="3168">
        <f t="shared" si="333"/>
        <v>0</v>
      </c>
      <c r="AZ562" s="3123">
        <f t="shared" si="334"/>
        <v>0</v>
      </c>
      <c r="BA562" s="3123">
        <f t="shared" si="335"/>
        <v>0</v>
      </c>
      <c r="BB562" s="3123">
        <f t="shared" si="336"/>
        <v>0</v>
      </c>
      <c r="BC562" s="3123">
        <f t="shared" si="337"/>
        <v>0</v>
      </c>
      <c r="BD562" s="3123">
        <f t="shared" si="338"/>
        <v>0</v>
      </c>
      <c r="BE562" s="3123">
        <f t="shared" si="339"/>
        <v>0</v>
      </c>
      <c r="BF562" s="3123">
        <f t="shared" si="340"/>
        <v>0</v>
      </c>
      <c r="BG562" s="3123">
        <f t="shared" si="341"/>
        <v>0</v>
      </c>
      <c r="BH562" s="3123">
        <f t="shared" si="342"/>
        <v>0</v>
      </c>
      <c r="BI562" s="3123">
        <f t="shared" si="343"/>
        <v>0</v>
      </c>
      <c r="BJ562" s="3123">
        <f t="shared" si="344"/>
        <v>0</v>
      </c>
      <c r="BK562" s="3123">
        <f t="shared" si="345"/>
        <v>0</v>
      </c>
      <c r="BL562" s="3123">
        <f t="shared" si="346"/>
        <v>0</v>
      </c>
      <c r="BM562" s="3123">
        <f t="shared" si="347"/>
        <v>0</v>
      </c>
      <c r="BN562" s="3123">
        <f t="shared" si="348"/>
        <v>0</v>
      </c>
      <c r="BO562" s="3123">
        <f t="shared" si="349"/>
        <v>0</v>
      </c>
      <c r="BP562" s="3123">
        <f t="shared" si="350"/>
        <v>0</v>
      </c>
      <c r="BQ562" s="3123">
        <f t="shared" si="351"/>
        <v>0</v>
      </c>
      <c r="BR562" s="3123">
        <f t="shared" si="352"/>
        <v>0</v>
      </c>
      <c r="BS562" s="3123">
        <f t="shared" si="353"/>
        <v>0</v>
      </c>
      <c r="BT562" s="3175">
        <f t="shared" si="354"/>
        <v>0</v>
      </c>
    </row>
    <row r="563" spans="1:72">
      <c r="A563" s="3120"/>
      <c r="B563" s="3121"/>
      <c r="C563" s="3121"/>
      <c r="D563" s="3122"/>
      <c r="E563" s="3123">
        <f t="shared" si="326"/>
        <v>0</v>
      </c>
      <c r="F563" s="3124"/>
      <c r="G563" s="3125">
        <f t="shared" si="327"/>
        <v>0</v>
      </c>
      <c r="H563" s="3126">
        <f t="shared" si="328"/>
        <v>0</v>
      </c>
      <c r="I563" s="3133"/>
      <c r="J563" s="3133"/>
      <c r="K563" s="3133"/>
      <c r="L563" s="3133"/>
      <c r="M563" s="3133"/>
      <c r="N563" s="3133"/>
      <c r="O563" s="3133"/>
      <c r="P563" s="3133"/>
      <c r="Q563" s="3133"/>
      <c r="R563" s="3133"/>
      <c r="S563" s="3133"/>
      <c r="T563" s="3133"/>
      <c r="U563" s="3133"/>
      <c r="V563" s="3133"/>
      <c r="W563" s="3133"/>
      <c r="X563" s="3133"/>
      <c r="Y563" s="3133"/>
      <c r="Z563" s="3133"/>
      <c r="AA563" s="3133"/>
      <c r="AB563" s="3133"/>
      <c r="AC563" s="3123">
        <f t="shared" si="329"/>
        <v>0</v>
      </c>
      <c r="AD563" s="3143"/>
      <c r="AE563" s="3143"/>
      <c r="AF563" s="3143"/>
      <c r="AG563" s="3143"/>
      <c r="AH563" s="3143"/>
      <c r="AI563" s="3143"/>
      <c r="AJ563" s="3143"/>
      <c r="AK563" s="3143"/>
      <c r="AL563" s="3143"/>
      <c r="AM563" s="3143"/>
      <c r="AN563" s="3143"/>
      <c r="AO563" s="3143"/>
      <c r="AP563" s="3143"/>
      <c r="AQ563" s="3143"/>
      <c r="AR563" s="3143"/>
      <c r="AS563" s="3143"/>
      <c r="AT563" s="3153"/>
      <c r="AU563" s="3154"/>
      <c r="AV563" s="270">
        <f t="shared" si="330"/>
        <v>0</v>
      </c>
      <c r="AW563" s="270">
        <f t="shared" si="331"/>
        <v>0</v>
      </c>
      <c r="AX563" s="270">
        <f t="shared" si="332"/>
        <v>0</v>
      </c>
      <c r="AY563" s="3168">
        <f t="shared" si="333"/>
        <v>0</v>
      </c>
      <c r="AZ563" s="3123">
        <f t="shared" si="334"/>
        <v>0</v>
      </c>
      <c r="BA563" s="3123">
        <f t="shared" si="335"/>
        <v>0</v>
      </c>
      <c r="BB563" s="3123">
        <f t="shared" si="336"/>
        <v>0</v>
      </c>
      <c r="BC563" s="3123">
        <f t="shared" si="337"/>
        <v>0</v>
      </c>
      <c r="BD563" s="3123">
        <f t="shared" si="338"/>
        <v>0</v>
      </c>
      <c r="BE563" s="3123">
        <f t="shared" si="339"/>
        <v>0</v>
      </c>
      <c r="BF563" s="3123">
        <f t="shared" si="340"/>
        <v>0</v>
      </c>
      <c r="BG563" s="3123">
        <f t="shared" si="341"/>
        <v>0</v>
      </c>
      <c r="BH563" s="3123">
        <f t="shared" si="342"/>
        <v>0</v>
      </c>
      <c r="BI563" s="3123">
        <f t="shared" si="343"/>
        <v>0</v>
      </c>
      <c r="BJ563" s="3123">
        <f t="shared" si="344"/>
        <v>0</v>
      </c>
      <c r="BK563" s="3123">
        <f t="shared" si="345"/>
        <v>0</v>
      </c>
      <c r="BL563" s="3123">
        <f t="shared" si="346"/>
        <v>0</v>
      </c>
      <c r="BM563" s="3123">
        <f t="shared" si="347"/>
        <v>0</v>
      </c>
      <c r="BN563" s="3123">
        <f t="shared" si="348"/>
        <v>0</v>
      </c>
      <c r="BO563" s="3123">
        <f t="shared" si="349"/>
        <v>0</v>
      </c>
      <c r="BP563" s="3123">
        <f t="shared" si="350"/>
        <v>0</v>
      </c>
      <c r="BQ563" s="3123">
        <f t="shared" si="351"/>
        <v>0</v>
      </c>
      <c r="BR563" s="3123">
        <f t="shared" si="352"/>
        <v>0</v>
      </c>
      <c r="BS563" s="3123">
        <f t="shared" si="353"/>
        <v>0</v>
      </c>
      <c r="BT563" s="3175">
        <f t="shared" si="354"/>
        <v>0</v>
      </c>
    </row>
    <row r="564" spans="1:72">
      <c r="A564" s="3120"/>
      <c r="B564" s="3121"/>
      <c r="C564" s="3121"/>
      <c r="D564" s="3122"/>
      <c r="E564" s="3123">
        <f t="shared" si="326"/>
        <v>0</v>
      </c>
      <c r="F564" s="3124"/>
      <c r="G564" s="3125">
        <f t="shared" si="327"/>
        <v>0</v>
      </c>
      <c r="H564" s="3126">
        <f t="shared" si="328"/>
        <v>0</v>
      </c>
      <c r="I564" s="3133"/>
      <c r="J564" s="3133"/>
      <c r="K564" s="3133"/>
      <c r="L564" s="3133"/>
      <c r="M564" s="3133"/>
      <c r="N564" s="3133"/>
      <c r="O564" s="3133"/>
      <c r="P564" s="3133"/>
      <c r="Q564" s="3133"/>
      <c r="R564" s="3133"/>
      <c r="S564" s="3133"/>
      <c r="T564" s="3133"/>
      <c r="U564" s="3133"/>
      <c r="V564" s="3133"/>
      <c r="W564" s="3133"/>
      <c r="X564" s="3133"/>
      <c r="Y564" s="3133"/>
      <c r="Z564" s="3133"/>
      <c r="AA564" s="3133"/>
      <c r="AB564" s="3133"/>
      <c r="AC564" s="3123">
        <f t="shared" si="329"/>
        <v>0</v>
      </c>
      <c r="AD564" s="3143"/>
      <c r="AE564" s="3143"/>
      <c r="AF564" s="3143"/>
      <c r="AG564" s="3143"/>
      <c r="AH564" s="3143"/>
      <c r="AI564" s="3143"/>
      <c r="AJ564" s="3143"/>
      <c r="AK564" s="3143"/>
      <c r="AL564" s="3143"/>
      <c r="AM564" s="3143"/>
      <c r="AN564" s="3143"/>
      <c r="AO564" s="3143"/>
      <c r="AP564" s="3143"/>
      <c r="AQ564" s="3143"/>
      <c r="AR564" s="3143"/>
      <c r="AS564" s="3143"/>
      <c r="AT564" s="3153"/>
      <c r="AU564" s="3154"/>
      <c r="AV564" s="270">
        <f t="shared" si="330"/>
        <v>0</v>
      </c>
      <c r="AW564" s="270">
        <f t="shared" si="331"/>
        <v>0</v>
      </c>
      <c r="AX564" s="270">
        <f t="shared" si="332"/>
        <v>0</v>
      </c>
      <c r="AY564" s="3168">
        <f t="shared" si="333"/>
        <v>0</v>
      </c>
      <c r="AZ564" s="3123">
        <f t="shared" si="334"/>
        <v>0</v>
      </c>
      <c r="BA564" s="3123">
        <f t="shared" si="335"/>
        <v>0</v>
      </c>
      <c r="BB564" s="3123">
        <f t="shared" si="336"/>
        <v>0</v>
      </c>
      <c r="BC564" s="3123">
        <f t="shared" si="337"/>
        <v>0</v>
      </c>
      <c r="BD564" s="3123">
        <f t="shared" si="338"/>
        <v>0</v>
      </c>
      <c r="BE564" s="3123">
        <f t="shared" si="339"/>
        <v>0</v>
      </c>
      <c r="BF564" s="3123">
        <f t="shared" si="340"/>
        <v>0</v>
      </c>
      <c r="BG564" s="3123">
        <f t="shared" si="341"/>
        <v>0</v>
      </c>
      <c r="BH564" s="3123">
        <f t="shared" si="342"/>
        <v>0</v>
      </c>
      <c r="BI564" s="3123">
        <f t="shared" si="343"/>
        <v>0</v>
      </c>
      <c r="BJ564" s="3123">
        <f t="shared" si="344"/>
        <v>0</v>
      </c>
      <c r="BK564" s="3123">
        <f t="shared" si="345"/>
        <v>0</v>
      </c>
      <c r="BL564" s="3123">
        <f t="shared" si="346"/>
        <v>0</v>
      </c>
      <c r="BM564" s="3123">
        <f t="shared" si="347"/>
        <v>0</v>
      </c>
      <c r="BN564" s="3123">
        <f t="shared" si="348"/>
        <v>0</v>
      </c>
      <c r="BO564" s="3123">
        <f t="shared" si="349"/>
        <v>0</v>
      </c>
      <c r="BP564" s="3123">
        <f t="shared" si="350"/>
        <v>0</v>
      </c>
      <c r="BQ564" s="3123">
        <f t="shared" si="351"/>
        <v>0</v>
      </c>
      <c r="BR564" s="3123">
        <f t="shared" si="352"/>
        <v>0</v>
      </c>
      <c r="BS564" s="3123">
        <f t="shared" si="353"/>
        <v>0</v>
      </c>
      <c r="BT564" s="3175">
        <f t="shared" si="354"/>
        <v>0</v>
      </c>
    </row>
    <row r="565" spans="1:72">
      <c r="A565" s="3120"/>
      <c r="B565" s="3121"/>
      <c r="C565" s="3121"/>
      <c r="D565" s="3122"/>
      <c r="E565" s="3123">
        <f t="shared" si="326"/>
        <v>0</v>
      </c>
      <c r="F565" s="3124"/>
      <c r="G565" s="3125">
        <f t="shared" si="327"/>
        <v>0</v>
      </c>
      <c r="H565" s="3126">
        <f t="shared" si="328"/>
        <v>0</v>
      </c>
      <c r="I565" s="3133"/>
      <c r="J565" s="3133"/>
      <c r="K565" s="3133"/>
      <c r="L565" s="3133"/>
      <c r="M565" s="3133"/>
      <c r="N565" s="3133"/>
      <c r="O565" s="3133"/>
      <c r="P565" s="3133"/>
      <c r="Q565" s="3133"/>
      <c r="R565" s="3133"/>
      <c r="S565" s="3133"/>
      <c r="T565" s="3133"/>
      <c r="U565" s="3133"/>
      <c r="V565" s="3133"/>
      <c r="W565" s="3133"/>
      <c r="X565" s="3133"/>
      <c r="Y565" s="3133"/>
      <c r="Z565" s="3133"/>
      <c r="AA565" s="3133"/>
      <c r="AB565" s="3133"/>
      <c r="AC565" s="3123">
        <f t="shared" si="329"/>
        <v>0</v>
      </c>
      <c r="AD565" s="3143"/>
      <c r="AE565" s="3143"/>
      <c r="AF565" s="3143"/>
      <c r="AG565" s="3143"/>
      <c r="AH565" s="3143"/>
      <c r="AI565" s="3143"/>
      <c r="AJ565" s="3143"/>
      <c r="AK565" s="3143"/>
      <c r="AL565" s="3143"/>
      <c r="AM565" s="3143"/>
      <c r="AN565" s="3143"/>
      <c r="AO565" s="3143"/>
      <c r="AP565" s="3143"/>
      <c r="AQ565" s="3143"/>
      <c r="AR565" s="3143"/>
      <c r="AS565" s="3143"/>
      <c r="AT565" s="3153"/>
      <c r="AU565" s="3154"/>
      <c r="AV565" s="270">
        <f t="shared" si="330"/>
        <v>0</v>
      </c>
      <c r="AW565" s="270">
        <f t="shared" si="331"/>
        <v>0</v>
      </c>
      <c r="AX565" s="270">
        <f t="shared" si="332"/>
        <v>0</v>
      </c>
      <c r="AY565" s="3168">
        <f t="shared" si="333"/>
        <v>0</v>
      </c>
      <c r="AZ565" s="3123">
        <f t="shared" si="334"/>
        <v>0</v>
      </c>
      <c r="BA565" s="3123">
        <f t="shared" si="335"/>
        <v>0</v>
      </c>
      <c r="BB565" s="3123">
        <f t="shared" si="336"/>
        <v>0</v>
      </c>
      <c r="BC565" s="3123">
        <f t="shared" si="337"/>
        <v>0</v>
      </c>
      <c r="BD565" s="3123">
        <f t="shared" si="338"/>
        <v>0</v>
      </c>
      <c r="BE565" s="3123">
        <f t="shared" si="339"/>
        <v>0</v>
      </c>
      <c r="BF565" s="3123">
        <f t="shared" si="340"/>
        <v>0</v>
      </c>
      <c r="BG565" s="3123">
        <f t="shared" si="341"/>
        <v>0</v>
      </c>
      <c r="BH565" s="3123">
        <f t="shared" si="342"/>
        <v>0</v>
      </c>
      <c r="BI565" s="3123">
        <f t="shared" si="343"/>
        <v>0</v>
      </c>
      <c r="BJ565" s="3123">
        <f t="shared" si="344"/>
        <v>0</v>
      </c>
      <c r="BK565" s="3123">
        <f t="shared" si="345"/>
        <v>0</v>
      </c>
      <c r="BL565" s="3123">
        <f t="shared" si="346"/>
        <v>0</v>
      </c>
      <c r="BM565" s="3123">
        <f t="shared" si="347"/>
        <v>0</v>
      </c>
      <c r="BN565" s="3123">
        <f t="shared" si="348"/>
        <v>0</v>
      </c>
      <c r="BO565" s="3123">
        <f t="shared" si="349"/>
        <v>0</v>
      </c>
      <c r="BP565" s="3123">
        <f t="shared" si="350"/>
        <v>0</v>
      </c>
      <c r="BQ565" s="3123">
        <f t="shared" si="351"/>
        <v>0</v>
      </c>
      <c r="BR565" s="3123">
        <f t="shared" si="352"/>
        <v>0</v>
      </c>
      <c r="BS565" s="3123">
        <f t="shared" si="353"/>
        <v>0</v>
      </c>
      <c r="BT565" s="3175">
        <f t="shared" si="354"/>
        <v>0</v>
      </c>
    </row>
    <row r="566" spans="1:72">
      <c r="A566" s="3120"/>
      <c r="B566" s="3121"/>
      <c r="C566" s="3121"/>
      <c r="D566" s="3122"/>
      <c r="E566" s="3123">
        <f t="shared" si="326"/>
        <v>0</v>
      </c>
      <c r="F566" s="3124"/>
      <c r="G566" s="3125">
        <f t="shared" si="327"/>
        <v>0</v>
      </c>
      <c r="H566" s="3126">
        <f t="shared" si="328"/>
        <v>0</v>
      </c>
      <c r="I566" s="3133"/>
      <c r="J566" s="3133"/>
      <c r="K566" s="3133"/>
      <c r="L566" s="3133"/>
      <c r="M566" s="3133"/>
      <c r="N566" s="3133"/>
      <c r="O566" s="3133"/>
      <c r="P566" s="3133"/>
      <c r="Q566" s="3133"/>
      <c r="R566" s="3133"/>
      <c r="S566" s="3133"/>
      <c r="T566" s="3133"/>
      <c r="U566" s="3133"/>
      <c r="V566" s="3133"/>
      <c r="W566" s="3133"/>
      <c r="X566" s="3133"/>
      <c r="Y566" s="3133"/>
      <c r="Z566" s="3133"/>
      <c r="AA566" s="3133"/>
      <c r="AB566" s="3133"/>
      <c r="AC566" s="3123">
        <f t="shared" si="329"/>
        <v>0</v>
      </c>
      <c r="AD566" s="3143"/>
      <c r="AE566" s="3143"/>
      <c r="AF566" s="3143"/>
      <c r="AG566" s="3143"/>
      <c r="AH566" s="3143"/>
      <c r="AI566" s="3143"/>
      <c r="AJ566" s="3143"/>
      <c r="AK566" s="3143"/>
      <c r="AL566" s="3143"/>
      <c r="AM566" s="3143"/>
      <c r="AN566" s="3143"/>
      <c r="AO566" s="3143"/>
      <c r="AP566" s="3143"/>
      <c r="AQ566" s="3143"/>
      <c r="AR566" s="3143"/>
      <c r="AS566" s="3143"/>
      <c r="AT566" s="3153"/>
      <c r="AU566" s="3154"/>
      <c r="AV566" s="270">
        <f t="shared" si="330"/>
        <v>0</v>
      </c>
      <c r="AW566" s="270">
        <f t="shared" si="331"/>
        <v>0</v>
      </c>
      <c r="AX566" s="270">
        <f t="shared" si="332"/>
        <v>0</v>
      </c>
      <c r="AY566" s="3168">
        <f t="shared" si="333"/>
        <v>0</v>
      </c>
      <c r="AZ566" s="3123">
        <f t="shared" si="334"/>
        <v>0</v>
      </c>
      <c r="BA566" s="3123">
        <f t="shared" si="335"/>
        <v>0</v>
      </c>
      <c r="BB566" s="3123">
        <f t="shared" si="336"/>
        <v>0</v>
      </c>
      <c r="BC566" s="3123">
        <f t="shared" si="337"/>
        <v>0</v>
      </c>
      <c r="BD566" s="3123">
        <f t="shared" si="338"/>
        <v>0</v>
      </c>
      <c r="BE566" s="3123">
        <f t="shared" si="339"/>
        <v>0</v>
      </c>
      <c r="BF566" s="3123">
        <f t="shared" si="340"/>
        <v>0</v>
      </c>
      <c r="BG566" s="3123">
        <f t="shared" si="341"/>
        <v>0</v>
      </c>
      <c r="BH566" s="3123">
        <f t="shared" si="342"/>
        <v>0</v>
      </c>
      <c r="BI566" s="3123">
        <f t="shared" si="343"/>
        <v>0</v>
      </c>
      <c r="BJ566" s="3123">
        <f t="shared" si="344"/>
        <v>0</v>
      </c>
      <c r="BK566" s="3123">
        <f t="shared" si="345"/>
        <v>0</v>
      </c>
      <c r="BL566" s="3123">
        <f t="shared" si="346"/>
        <v>0</v>
      </c>
      <c r="BM566" s="3123">
        <f t="shared" si="347"/>
        <v>0</v>
      </c>
      <c r="BN566" s="3123">
        <f t="shared" si="348"/>
        <v>0</v>
      </c>
      <c r="BO566" s="3123">
        <f t="shared" si="349"/>
        <v>0</v>
      </c>
      <c r="BP566" s="3123">
        <f t="shared" si="350"/>
        <v>0</v>
      </c>
      <c r="BQ566" s="3123">
        <f t="shared" si="351"/>
        <v>0</v>
      </c>
      <c r="BR566" s="3123">
        <f t="shared" si="352"/>
        <v>0</v>
      </c>
      <c r="BS566" s="3123">
        <f t="shared" si="353"/>
        <v>0</v>
      </c>
      <c r="BT566" s="3175">
        <f t="shared" si="354"/>
        <v>0</v>
      </c>
    </row>
    <row r="567" spans="1:72">
      <c r="A567" s="3120"/>
      <c r="B567" s="3121"/>
      <c r="C567" s="3121"/>
      <c r="D567" s="3122"/>
      <c r="E567" s="3123">
        <f t="shared" si="326"/>
        <v>0</v>
      </c>
      <c r="F567" s="3124"/>
      <c r="G567" s="3125">
        <f t="shared" si="327"/>
        <v>0</v>
      </c>
      <c r="H567" s="3126">
        <f t="shared" si="328"/>
        <v>0</v>
      </c>
      <c r="I567" s="3133"/>
      <c r="J567" s="3133"/>
      <c r="K567" s="3133"/>
      <c r="L567" s="3133"/>
      <c r="M567" s="3133"/>
      <c r="N567" s="3133"/>
      <c r="O567" s="3133"/>
      <c r="P567" s="3133"/>
      <c r="Q567" s="3133"/>
      <c r="R567" s="3133"/>
      <c r="S567" s="3133"/>
      <c r="T567" s="3133"/>
      <c r="U567" s="3133"/>
      <c r="V567" s="3133"/>
      <c r="W567" s="3133"/>
      <c r="X567" s="3133"/>
      <c r="Y567" s="3133"/>
      <c r="Z567" s="3133"/>
      <c r="AA567" s="3133"/>
      <c r="AB567" s="3133"/>
      <c r="AC567" s="3123">
        <f t="shared" si="329"/>
        <v>0</v>
      </c>
      <c r="AD567" s="3143"/>
      <c r="AE567" s="3143"/>
      <c r="AF567" s="3143"/>
      <c r="AG567" s="3143"/>
      <c r="AH567" s="3143"/>
      <c r="AI567" s="3143"/>
      <c r="AJ567" s="3143"/>
      <c r="AK567" s="3143"/>
      <c r="AL567" s="3143"/>
      <c r="AM567" s="3143"/>
      <c r="AN567" s="3143"/>
      <c r="AO567" s="3143"/>
      <c r="AP567" s="3143"/>
      <c r="AQ567" s="3143"/>
      <c r="AR567" s="3143"/>
      <c r="AS567" s="3143"/>
      <c r="AT567" s="3153"/>
      <c r="AU567" s="3154"/>
      <c r="AV567" s="270">
        <f t="shared" si="330"/>
        <v>0</v>
      </c>
      <c r="AW567" s="270">
        <f t="shared" si="331"/>
        <v>0</v>
      </c>
      <c r="AX567" s="270">
        <f t="shared" si="332"/>
        <v>0</v>
      </c>
      <c r="AY567" s="3168">
        <f t="shared" si="333"/>
        <v>0</v>
      </c>
      <c r="AZ567" s="3123">
        <f t="shared" si="334"/>
        <v>0</v>
      </c>
      <c r="BA567" s="3123">
        <f t="shared" si="335"/>
        <v>0</v>
      </c>
      <c r="BB567" s="3123">
        <f t="shared" si="336"/>
        <v>0</v>
      </c>
      <c r="BC567" s="3123">
        <f t="shared" si="337"/>
        <v>0</v>
      </c>
      <c r="BD567" s="3123">
        <f t="shared" si="338"/>
        <v>0</v>
      </c>
      <c r="BE567" s="3123">
        <f t="shared" si="339"/>
        <v>0</v>
      </c>
      <c r="BF567" s="3123">
        <f t="shared" si="340"/>
        <v>0</v>
      </c>
      <c r="BG567" s="3123">
        <f t="shared" si="341"/>
        <v>0</v>
      </c>
      <c r="BH567" s="3123">
        <f t="shared" si="342"/>
        <v>0</v>
      </c>
      <c r="BI567" s="3123">
        <f t="shared" si="343"/>
        <v>0</v>
      </c>
      <c r="BJ567" s="3123">
        <f t="shared" si="344"/>
        <v>0</v>
      </c>
      <c r="BK567" s="3123">
        <f t="shared" si="345"/>
        <v>0</v>
      </c>
      <c r="BL567" s="3123">
        <f t="shared" si="346"/>
        <v>0</v>
      </c>
      <c r="BM567" s="3123">
        <f t="shared" si="347"/>
        <v>0</v>
      </c>
      <c r="BN567" s="3123">
        <f t="shared" si="348"/>
        <v>0</v>
      </c>
      <c r="BO567" s="3123">
        <f t="shared" si="349"/>
        <v>0</v>
      </c>
      <c r="BP567" s="3123">
        <f t="shared" si="350"/>
        <v>0</v>
      </c>
      <c r="BQ567" s="3123">
        <f t="shared" si="351"/>
        <v>0</v>
      </c>
      <c r="BR567" s="3123">
        <f t="shared" si="352"/>
        <v>0</v>
      </c>
      <c r="BS567" s="3123">
        <f t="shared" si="353"/>
        <v>0</v>
      </c>
      <c r="BT567" s="3175">
        <f t="shared" si="354"/>
        <v>0</v>
      </c>
    </row>
    <row r="568" spans="1:72">
      <c r="A568" s="3120"/>
      <c r="B568" s="3121"/>
      <c r="C568" s="3121"/>
      <c r="D568" s="3122"/>
      <c r="E568" s="3123">
        <f t="shared" si="326"/>
        <v>0</v>
      </c>
      <c r="F568" s="3124"/>
      <c r="G568" s="3125">
        <f t="shared" si="327"/>
        <v>0</v>
      </c>
      <c r="H568" s="3126">
        <f t="shared" si="328"/>
        <v>0</v>
      </c>
      <c r="I568" s="3133"/>
      <c r="J568" s="3133"/>
      <c r="K568" s="3133"/>
      <c r="L568" s="3133"/>
      <c r="M568" s="3133"/>
      <c r="N568" s="3133"/>
      <c r="O568" s="3133"/>
      <c r="P568" s="3133"/>
      <c r="Q568" s="3133"/>
      <c r="R568" s="3133"/>
      <c r="S568" s="3133"/>
      <c r="T568" s="3133"/>
      <c r="U568" s="3133"/>
      <c r="V568" s="3133"/>
      <c r="W568" s="3133"/>
      <c r="X568" s="3133"/>
      <c r="Y568" s="3133"/>
      <c r="Z568" s="3133"/>
      <c r="AA568" s="3133"/>
      <c r="AB568" s="3133"/>
      <c r="AC568" s="3123">
        <f t="shared" si="329"/>
        <v>0</v>
      </c>
      <c r="AD568" s="3143"/>
      <c r="AE568" s="3143"/>
      <c r="AF568" s="3143"/>
      <c r="AG568" s="3143"/>
      <c r="AH568" s="3143"/>
      <c r="AI568" s="3143"/>
      <c r="AJ568" s="3143"/>
      <c r="AK568" s="3143"/>
      <c r="AL568" s="3143"/>
      <c r="AM568" s="3143"/>
      <c r="AN568" s="3143"/>
      <c r="AO568" s="3143"/>
      <c r="AP568" s="3143"/>
      <c r="AQ568" s="3143"/>
      <c r="AR568" s="3143"/>
      <c r="AS568" s="3143"/>
      <c r="AT568" s="3153"/>
      <c r="AU568" s="3154"/>
      <c r="AV568" s="270">
        <f t="shared" si="330"/>
        <v>0</v>
      </c>
      <c r="AW568" s="270">
        <f t="shared" si="331"/>
        <v>0</v>
      </c>
      <c r="AX568" s="270">
        <f t="shared" si="332"/>
        <v>0</v>
      </c>
      <c r="AY568" s="3168">
        <f t="shared" si="333"/>
        <v>0</v>
      </c>
      <c r="AZ568" s="3123">
        <f t="shared" si="334"/>
        <v>0</v>
      </c>
      <c r="BA568" s="3123">
        <f t="shared" si="335"/>
        <v>0</v>
      </c>
      <c r="BB568" s="3123">
        <f t="shared" si="336"/>
        <v>0</v>
      </c>
      <c r="BC568" s="3123">
        <f t="shared" si="337"/>
        <v>0</v>
      </c>
      <c r="BD568" s="3123">
        <f t="shared" si="338"/>
        <v>0</v>
      </c>
      <c r="BE568" s="3123">
        <f t="shared" si="339"/>
        <v>0</v>
      </c>
      <c r="BF568" s="3123">
        <f t="shared" si="340"/>
        <v>0</v>
      </c>
      <c r="BG568" s="3123">
        <f t="shared" si="341"/>
        <v>0</v>
      </c>
      <c r="BH568" s="3123">
        <f t="shared" si="342"/>
        <v>0</v>
      </c>
      <c r="BI568" s="3123">
        <f t="shared" si="343"/>
        <v>0</v>
      </c>
      <c r="BJ568" s="3123">
        <f t="shared" si="344"/>
        <v>0</v>
      </c>
      <c r="BK568" s="3123">
        <f t="shared" si="345"/>
        <v>0</v>
      </c>
      <c r="BL568" s="3123">
        <f t="shared" si="346"/>
        <v>0</v>
      </c>
      <c r="BM568" s="3123">
        <f t="shared" si="347"/>
        <v>0</v>
      </c>
      <c r="BN568" s="3123">
        <f t="shared" si="348"/>
        <v>0</v>
      </c>
      <c r="BO568" s="3123">
        <f t="shared" si="349"/>
        <v>0</v>
      </c>
      <c r="BP568" s="3123">
        <f t="shared" si="350"/>
        <v>0</v>
      </c>
      <c r="BQ568" s="3123">
        <f t="shared" si="351"/>
        <v>0</v>
      </c>
      <c r="BR568" s="3123">
        <f t="shared" si="352"/>
        <v>0</v>
      </c>
      <c r="BS568" s="3123">
        <f t="shared" si="353"/>
        <v>0</v>
      </c>
      <c r="BT568" s="3175">
        <f t="shared" si="354"/>
        <v>0</v>
      </c>
    </row>
    <row r="569" spans="1:72">
      <c r="A569" s="3120"/>
      <c r="B569" s="3121"/>
      <c r="C569" s="3121"/>
      <c r="D569" s="3122"/>
      <c r="E569" s="3123">
        <f t="shared" si="326"/>
        <v>0</v>
      </c>
      <c r="F569" s="3124"/>
      <c r="G569" s="3125">
        <f t="shared" si="327"/>
        <v>0</v>
      </c>
      <c r="H569" s="3126">
        <f t="shared" si="328"/>
        <v>0</v>
      </c>
      <c r="I569" s="3133"/>
      <c r="J569" s="3133"/>
      <c r="K569" s="3133"/>
      <c r="L569" s="3133"/>
      <c r="M569" s="3133"/>
      <c r="N569" s="3133"/>
      <c r="O569" s="3133"/>
      <c r="P569" s="3133"/>
      <c r="Q569" s="3133"/>
      <c r="R569" s="3133"/>
      <c r="S569" s="3133"/>
      <c r="T569" s="3133"/>
      <c r="U569" s="3133"/>
      <c r="V569" s="3133"/>
      <c r="W569" s="3133"/>
      <c r="X569" s="3133"/>
      <c r="Y569" s="3133"/>
      <c r="Z569" s="3133"/>
      <c r="AA569" s="3133"/>
      <c r="AB569" s="3133"/>
      <c r="AC569" s="3123">
        <f t="shared" si="329"/>
        <v>0</v>
      </c>
      <c r="AD569" s="3143"/>
      <c r="AE569" s="3143"/>
      <c r="AF569" s="3143"/>
      <c r="AG569" s="3143"/>
      <c r="AH569" s="3143"/>
      <c r="AI569" s="3143"/>
      <c r="AJ569" s="3143"/>
      <c r="AK569" s="3143"/>
      <c r="AL569" s="3143"/>
      <c r="AM569" s="3143"/>
      <c r="AN569" s="3143"/>
      <c r="AO569" s="3143"/>
      <c r="AP569" s="3143"/>
      <c r="AQ569" s="3143"/>
      <c r="AR569" s="3143"/>
      <c r="AS569" s="3143"/>
      <c r="AT569" s="3153"/>
      <c r="AU569" s="3154"/>
      <c r="AV569" s="270">
        <f t="shared" si="330"/>
        <v>0</v>
      </c>
      <c r="AW569" s="270">
        <f t="shared" si="331"/>
        <v>0</v>
      </c>
      <c r="AX569" s="270">
        <f t="shared" si="332"/>
        <v>0</v>
      </c>
      <c r="AY569" s="3168">
        <f t="shared" si="333"/>
        <v>0</v>
      </c>
      <c r="AZ569" s="3123">
        <f t="shared" si="334"/>
        <v>0</v>
      </c>
      <c r="BA569" s="3123">
        <f t="shared" si="335"/>
        <v>0</v>
      </c>
      <c r="BB569" s="3123">
        <f t="shared" si="336"/>
        <v>0</v>
      </c>
      <c r="BC569" s="3123">
        <f t="shared" si="337"/>
        <v>0</v>
      </c>
      <c r="BD569" s="3123">
        <f t="shared" si="338"/>
        <v>0</v>
      </c>
      <c r="BE569" s="3123">
        <f t="shared" si="339"/>
        <v>0</v>
      </c>
      <c r="BF569" s="3123">
        <f t="shared" si="340"/>
        <v>0</v>
      </c>
      <c r="BG569" s="3123">
        <f t="shared" si="341"/>
        <v>0</v>
      </c>
      <c r="BH569" s="3123">
        <f t="shared" si="342"/>
        <v>0</v>
      </c>
      <c r="BI569" s="3123">
        <f t="shared" si="343"/>
        <v>0</v>
      </c>
      <c r="BJ569" s="3123">
        <f t="shared" si="344"/>
        <v>0</v>
      </c>
      <c r="BK569" s="3123">
        <f t="shared" si="345"/>
        <v>0</v>
      </c>
      <c r="BL569" s="3123">
        <f t="shared" si="346"/>
        <v>0</v>
      </c>
      <c r="BM569" s="3123">
        <f t="shared" si="347"/>
        <v>0</v>
      </c>
      <c r="BN569" s="3123">
        <f t="shared" si="348"/>
        <v>0</v>
      </c>
      <c r="BO569" s="3123">
        <f t="shared" si="349"/>
        <v>0</v>
      </c>
      <c r="BP569" s="3123">
        <f t="shared" si="350"/>
        <v>0</v>
      </c>
      <c r="BQ569" s="3123">
        <f t="shared" si="351"/>
        <v>0</v>
      </c>
      <c r="BR569" s="3123">
        <f t="shared" si="352"/>
        <v>0</v>
      </c>
      <c r="BS569" s="3123">
        <f t="shared" si="353"/>
        <v>0</v>
      </c>
      <c r="BT569" s="3175">
        <f t="shared" si="354"/>
        <v>0</v>
      </c>
    </row>
    <row r="570" spans="1:72">
      <c r="A570" s="3120"/>
      <c r="B570" s="3121"/>
      <c r="C570" s="3121"/>
      <c r="D570" s="3122"/>
      <c r="E570" s="3123">
        <f t="shared" si="326"/>
        <v>0</v>
      </c>
      <c r="F570" s="3124"/>
      <c r="G570" s="3125">
        <f t="shared" si="327"/>
        <v>0</v>
      </c>
      <c r="H570" s="3126">
        <f t="shared" si="328"/>
        <v>0</v>
      </c>
      <c r="I570" s="3133"/>
      <c r="J570" s="3133"/>
      <c r="K570" s="3133"/>
      <c r="L570" s="3133"/>
      <c r="M570" s="3133"/>
      <c r="N570" s="3133"/>
      <c r="O570" s="3133"/>
      <c r="P570" s="3133"/>
      <c r="Q570" s="3133"/>
      <c r="R570" s="3133"/>
      <c r="S570" s="3133"/>
      <c r="T570" s="3133"/>
      <c r="U570" s="3133"/>
      <c r="V570" s="3133"/>
      <c r="W570" s="3133"/>
      <c r="X570" s="3133"/>
      <c r="Y570" s="3133"/>
      <c r="Z570" s="3133"/>
      <c r="AA570" s="3133"/>
      <c r="AB570" s="3133"/>
      <c r="AC570" s="3123">
        <f t="shared" si="329"/>
        <v>0</v>
      </c>
      <c r="AD570" s="3143"/>
      <c r="AE570" s="3143"/>
      <c r="AF570" s="3143"/>
      <c r="AG570" s="3143"/>
      <c r="AH570" s="3143"/>
      <c r="AI570" s="3143"/>
      <c r="AJ570" s="3143"/>
      <c r="AK570" s="3143"/>
      <c r="AL570" s="3143"/>
      <c r="AM570" s="3143"/>
      <c r="AN570" s="3143"/>
      <c r="AO570" s="3143"/>
      <c r="AP570" s="3143"/>
      <c r="AQ570" s="3143"/>
      <c r="AR570" s="3143"/>
      <c r="AS570" s="3143"/>
      <c r="AT570" s="3153"/>
      <c r="AU570" s="3154"/>
      <c r="AV570" s="270">
        <f t="shared" si="330"/>
        <v>0</v>
      </c>
      <c r="AW570" s="270">
        <f t="shared" si="331"/>
        <v>0</v>
      </c>
      <c r="AX570" s="270">
        <f t="shared" si="332"/>
        <v>0</v>
      </c>
      <c r="AY570" s="3168">
        <f t="shared" si="333"/>
        <v>0</v>
      </c>
      <c r="AZ570" s="3123">
        <f t="shared" si="334"/>
        <v>0</v>
      </c>
      <c r="BA570" s="3123">
        <f t="shared" si="335"/>
        <v>0</v>
      </c>
      <c r="BB570" s="3123">
        <f t="shared" si="336"/>
        <v>0</v>
      </c>
      <c r="BC570" s="3123">
        <f t="shared" si="337"/>
        <v>0</v>
      </c>
      <c r="BD570" s="3123">
        <f t="shared" si="338"/>
        <v>0</v>
      </c>
      <c r="BE570" s="3123">
        <f t="shared" si="339"/>
        <v>0</v>
      </c>
      <c r="BF570" s="3123">
        <f t="shared" si="340"/>
        <v>0</v>
      </c>
      <c r="BG570" s="3123">
        <f t="shared" si="341"/>
        <v>0</v>
      </c>
      <c r="BH570" s="3123">
        <f t="shared" si="342"/>
        <v>0</v>
      </c>
      <c r="BI570" s="3123">
        <f t="shared" si="343"/>
        <v>0</v>
      </c>
      <c r="BJ570" s="3123">
        <f t="shared" si="344"/>
        <v>0</v>
      </c>
      <c r="BK570" s="3123">
        <f t="shared" si="345"/>
        <v>0</v>
      </c>
      <c r="BL570" s="3123">
        <f t="shared" si="346"/>
        <v>0</v>
      </c>
      <c r="BM570" s="3123">
        <f t="shared" si="347"/>
        <v>0</v>
      </c>
      <c r="BN570" s="3123">
        <f t="shared" si="348"/>
        <v>0</v>
      </c>
      <c r="BO570" s="3123">
        <f t="shared" si="349"/>
        <v>0</v>
      </c>
      <c r="BP570" s="3123">
        <f t="shared" si="350"/>
        <v>0</v>
      </c>
      <c r="BQ570" s="3123">
        <f t="shared" si="351"/>
        <v>0</v>
      </c>
      <c r="BR570" s="3123">
        <f t="shared" si="352"/>
        <v>0</v>
      </c>
      <c r="BS570" s="3123">
        <f t="shared" si="353"/>
        <v>0</v>
      </c>
      <c r="BT570" s="3175">
        <f t="shared" si="354"/>
        <v>0</v>
      </c>
    </row>
    <row r="571" spans="1:72">
      <c r="A571" s="3120"/>
      <c r="B571" s="3121"/>
      <c r="C571" s="3121"/>
      <c r="D571" s="3122"/>
      <c r="E571" s="3123">
        <f t="shared" si="326"/>
        <v>0</v>
      </c>
      <c r="F571" s="3124"/>
      <c r="G571" s="3125">
        <f t="shared" si="327"/>
        <v>0</v>
      </c>
      <c r="H571" s="3126">
        <f t="shared" si="328"/>
        <v>0</v>
      </c>
      <c r="I571" s="3133"/>
      <c r="J571" s="3133"/>
      <c r="K571" s="3133"/>
      <c r="L571" s="3133"/>
      <c r="M571" s="3133"/>
      <c r="N571" s="3133"/>
      <c r="O571" s="3133"/>
      <c r="P571" s="3133"/>
      <c r="Q571" s="3133"/>
      <c r="R571" s="3133"/>
      <c r="S571" s="3133"/>
      <c r="T571" s="3133"/>
      <c r="U571" s="3133"/>
      <c r="V571" s="3133"/>
      <c r="W571" s="3133"/>
      <c r="X571" s="3133"/>
      <c r="Y571" s="3133"/>
      <c r="Z571" s="3133"/>
      <c r="AA571" s="3133"/>
      <c r="AB571" s="3133"/>
      <c r="AC571" s="3123">
        <f t="shared" si="329"/>
        <v>0</v>
      </c>
      <c r="AD571" s="3143"/>
      <c r="AE571" s="3143"/>
      <c r="AF571" s="3143"/>
      <c r="AG571" s="3143"/>
      <c r="AH571" s="3143"/>
      <c r="AI571" s="3143"/>
      <c r="AJ571" s="3143"/>
      <c r="AK571" s="3143"/>
      <c r="AL571" s="3143"/>
      <c r="AM571" s="3143"/>
      <c r="AN571" s="3143"/>
      <c r="AO571" s="3143"/>
      <c r="AP571" s="3143"/>
      <c r="AQ571" s="3143"/>
      <c r="AR571" s="3143"/>
      <c r="AS571" s="3143"/>
      <c r="AT571" s="3153"/>
      <c r="AU571" s="3154"/>
      <c r="AV571" s="270">
        <f t="shared" si="330"/>
        <v>0</v>
      </c>
      <c r="AW571" s="270">
        <f t="shared" si="331"/>
        <v>0</v>
      </c>
      <c r="AX571" s="270">
        <f t="shared" si="332"/>
        <v>0</v>
      </c>
      <c r="AY571" s="3168">
        <f t="shared" si="333"/>
        <v>0</v>
      </c>
      <c r="AZ571" s="3123">
        <f t="shared" si="334"/>
        <v>0</v>
      </c>
      <c r="BA571" s="3123">
        <f t="shared" si="335"/>
        <v>0</v>
      </c>
      <c r="BB571" s="3123">
        <f t="shared" si="336"/>
        <v>0</v>
      </c>
      <c r="BC571" s="3123">
        <f t="shared" si="337"/>
        <v>0</v>
      </c>
      <c r="BD571" s="3123">
        <f t="shared" si="338"/>
        <v>0</v>
      </c>
      <c r="BE571" s="3123">
        <f t="shared" si="339"/>
        <v>0</v>
      </c>
      <c r="BF571" s="3123">
        <f t="shared" si="340"/>
        <v>0</v>
      </c>
      <c r="BG571" s="3123">
        <f t="shared" si="341"/>
        <v>0</v>
      </c>
      <c r="BH571" s="3123">
        <f t="shared" si="342"/>
        <v>0</v>
      </c>
      <c r="BI571" s="3123">
        <f t="shared" si="343"/>
        <v>0</v>
      </c>
      <c r="BJ571" s="3123">
        <f t="shared" si="344"/>
        <v>0</v>
      </c>
      <c r="BK571" s="3123">
        <f t="shared" si="345"/>
        <v>0</v>
      </c>
      <c r="BL571" s="3123">
        <f t="shared" si="346"/>
        <v>0</v>
      </c>
      <c r="BM571" s="3123">
        <f t="shared" si="347"/>
        <v>0</v>
      </c>
      <c r="BN571" s="3123">
        <f t="shared" si="348"/>
        <v>0</v>
      </c>
      <c r="BO571" s="3123">
        <f t="shared" si="349"/>
        <v>0</v>
      </c>
      <c r="BP571" s="3123">
        <f t="shared" si="350"/>
        <v>0</v>
      </c>
      <c r="BQ571" s="3123">
        <f t="shared" si="351"/>
        <v>0</v>
      </c>
      <c r="BR571" s="3123">
        <f t="shared" si="352"/>
        <v>0</v>
      </c>
      <c r="BS571" s="3123">
        <f t="shared" si="353"/>
        <v>0</v>
      </c>
      <c r="BT571" s="3175">
        <f t="shared" si="354"/>
        <v>0</v>
      </c>
    </row>
    <row r="572" spans="1:72">
      <c r="A572" s="3120"/>
      <c r="B572" s="3121"/>
      <c r="C572" s="3121"/>
      <c r="D572" s="3122"/>
      <c r="E572" s="3123">
        <f t="shared" si="326"/>
        <v>0</v>
      </c>
      <c r="F572" s="3124"/>
      <c r="G572" s="3125">
        <f t="shared" si="327"/>
        <v>0</v>
      </c>
      <c r="H572" s="3126">
        <f t="shared" si="328"/>
        <v>0</v>
      </c>
      <c r="I572" s="3133"/>
      <c r="J572" s="3133"/>
      <c r="K572" s="3133"/>
      <c r="L572" s="3133"/>
      <c r="M572" s="3133"/>
      <c r="N572" s="3133"/>
      <c r="O572" s="3133"/>
      <c r="P572" s="3133"/>
      <c r="Q572" s="3133"/>
      <c r="R572" s="3133"/>
      <c r="S572" s="3133"/>
      <c r="T572" s="3133"/>
      <c r="U572" s="3133"/>
      <c r="V572" s="3133"/>
      <c r="W572" s="3133"/>
      <c r="X572" s="3133"/>
      <c r="Y572" s="3133"/>
      <c r="Z572" s="3133"/>
      <c r="AA572" s="3133"/>
      <c r="AB572" s="3133"/>
      <c r="AC572" s="3123">
        <f t="shared" si="329"/>
        <v>0</v>
      </c>
      <c r="AD572" s="3143"/>
      <c r="AE572" s="3143"/>
      <c r="AF572" s="3143"/>
      <c r="AG572" s="3143"/>
      <c r="AH572" s="3143"/>
      <c r="AI572" s="3143"/>
      <c r="AJ572" s="3143"/>
      <c r="AK572" s="3143"/>
      <c r="AL572" s="3143"/>
      <c r="AM572" s="3143"/>
      <c r="AN572" s="3143"/>
      <c r="AO572" s="3143"/>
      <c r="AP572" s="3143"/>
      <c r="AQ572" s="3143"/>
      <c r="AR572" s="3143"/>
      <c r="AS572" s="3143"/>
      <c r="AT572" s="3153"/>
      <c r="AU572" s="3154"/>
      <c r="AV572" s="270">
        <f t="shared" si="330"/>
        <v>0</v>
      </c>
      <c r="AW572" s="270">
        <f t="shared" si="331"/>
        <v>0</v>
      </c>
      <c r="AX572" s="270">
        <f t="shared" si="332"/>
        <v>0</v>
      </c>
      <c r="AY572" s="3168">
        <f t="shared" si="333"/>
        <v>0</v>
      </c>
      <c r="AZ572" s="3123">
        <f t="shared" si="334"/>
        <v>0</v>
      </c>
      <c r="BA572" s="3123">
        <f t="shared" si="335"/>
        <v>0</v>
      </c>
      <c r="BB572" s="3123">
        <f t="shared" si="336"/>
        <v>0</v>
      </c>
      <c r="BC572" s="3123">
        <f t="shared" si="337"/>
        <v>0</v>
      </c>
      <c r="BD572" s="3123">
        <f t="shared" si="338"/>
        <v>0</v>
      </c>
      <c r="BE572" s="3123">
        <f t="shared" si="339"/>
        <v>0</v>
      </c>
      <c r="BF572" s="3123">
        <f t="shared" si="340"/>
        <v>0</v>
      </c>
      <c r="BG572" s="3123">
        <f t="shared" si="341"/>
        <v>0</v>
      </c>
      <c r="BH572" s="3123">
        <f t="shared" si="342"/>
        <v>0</v>
      </c>
      <c r="BI572" s="3123">
        <f t="shared" si="343"/>
        <v>0</v>
      </c>
      <c r="BJ572" s="3123">
        <f t="shared" si="344"/>
        <v>0</v>
      </c>
      <c r="BK572" s="3123">
        <f t="shared" si="345"/>
        <v>0</v>
      </c>
      <c r="BL572" s="3123">
        <f t="shared" si="346"/>
        <v>0</v>
      </c>
      <c r="BM572" s="3123">
        <f t="shared" si="347"/>
        <v>0</v>
      </c>
      <c r="BN572" s="3123">
        <f t="shared" si="348"/>
        <v>0</v>
      </c>
      <c r="BO572" s="3123">
        <f t="shared" si="349"/>
        <v>0</v>
      </c>
      <c r="BP572" s="3123">
        <f t="shared" si="350"/>
        <v>0</v>
      </c>
      <c r="BQ572" s="3123">
        <f t="shared" si="351"/>
        <v>0</v>
      </c>
      <c r="BR572" s="3123">
        <f t="shared" si="352"/>
        <v>0</v>
      </c>
      <c r="BS572" s="3123">
        <f t="shared" si="353"/>
        <v>0</v>
      </c>
      <c r="BT572" s="3175">
        <f t="shared" si="354"/>
        <v>0</v>
      </c>
    </row>
    <row r="573" spans="1:72">
      <c r="A573" s="3120"/>
      <c r="B573" s="3121"/>
      <c r="C573" s="3121"/>
      <c r="D573" s="3122"/>
      <c r="E573" s="3123">
        <f t="shared" si="326"/>
        <v>0</v>
      </c>
      <c r="F573" s="3124"/>
      <c r="G573" s="3125">
        <f t="shared" si="327"/>
        <v>0</v>
      </c>
      <c r="H573" s="3126">
        <f t="shared" si="328"/>
        <v>0</v>
      </c>
      <c r="I573" s="3133"/>
      <c r="J573" s="3133"/>
      <c r="K573" s="3133"/>
      <c r="L573" s="3133"/>
      <c r="M573" s="3133"/>
      <c r="N573" s="3133"/>
      <c r="O573" s="3133"/>
      <c r="P573" s="3133"/>
      <c r="Q573" s="3133"/>
      <c r="R573" s="3133"/>
      <c r="S573" s="3133"/>
      <c r="T573" s="3133"/>
      <c r="U573" s="3133"/>
      <c r="V573" s="3133"/>
      <c r="W573" s="3133"/>
      <c r="X573" s="3133"/>
      <c r="Y573" s="3133"/>
      <c r="Z573" s="3133"/>
      <c r="AA573" s="3133"/>
      <c r="AB573" s="3133"/>
      <c r="AC573" s="3123">
        <f t="shared" si="329"/>
        <v>0</v>
      </c>
      <c r="AD573" s="3143"/>
      <c r="AE573" s="3143"/>
      <c r="AF573" s="3143"/>
      <c r="AG573" s="3143"/>
      <c r="AH573" s="3143"/>
      <c r="AI573" s="3143"/>
      <c r="AJ573" s="3143"/>
      <c r="AK573" s="3143"/>
      <c r="AL573" s="3143"/>
      <c r="AM573" s="3143"/>
      <c r="AN573" s="3143"/>
      <c r="AO573" s="3143"/>
      <c r="AP573" s="3143"/>
      <c r="AQ573" s="3143"/>
      <c r="AR573" s="3143"/>
      <c r="AS573" s="3143"/>
      <c r="AT573" s="3153"/>
      <c r="AU573" s="3154"/>
      <c r="AV573" s="270">
        <f t="shared" si="330"/>
        <v>0</v>
      </c>
      <c r="AW573" s="270">
        <f t="shared" si="331"/>
        <v>0</v>
      </c>
      <c r="AX573" s="270">
        <f t="shared" si="332"/>
        <v>0</v>
      </c>
      <c r="AY573" s="3168">
        <f t="shared" si="333"/>
        <v>0</v>
      </c>
      <c r="AZ573" s="3123">
        <f t="shared" si="334"/>
        <v>0</v>
      </c>
      <c r="BA573" s="3123">
        <f t="shared" si="335"/>
        <v>0</v>
      </c>
      <c r="BB573" s="3123">
        <f t="shared" si="336"/>
        <v>0</v>
      </c>
      <c r="BC573" s="3123">
        <f t="shared" si="337"/>
        <v>0</v>
      </c>
      <c r="BD573" s="3123">
        <f t="shared" si="338"/>
        <v>0</v>
      </c>
      <c r="BE573" s="3123">
        <f t="shared" si="339"/>
        <v>0</v>
      </c>
      <c r="BF573" s="3123">
        <f t="shared" si="340"/>
        <v>0</v>
      </c>
      <c r="BG573" s="3123">
        <f t="shared" si="341"/>
        <v>0</v>
      </c>
      <c r="BH573" s="3123">
        <f t="shared" si="342"/>
        <v>0</v>
      </c>
      <c r="BI573" s="3123">
        <f t="shared" si="343"/>
        <v>0</v>
      </c>
      <c r="BJ573" s="3123">
        <f t="shared" si="344"/>
        <v>0</v>
      </c>
      <c r="BK573" s="3123">
        <f t="shared" si="345"/>
        <v>0</v>
      </c>
      <c r="BL573" s="3123">
        <f t="shared" si="346"/>
        <v>0</v>
      </c>
      <c r="BM573" s="3123">
        <f t="shared" si="347"/>
        <v>0</v>
      </c>
      <c r="BN573" s="3123">
        <f t="shared" si="348"/>
        <v>0</v>
      </c>
      <c r="BO573" s="3123">
        <f t="shared" si="349"/>
        <v>0</v>
      </c>
      <c r="BP573" s="3123">
        <f t="shared" si="350"/>
        <v>0</v>
      </c>
      <c r="BQ573" s="3123">
        <f t="shared" si="351"/>
        <v>0</v>
      </c>
      <c r="BR573" s="3123">
        <f t="shared" si="352"/>
        <v>0</v>
      </c>
      <c r="BS573" s="3123">
        <f t="shared" si="353"/>
        <v>0</v>
      </c>
      <c r="BT573" s="3175">
        <f t="shared" si="354"/>
        <v>0</v>
      </c>
    </row>
    <row r="574" spans="1:72">
      <c r="A574" s="3120"/>
      <c r="B574" s="3121"/>
      <c r="C574" s="3121"/>
      <c r="D574" s="3122"/>
      <c r="E574" s="3123">
        <f t="shared" si="326"/>
        <v>0</v>
      </c>
      <c r="F574" s="3124"/>
      <c r="G574" s="3125">
        <f t="shared" si="327"/>
        <v>0</v>
      </c>
      <c r="H574" s="3126">
        <f t="shared" si="328"/>
        <v>0</v>
      </c>
      <c r="I574" s="3133"/>
      <c r="J574" s="3133"/>
      <c r="K574" s="3133"/>
      <c r="L574" s="3133"/>
      <c r="M574" s="3133"/>
      <c r="N574" s="3133"/>
      <c r="O574" s="3133"/>
      <c r="P574" s="3133"/>
      <c r="Q574" s="3133"/>
      <c r="R574" s="3133"/>
      <c r="S574" s="3133"/>
      <c r="T574" s="3133"/>
      <c r="U574" s="3133"/>
      <c r="V574" s="3133"/>
      <c r="W574" s="3133"/>
      <c r="X574" s="3133"/>
      <c r="Y574" s="3133"/>
      <c r="Z574" s="3133"/>
      <c r="AA574" s="3133"/>
      <c r="AB574" s="3133"/>
      <c r="AC574" s="3123">
        <f t="shared" si="329"/>
        <v>0</v>
      </c>
      <c r="AD574" s="3143"/>
      <c r="AE574" s="3143"/>
      <c r="AF574" s="3143"/>
      <c r="AG574" s="3143"/>
      <c r="AH574" s="3143"/>
      <c r="AI574" s="3143"/>
      <c r="AJ574" s="3143"/>
      <c r="AK574" s="3143"/>
      <c r="AL574" s="3143"/>
      <c r="AM574" s="3143"/>
      <c r="AN574" s="3143"/>
      <c r="AO574" s="3143"/>
      <c r="AP574" s="3143"/>
      <c r="AQ574" s="3143"/>
      <c r="AR574" s="3143"/>
      <c r="AS574" s="3143"/>
      <c r="AT574" s="3153"/>
      <c r="AU574" s="3154"/>
      <c r="AV574" s="270">
        <f t="shared" si="330"/>
        <v>0</v>
      </c>
      <c r="AW574" s="270">
        <f t="shared" si="331"/>
        <v>0</v>
      </c>
      <c r="AX574" s="270">
        <f t="shared" si="332"/>
        <v>0</v>
      </c>
      <c r="AY574" s="3168">
        <f t="shared" si="333"/>
        <v>0</v>
      </c>
      <c r="AZ574" s="3123">
        <f t="shared" si="334"/>
        <v>0</v>
      </c>
      <c r="BA574" s="3123">
        <f t="shared" si="335"/>
        <v>0</v>
      </c>
      <c r="BB574" s="3123">
        <f t="shared" si="336"/>
        <v>0</v>
      </c>
      <c r="BC574" s="3123">
        <f t="shared" si="337"/>
        <v>0</v>
      </c>
      <c r="BD574" s="3123">
        <f t="shared" si="338"/>
        <v>0</v>
      </c>
      <c r="BE574" s="3123">
        <f t="shared" si="339"/>
        <v>0</v>
      </c>
      <c r="BF574" s="3123">
        <f t="shared" si="340"/>
        <v>0</v>
      </c>
      <c r="BG574" s="3123">
        <f t="shared" si="341"/>
        <v>0</v>
      </c>
      <c r="BH574" s="3123">
        <f t="shared" si="342"/>
        <v>0</v>
      </c>
      <c r="BI574" s="3123">
        <f t="shared" si="343"/>
        <v>0</v>
      </c>
      <c r="BJ574" s="3123">
        <f t="shared" si="344"/>
        <v>0</v>
      </c>
      <c r="BK574" s="3123">
        <f t="shared" si="345"/>
        <v>0</v>
      </c>
      <c r="BL574" s="3123">
        <f t="shared" si="346"/>
        <v>0</v>
      </c>
      <c r="BM574" s="3123">
        <f t="shared" si="347"/>
        <v>0</v>
      </c>
      <c r="BN574" s="3123">
        <f t="shared" si="348"/>
        <v>0</v>
      </c>
      <c r="BO574" s="3123">
        <f t="shared" si="349"/>
        <v>0</v>
      </c>
      <c r="BP574" s="3123">
        <f t="shared" si="350"/>
        <v>0</v>
      </c>
      <c r="BQ574" s="3123">
        <f t="shared" si="351"/>
        <v>0</v>
      </c>
      <c r="BR574" s="3123">
        <f t="shared" si="352"/>
        <v>0</v>
      </c>
      <c r="BS574" s="3123">
        <f t="shared" si="353"/>
        <v>0</v>
      </c>
      <c r="BT574" s="3175">
        <f t="shared" si="354"/>
        <v>0</v>
      </c>
    </row>
    <row r="575" spans="1:72">
      <c r="A575" s="3120"/>
      <c r="B575" s="3121"/>
      <c r="C575" s="3121"/>
      <c r="D575" s="3122"/>
      <c r="E575" s="3123">
        <f t="shared" si="326"/>
        <v>0</v>
      </c>
      <c r="F575" s="3124"/>
      <c r="G575" s="3125">
        <f t="shared" si="327"/>
        <v>0</v>
      </c>
      <c r="H575" s="3126">
        <f t="shared" si="328"/>
        <v>0</v>
      </c>
      <c r="I575" s="3133"/>
      <c r="J575" s="3133"/>
      <c r="K575" s="3133"/>
      <c r="L575" s="3133"/>
      <c r="M575" s="3133"/>
      <c r="N575" s="3133"/>
      <c r="O575" s="3133"/>
      <c r="P575" s="3133"/>
      <c r="Q575" s="3133"/>
      <c r="R575" s="3133"/>
      <c r="S575" s="3133"/>
      <c r="T575" s="3133"/>
      <c r="U575" s="3133"/>
      <c r="V575" s="3133"/>
      <c r="W575" s="3133"/>
      <c r="X575" s="3133"/>
      <c r="Y575" s="3133"/>
      <c r="Z575" s="3133"/>
      <c r="AA575" s="3133"/>
      <c r="AB575" s="3133"/>
      <c r="AC575" s="3123">
        <f t="shared" si="329"/>
        <v>0</v>
      </c>
      <c r="AD575" s="3143"/>
      <c r="AE575" s="3143"/>
      <c r="AF575" s="3143"/>
      <c r="AG575" s="3143"/>
      <c r="AH575" s="3143"/>
      <c r="AI575" s="3143"/>
      <c r="AJ575" s="3143"/>
      <c r="AK575" s="3143"/>
      <c r="AL575" s="3143"/>
      <c r="AM575" s="3143"/>
      <c r="AN575" s="3143"/>
      <c r="AO575" s="3143"/>
      <c r="AP575" s="3143"/>
      <c r="AQ575" s="3143"/>
      <c r="AR575" s="3143"/>
      <c r="AS575" s="3143"/>
      <c r="AT575" s="3153"/>
      <c r="AU575" s="3154"/>
      <c r="AV575" s="270">
        <f t="shared" si="330"/>
        <v>0</v>
      </c>
      <c r="AW575" s="270">
        <f t="shared" si="331"/>
        <v>0</v>
      </c>
      <c r="AX575" s="270">
        <f t="shared" si="332"/>
        <v>0</v>
      </c>
      <c r="AY575" s="3168">
        <f t="shared" si="333"/>
        <v>0</v>
      </c>
      <c r="AZ575" s="3123">
        <f t="shared" si="334"/>
        <v>0</v>
      </c>
      <c r="BA575" s="3123">
        <f t="shared" si="335"/>
        <v>0</v>
      </c>
      <c r="BB575" s="3123">
        <f t="shared" si="336"/>
        <v>0</v>
      </c>
      <c r="BC575" s="3123">
        <f t="shared" si="337"/>
        <v>0</v>
      </c>
      <c r="BD575" s="3123">
        <f t="shared" si="338"/>
        <v>0</v>
      </c>
      <c r="BE575" s="3123">
        <f t="shared" si="339"/>
        <v>0</v>
      </c>
      <c r="BF575" s="3123">
        <f t="shared" si="340"/>
        <v>0</v>
      </c>
      <c r="BG575" s="3123">
        <f t="shared" si="341"/>
        <v>0</v>
      </c>
      <c r="BH575" s="3123">
        <f t="shared" si="342"/>
        <v>0</v>
      </c>
      <c r="BI575" s="3123">
        <f t="shared" si="343"/>
        <v>0</v>
      </c>
      <c r="BJ575" s="3123">
        <f t="shared" si="344"/>
        <v>0</v>
      </c>
      <c r="BK575" s="3123">
        <f t="shared" si="345"/>
        <v>0</v>
      </c>
      <c r="BL575" s="3123">
        <f t="shared" si="346"/>
        <v>0</v>
      </c>
      <c r="BM575" s="3123">
        <f t="shared" si="347"/>
        <v>0</v>
      </c>
      <c r="BN575" s="3123">
        <f t="shared" si="348"/>
        <v>0</v>
      </c>
      <c r="BO575" s="3123">
        <f t="shared" si="349"/>
        <v>0</v>
      </c>
      <c r="BP575" s="3123">
        <f t="shared" si="350"/>
        <v>0</v>
      </c>
      <c r="BQ575" s="3123">
        <f t="shared" si="351"/>
        <v>0</v>
      </c>
      <c r="BR575" s="3123">
        <f t="shared" si="352"/>
        <v>0</v>
      </c>
      <c r="BS575" s="3123">
        <f t="shared" si="353"/>
        <v>0</v>
      </c>
      <c r="BT575" s="3175">
        <f t="shared" si="354"/>
        <v>0</v>
      </c>
    </row>
    <row r="576" spans="1:72">
      <c r="A576" s="3120"/>
      <c r="B576" s="3121"/>
      <c r="C576" s="3121"/>
      <c r="D576" s="3122"/>
      <c r="E576" s="3123">
        <f t="shared" si="326"/>
        <v>0</v>
      </c>
      <c r="F576" s="3124"/>
      <c r="G576" s="3125">
        <f t="shared" si="327"/>
        <v>0</v>
      </c>
      <c r="H576" s="3126">
        <f t="shared" si="328"/>
        <v>0</v>
      </c>
      <c r="I576" s="3133"/>
      <c r="J576" s="3133"/>
      <c r="K576" s="3133"/>
      <c r="L576" s="3133"/>
      <c r="M576" s="3133"/>
      <c r="N576" s="3133"/>
      <c r="O576" s="3133"/>
      <c r="P576" s="3133"/>
      <c r="Q576" s="3133"/>
      <c r="R576" s="3133"/>
      <c r="S576" s="3133"/>
      <c r="T576" s="3133"/>
      <c r="U576" s="3133"/>
      <c r="V576" s="3133"/>
      <c r="W576" s="3133"/>
      <c r="X576" s="3133"/>
      <c r="Y576" s="3133"/>
      <c r="Z576" s="3133"/>
      <c r="AA576" s="3133"/>
      <c r="AB576" s="3133"/>
      <c r="AC576" s="3123">
        <f t="shared" si="329"/>
        <v>0</v>
      </c>
      <c r="AD576" s="3143"/>
      <c r="AE576" s="3143"/>
      <c r="AF576" s="3143"/>
      <c r="AG576" s="3143"/>
      <c r="AH576" s="3143"/>
      <c r="AI576" s="3143"/>
      <c r="AJ576" s="3143"/>
      <c r="AK576" s="3143"/>
      <c r="AL576" s="3143"/>
      <c r="AM576" s="3143"/>
      <c r="AN576" s="3143"/>
      <c r="AO576" s="3143"/>
      <c r="AP576" s="3143"/>
      <c r="AQ576" s="3143"/>
      <c r="AR576" s="3143"/>
      <c r="AS576" s="3143"/>
      <c r="AT576" s="3153"/>
      <c r="AU576" s="3154"/>
      <c r="AV576" s="270">
        <f t="shared" si="330"/>
        <v>0</v>
      </c>
      <c r="AW576" s="270">
        <f t="shared" si="331"/>
        <v>0</v>
      </c>
      <c r="AX576" s="270">
        <f t="shared" si="332"/>
        <v>0</v>
      </c>
      <c r="AY576" s="3168">
        <f t="shared" si="333"/>
        <v>0</v>
      </c>
      <c r="AZ576" s="3123">
        <f t="shared" si="334"/>
        <v>0</v>
      </c>
      <c r="BA576" s="3123">
        <f t="shared" si="335"/>
        <v>0</v>
      </c>
      <c r="BB576" s="3123">
        <f t="shared" si="336"/>
        <v>0</v>
      </c>
      <c r="BC576" s="3123">
        <f t="shared" si="337"/>
        <v>0</v>
      </c>
      <c r="BD576" s="3123">
        <f t="shared" si="338"/>
        <v>0</v>
      </c>
      <c r="BE576" s="3123">
        <f t="shared" si="339"/>
        <v>0</v>
      </c>
      <c r="BF576" s="3123">
        <f t="shared" si="340"/>
        <v>0</v>
      </c>
      <c r="BG576" s="3123">
        <f t="shared" si="341"/>
        <v>0</v>
      </c>
      <c r="BH576" s="3123">
        <f t="shared" si="342"/>
        <v>0</v>
      </c>
      <c r="BI576" s="3123">
        <f t="shared" si="343"/>
        <v>0</v>
      </c>
      <c r="BJ576" s="3123">
        <f t="shared" si="344"/>
        <v>0</v>
      </c>
      <c r="BK576" s="3123">
        <f t="shared" si="345"/>
        <v>0</v>
      </c>
      <c r="BL576" s="3123">
        <f t="shared" si="346"/>
        <v>0</v>
      </c>
      <c r="BM576" s="3123">
        <f t="shared" si="347"/>
        <v>0</v>
      </c>
      <c r="BN576" s="3123">
        <f t="shared" si="348"/>
        <v>0</v>
      </c>
      <c r="BO576" s="3123">
        <f t="shared" si="349"/>
        <v>0</v>
      </c>
      <c r="BP576" s="3123">
        <f t="shared" si="350"/>
        <v>0</v>
      </c>
      <c r="BQ576" s="3123">
        <f t="shared" si="351"/>
        <v>0</v>
      </c>
      <c r="BR576" s="3123">
        <f t="shared" si="352"/>
        <v>0</v>
      </c>
      <c r="BS576" s="3123">
        <f t="shared" si="353"/>
        <v>0</v>
      </c>
      <c r="BT576" s="3175">
        <f t="shared" si="354"/>
        <v>0</v>
      </c>
    </row>
    <row r="577" spans="1:72">
      <c r="A577" s="3120"/>
      <c r="B577" s="3121"/>
      <c r="C577" s="3121"/>
      <c r="D577" s="3122"/>
      <c r="E577" s="3123">
        <f t="shared" si="326"/>
        <v>0</v>
      </c>
      <c r="F577" s="3124"/>
      <c r="G577" s="3125">
        <f t="shared" si="327"/>
        <v>0</v>
      </c>
      <c r="H577" s="3126">
        <f t="shared" si="328"/>
        <v>0</v>
      </c>
      <c r="I577" s="3133"/>
      <c r="J577" s="3133"/>
      <c r="K577" s="3133"/>
      <c r="L577" s="3133"/>
      <c r="M577" s="3133"/>
      <c r="N577" s="3133"/>
      <c r="O577" s="3133"/>
      <c r="P577" s="3133"/>
      <c r="Q577" s="3133"/>
      <c r="R577" s="3133"/>
      <c r="S577" s="3133"/>
      <c r="T577" s="3133"/>
      <c r="U577" s="3133"/>
      <c r="V577" s="3133"/>
      <c r="W577" s="3133"/>
      <c r="X577" s="3133"/>
      <c r="Y577" s="3133"/>
      <c r="Z577" s="3133"/>
      <c r="AA577" s="3133"/>
      <c r="AB577" s="3133"/>
      <c r="AC577" s="3123">
        <f t="shared" si="329"/>
        <v>0</v>
      </c>
      <c r="AD577" s="3143"/>
      <c r="AE577" s="3143"/>
      <c r="AF577" s="3143"/>
      <c r="AG577" s="3143"/>
      <c r="AH577" s="3143"/>
      <c r="AI577" s="3143"/>
      <c r="AJ577" s="3143"/>
      <c r="AK577" s="3143"/>
      <c r="AL577" s="3143"/>
      <c r="AM577" s="3143"/>
      <c r="AN577" s="3143"/>
      <c r="AO577" s="3143"/>
      <c r="AP577" s="3143"/>
      <c r="AQ577" s="3143"/>
      <c r="AR577" s="3143"/>
      <c r="AS577" s="3143"/>
      <c r="AT577" s="3153"/>
      <c r="AU577" s="3154"/>
      <c r="AV577" s="270">
        <f t="shared" si="330"/>
        <v>0</v>
      </c>
      <c r="AW577" s="270">
        <f t="shared" si="331"/>
        <v>0</v>
      </c>
      <c r="AX577" s="270">
        <f t="shared" si="332"/>
        <v>0</v>
      </c>
      <c r="AY577" s="3168">
        <f t="shared" si="333"/>
        <v>0</v>
      </c>
      <c r="AZ577" s="3123">
        <f t="shared" si="334"/>
        <v>0</v>
      </c>
      <c r="BA577" s="3123">
        <f t="shared" si="335"/>
        <v>0</v>
      </c>
      <c r="BB577" s="3123">
        <f t="shared" si="336"/>
        <v>0</v>
      </c>
      <c r="BC577" s="3123">
        <f t="shared" si="337"/>
        <v>0</v>
      </c>
      <c r="BD577" s="3123">
        <f t="shared" si="338"/>
        <v>0</v>
      </c>
      <c r="BE577" s="3123">
        <f t="shared" si="339"/>
        <v>0</v>
      </c>
      <c r="BF577" s="3123">
        <f t="shared" si="340"/>
        <v>0</v>
      </c>
      <c r="BG577" s="3123">
        <f t="shared" si="341"/>
        <v>0</v>
      </c>
      <c r="BH577" s="3123">
        <f t="shared" si="342"/>
        <v>0</v>
      </c>
      <c r="BI577" s="3123">
        <f t="shared" si="343"/>
        <v>0</v>
      </c>
      <c r="BJ577" s="3123">
        <f t="shared" si="344"/>
        <v>0</v>
      </c>
      <c r="BK577" s="3123">
        <f t="shared" si="345"/>
        <v>0</v>
      </c>
      <c r="BL577" s="3123">
        <f t="shared" si="346"/>
        <v>0</v>
      </c>
      <c r="BM577" s="3123">
        <f t="shared" si="347"/>
        <v>0</v>
      </c>
      <c r="BN577" s="3123">
        <f t="shared" si="348"/>
        <v>0</v>
      </c>
      <c r="BO577" s="3123">
        <f t="shared" si="349"/>
        <v>0</v>
      </c>
      <c r="BP577" s="3123">
        <f t="shared" si="350"/>
        <v>0</v>
      </c>
      <c r="BQ577" s="3123">
        <f t="shared" si="351"/>
        <v>0</v>
      </c>
      <c r="BR577" s="3123">
        <f t="shared" si="352"/>
        <v>0</v>
      </c>
      <c r="BS577" s="3123">
        <f t="shared" si="353"/>
        <v>0</v>
      </c>
      <c r="BT577" s="3175">
        <f t="shared" si="354"/>
        <v>0</v>
      </c>
    </row>
    <row r="578" spans="1:72">
      <c r="A578" s="3120"/>
      <c r="B578" s="3121"/>
      <c r="C578" s="3121"/>
      <c r="D578" s="3122"/>
      <c r="E578" s="3123">
        <f t="shared" si="326"/>
        <v>0</v>
      </c>
      <c r="F578" s="3124"/>
      <c r="G578" s="3125">
        <f t="shared" si="327"/>
        <v>0</v>
      </c>
      <c r="H578" s="3126">
        <f t="shared" si="328"/>
        <v>0</v>
      </c>
      <c r="I578" s="3133"/>
      <c r="J578" s="3133"/>
      <c r="K578" s="3133"/>
      <c r="L578" s="3133"/>
      <c r="M578" s="3133"/>
      <c r="N578" s="3133"/>
      <c r="O578" s="3133"/>
      <c r="P578" s="3133"/>
      <c r="Q578" s="3133"/>
      <c r="R578" s="3133"/>
      <c r="S578" s="3133"/>
      <c r="T578" s="3133"/>
      <c r="U578" s="3133"/>
      <c r="V578" s="3133"/>
      <c r="W578" s="3133"/>
      <c r="X578" s="3133"/>
      <c r="Y578" s="3133"/>
      <c r="Z578" s="3133"/>
      <c r="AA578" s="3133"/>
      <c r="AB578" s="3133"/>
      <c r="AC578" s="3123">
        <f t="shared" si="329"/>
        <v>0</v>
      </c>
      <c r="AD578" s="3143"/>
      <c r="AE578" s="3143"/>
      <c r="AF578" s="3143"/>
      <c r="AG578" s="3143"/>
      <c r="AH578" s="3143"/>
      <c r="AI578" s="3143"/>
      <c r="AJ578" s="3143"/>
      <c r="AK578" s="3143"/>
      <c r="AL578" s="3143"/>
      <c r="AM578" s="3143"/>
      <c r="AN578" s="3143"/>
      <c r="AO578" s="3143"/>
      <c r="AP578" s="3143"/>
      <c r="AQ578" s="3143"/>
      <c r="AR578" s="3143"/>
      <c r="AS578" s="3143"/>
      <c r="AT578" s="3153"/>
      <c r="AU578" s="3154"/>
      <c r="AV578" s="270">
        <f t="shared" si="330"/>
        <v>0</v>
      </c>
      <c r="AW578" s="270">
        <f t="shared" si="331"/>
        <v>0</v>
      </c>
      <c r="AX578" s="270">
        <f t="shared" si="332"/>
        <v>0</v>
      </c>
      <c r="AY578" s="3168">
        <f t="shared" si="333"/>
        <v>0</v>
      </c>
      <c r="AZ578" s="3123">
        <f t="shared" si="334"/>
        <v>0</v>
      </c>
      <c r="BA578" s="3123">
        <f t="shared" si="335"/>
        <v>0</v>
      </c>
      <c r="BB578" s="3123">
        <f t="shared" si="336"/>
        <v>0</v>
      </c>
      <c r="BC578" s="3123">
        <f t="shared" si="337"/>
        <v>0</v>
      </c>
      <c r="BD578" s="3123">
        <f t="shared" si="338"/>
        <v>0</v>
      </c>
      <c r="BE578" s="3123">
        <f t="shared" si="339"/>
        <v>0</v>
      </c>
      <c r="BF578" s="3123">
        <f t="shared" si="340"/>
        <v>0</v>
      </c>
      <c r="BG578" s="3123">
        <f t="shared" si="341"/>
        <v>0</v>
      </c>
      <c r="BH578" s="3123">
        <f t="shared" si="342"/>
        <v>0</v>
      </c>
      <c r="BI578" s="3123">
        <f t="shared" si="343"/>
        <v>0</v>
      </c>
      <c r="BJ578" s="3123">
        <f t="shared" si="344"/>
        <v>0</v>
      </c>
      <c r="BK578" s="3123">
        <f t="shared" si="345"/>
        <v>0</v>
      </c>
      <c r="BL578" s="3123">
        <f t="shared" si="346"/>
        <v>0</v>
      </c>
      <c r="BM578" s="3123">
        <f t="shared" si="347"/>
        <v>0</v>
      </c>
      <c r="BN578" s="3123">
        <f t="shared" si="348"/>
        <v>0</v>
      </c>
      <c r="BO578" s="3123">
        <f t="shared" si="349"/>
        <v>0</v>
      </c>
      <c r="BP578" s="3123">
        <f t="shared" si="350"/>
        <v>0</v>
      </c>
      <c r="BQ578" s="3123">
        <f t="shared" si="351"/>
        <v>0</v>
      </c>
      <c r="BR578" s="3123">
        <f t="shared" si="352"/>
        <v>0</v>
      </c>
      <c r="BS578" s="3123">
        <f t="shared" si="353"/>
        <v>0</v>
      </c>
      <c r="BT578" s="3175">
        <f t="shared" si="354"/>
        <v>0</v>
      </c>
    </row>
    <row r="579" spans="1:72">
      <c r="A579" s="3120"/>
      <c r="B579" s="3121"/>
      <c r="C579" s="3121"/>
      <c r="D579" s="3122"/>
      <c r="E579" s="3123">
        <f t="shared" si="326"/>
        <v>0</v>
      </c>
      <c r="F579" s="3124"/>
      <c r="G579" s="3125">
        <f t="shared" si="327"/>
        <v>0</v>
      </c>
      <c r="H579" s="3126">
        <f t="shared" si="328"/>
        <v>0</v>
      </c>
      <c r="I579" s="3133"/>
      <c r="J579" s="3133"/>
      <c r="K579" s="3133"/>
      <c r="L579" s="3133"/>
      <c r="M579" s="3133"/>
      <c r="N579" s="3133"/>
      <c r="O579" s="3133"/>
      <c r="P579" s="3133"/>
      <c r="Q579" s="3133"/>
      <c r="R579" s="3133"/>
      <c r="S579" s="3133"/>
      <c r="T579" s="3133"/>
      <c r="U579" s="3133"/>
      <c r="V579" s="3133"/>
      <c r="W579" s="3133"/>
      <c r="X579" s="3133"/>
      <c r="Y579" s="3133"/>
      <c r="Z579" s="3133"/>
      <c r="AA579" s="3133"/>
      <c r="AB579" s="3133"/>
      <c r="AC579" s="3123">
        <f t="shared" si="329"/>
        <v>0</v>
      </c>
      <c r="AD579" s="3143"/>
      <c r="AE579" s="3143"/>
      <c r="AF579" s="3143"/>
      <c r="AG579" s="3143"/>
      <c r="AH579" s="3143"/>
      <c r="AI579" s="3143"/>
      <c r="AJ579" s="3143"/>
      <c r="AK579" s="3143"/>
      <c r="AL579" s="3143"/>
      <c r="AM579" s="3143"/>
      <c r="AN579" s="3143"/>
      <c r="AO579" s="3143"/>
      <c r="AP579" s="3143"/>
      <c r="AQ579" s="3143"/>
      <c r="AR579" s="3143"/>
      <c r="AS579" s="3143"/>
      <c r="AT579" s="3153"/>
      <c r="AU579" s="3154"/>
      <c r="AV579" s="270">
        <f t="shared" si="330"/>
        <v>0</v>
      </c>
      <c r="AW579" s="270">
        <f t="shared" si="331"/>
        <v>0</v>
      </c>
      <c r="AX579" s="270">
        <f t="shared" si="332"/>
        <v>0</v>
      </c>
      <c r="AY579" s="3168">
        <f t="shared" si="333"/>
        <v>0</v>
      </c>
      <c r="AZ579" s="3123">
        <f t="shared" si="334"/>
        <v>0</v>
      </c>
      <c r="BA579" s="3123">
        <f t="shared" si="335"/>
        <v>0</v>
      </c>
      <c r="BB579" s="3123">
        <f t="shared" si="336"/>
        <v>0</v>
      </c>
      <c r="BC579" s="3123">
        <f t="shared" si="337"/>
        <v>0</v>
      </c>
      <c r="BD579" s="3123">
        <f t="shared" si="338"/>
        <v>0</v>
      </c>
      <c r="BE579" s="3123">
        <f t="shared" si="339"/>
        <v>0</v>
      </c>
      <c r="BF579" s="3123">
        <f t="shared" si="340"/>
        <v>0</v>
      </c>
      <c r="BG579" s="3123">
        <f t="shared" si="341"/>
        <v>0</v>
      </c>
      <c r="BH579" s="3123">
        <f t="shared" si="342"/>
        <v>0</v>
      </c>
      <c r="BI579" s="3123">
        <f t="shared" si="343"/>
        <v>0</v>
      </c>
      <c r="BJ579" s="3123">
        <f t="shared" si="344"/>
        <v>0</v>
      </c>
      <c r="BK579" s="3123">
        <f t="shared" si="345"/>
        <v>0</v>
      </c>
      <c r="BL579" s="3123">
        <f t="shared" si="346"/>
        <v>0</v>
      </c>
      <c r="BM579" s="3123">
        <f t="shared" si="347"/>
        <v>0</v>
      </c>
      <c r="BN579" s="3123">
        <f t="shared" si="348"/>
        <v>0</v>
      </c>
      <c r="BO579" s="3123">
        <f t="shared" si="349"/>
        <v>0</v>
      </c>
      <c r="BP579" s="3123">
        <f t="shared" si="350"/>
        <v>0</v>
      </c>
      <c r="BQ579" s="3123">
        <f t="shared" si="351"/>
        <v>0</v>
      </c>
      <c r="BR579" s="3123">
        <f t="shared" si="352"/>
        <v>0</v>
      </c>
      <c r="BS579" s="3123">
        <f t="shared" si="353"/>
        <v>0</v>
      </c>
      <c r="BT579" s="3175">
        <f t="shared" si="354"/>
        <v>0</v>
      </c>
    </row>
    <row r="580" spans="1:72">
      <c r="A580" s="3120"/>
      <c r="B580" s="3121"/>
      <c r="C580" s="3121"/>
      <c r="D580" s="3122"/>
      <c r="E580" s="3123">
        <f t="shared" si="326"/>
        <v>0</v>
      </c>
      <c r="F580" s="3124"/>
      <c r="G580" s="3125">
        <f t="shared" si="327"/>
        <v>0</v>
      </c>
      <c r="H580" s="3126">
        <f t="shared" si="328"/>
        <v>0</v>
      </c>
      <c r="I580" s="3133"/>
      <c r="J580" s="3133"/>
      <c r="K580" s="3133"/>
      <c r="L580" s="3133"/>
      <c r="M580" s="3133"/>
      <c r="N580" s="3133"/>
      <c r="O580" s="3133"/>
      <c r="P580" s="3133"/>
      <c r="Q580" s="3133"/>
      <c r="R580" s="3133"/>
      <c r="S580" s="3133"/>
      <c r="T580" s="3133"/>
      <c r="U580" s="3133"/>
      <c r="V580" s="3133"/>
      <c r="W580" s="3133"/>
      <c r="X580" s="3133"/>
      <c r="Y580" s="3133"/>
      <c r="Z580" s="3133"/>
      <c r="AA580" s="3133"/>
      <c r="AB580" s="3133"/>
      <c r="AC580" s="3123">
        <f t="shared" si="329"/>
        <v>0</v>
      </c>
      <c r="AD580" s="3143"/>
      <c r="AE580" s="3143"/>
      <c r="AF580" s="3143"/>
      <c r="AG580" s="3143"/>
      <c r="AH580" s="3143"/>
      <c r="AI580" s="3143"/>
      <c r="AJ580" s="3143"/>
      <c r="AK580" s="3143"/>
      <c r="AL580" s="3143"/>
      <c r="AM580" s="3143"/>
      <c r="AN580" s="3143"/>
      <c r="AO580" s="3143"/>
      <c r="AP580" s="3143"/>
      <c r="AQ580" s="3143"/>
      <c r="AR580" s="3143"/>
      <c r="AS580" s="3143"/>
      <c r="AT580" s="3153"/>
      <c r="AU580" s="3154"/>
      <c r="AV580" s="270">
        <f t="shared" si="330"/>
        <v>0</v>
      </c>
      <c r="AW580" s="270">
        <f t="shared" si="331"/>
        <v>0</v>
      </c>
      <c r="AX580" s="270">
        <f t="shared" si="332"/>
        <v>0</v>
      </c>
      <c r="AY580" s="3168">
        <f t="shared" si="333"/>
        <v>0</v>
      </c>
      <c r="AZ580" s="3123">
        <f t="shared" si="334"/>
        <v>0</v>
      </c>
      <c r="BA580" s="3123">
        <f t="shared" si="335"/>
        <v>0</v>
      </c>
      <c r="BB580" s="3123">
        <f t="shared" si="336"/>
        <v>0</v>
      </c>
      <c r="BC580" s="3123">
        <f t="shared" si="337"/>
        <v>0</v>
      </c>
      <c r="BD580" s="3123">
        <f t="shared" si="338"/>
        <v>0</v>
      </c>
      <c r="BE580" s="3123">
        <f t="shared" si="339"/>
        <v>0</v>
      </c>
      <c r="BF580" s="3123">
        <f t="shared" si="340"/>
        <v>0</v>
      </c>
      <c r="BG580" s="3123">
        <f t="shared" si="341"/>
        <v>0</v>
      </c>
      <c r="BH580" s="3123">
        <f t="shared" si="342"/>
        <v>0</v>
      </c>
      <c r="BI580" s="3123">
        <f t="shared" si="343"/>
        <v>0</v>
      </c>
      <c r="BJ580" s="3123">
        <f t="shared" si="344"/>
        <v>0</v>
      </c>
      <c r="BK580" s="3123">
        <f t="shared" si="345"/>
        <v>0</v>
      </c>
      <c r="BL580" s="3123">
        <f t="shared" si="346"/>
        <v>0</v>
      </c>
      <c r="BM580" s="3123">
        <f t="shared" si="347"/>
        <v>0</v>
      </c>
      <c r="BN580" s="3123">
        <f t="shared" si="348"/>
        <v>0</v>
      </c>
      <c r="BO580" s="3123">
        <f t="shared" si="349"/>
        <v>0</v>
      </c>
      <c r="BP580" s="3123">
        <f t="shared" si="350"/>
        <v>0</v>
      </c>
      <c r="BQ580" s="3123">
        <f t="shared" si="351"/>
        <v>0</v>
      </c>
      <c r="BR580" s="3123">
        <f t="shared" si="352"/>
        <v>0</v>
      </c>
      <c r="BS580" s="3123">
        <f t="shared" si="353"/>
        <v>0</v>
      </c>
      <c r="BT580" s="3175">
        <f t="shared" si="354"/>
        <v>0</v>
      </c>
    </row>
    <row r="581" spans="1:72">
      <c r="A581" s="3120"/>
      <c r="B581" s="3121"/>
      <c r="C581" s="3121"/>
      <c r="D581" s="3122"/>
      <c r="E581" s="3123">
        <f t="shared" si="326"/>
        <v>0</v>
      </c>
      <c r="F581" s="3124"/>
      <c r="G581" s="3125">
        <f t="shared" si="327"/>
        <v>0</v>
      </c>
      <c r="H581" s="3126">
        <f t="shared" si="328"/>
        <v>0</v>
      </c>
      <c r="I581" s="3133"/>
      <c r="J581" s="3133"/>
      <c r="K581" s="3133"/>
      <c r="L581" s="3133"/>
      <c r="M581" s="3133"/>
      <c r="N581" s="3133"/>
      <c r="O581" s="3133"/>
      <c r="P581" s="3133"/>
      <c r="Q581" s="3133"/>
      <c r="R581" s="3133"/>
      <c r="S581" s="3133"/>
      <c r="T581" s="3133"/>
      <c r="U581" s="3133"/>
      <c r="V581" s="3133"/>
      <c r="W581" s="3133"/>
      <c r="X581" s="3133"/>
      <c r="Y581" s="3133"/>
      <c r="Z581" s="3133"/>
      <c r="AA581" s="3133"/>
      <c r="AB581" s="3133"/>
      <c r="AC581" s="3123">
        <f t="shared" si="329"/>
        <v>0</v>
      </c>
      <c r="AD581" s="3143"/>
      <c r="AE581" s="3143"/>
      <c r="AF581" s="3143"/>
      <c r="AG581" s="3143"/>
      <c r="AH581" s="3143"/>
      <c r="AI581" s="3143"/>
      <c r="AJ581" s="3143"/>
      <c r="AK581" s="3143"/>
      <c r="AL581" s="3143"/>
      <c r="AM581" s="3143"/>
      <c r="AN581" s="3143"/>
      <c r="AO581" s="3143"/>
      <c r="AP581" s="3143"/>
      <c r="AQ581" s="3143"/>
      <c r="AR581" s="3143"/>
      <c r="AS581" s="3143"/>
      <c r="AT581" s="3153"/>
      <c r="AU581" s="3154"/>
      <c r="AV581" s="270">
        <f t="shared" si="330"/>
        <v>0</v>
      </c>
      <c r="AW581" s="270">
        <f t="shared" si="331"/>
        <v>0</v>
      </c>
      <c r="AX581" s="270">
        <f t="shared" si="332"/>
        <v>0</v>
      </c>
      <c r="AY581" s="3168">
        <f t="shared" si="333"/>
        <v>0</v>
      </c>
      <c r="AZ581" s="3123">
        <f t="shared" si="334"/>
        <v>0</v>
      </c>
      <c r="BA581" s="3123">
        <f t="shared" si="335"/>
        <v>0</v>
      </c>
      <c r="BB581" s="3123">
        <f t="shared" si="336"/>
        <v>0</v>
      </c>
      <c r="BC581" s="3123">
        <f t="shared" si="337"/>
        <v>0</v>
      </c>
      <c r="BD581" s="3123">
        <f t="shared" si="338"/>
        <v>0</v>
      </c>
      <c r="BE581" s="3123">
        <f t="shared" si="339"/>
        <v>0</v>
      </c>
      <c r="BF581" s="3123">
        <f t="shared" si="340"/>
        <v>0</v>
      </c>
      <c r="BG581" s="3123">
        <f t="shared" si="341"/>
        <v>0</v>
      </c>
      <c r="BH581" s="3123">
        <f t="shared" si="342"/>
        <v>0</v>
      </c>
      <c r="BI581" s="3123">
        <f t="shared" si="343"/>
        <v>0</v>
      </c>
      <c r="BJ581" s="3123">
        <f t="shared" si="344"/>
        <v>0</v>
      </c>
      <c r="BK581" s="3123">
        <f t="shared" si="345"/>
        <v>0</v>
      </c>
      <c r="BL581" s="3123">
        <f t="shared" si="346"/>
        <v>0</v>
      </c>
      <c r="BM581" s="3123">
        <f t="shared" si="347"/>
        <v>0</v>
      </c>
      <c r="BN581" s="3123">
        <f t="shared" si="348"/>
        <v>0</v>
      </c>
      <c r="BO581" s="3123">
        <f t="shared" si="349"/>
        <v>0</v>
      </c>
      <c r="BP581" s="3123">
        <f t="shared" si="350"/>
        <v>0</v>
      </c>
      <c r="BQ581" s="3123">
        <f t="shared" si="351"/>
        <v>0</v>
      </c>
      <c r="BR581" s="3123">
        <f t="shared" si="352"/>
        <v>0</v>
      </c>
      <c r="BS581" s="3123">
        <f t="shared" si="353"/>
        <v>0</v>
      </c>
      <c r="BT581" s="3175">
        <f t="shared" si="354"/>
        <v>0</v>
      </c>
    </row>
    <row r="582" spans="1:72">
      <c r="A582" s="3120"/>
      <c r="B582" s="3121"/>
      <c r="C582" s="3121"/>
      <c r="D582" s="3122"/>
      <c r="E582" s="3123">
        <f t="shared" si="326"/>
        <v>0</v>
      </c>
      <c r="F582" s="3124"/>
      <c r="G582" s="3125">
        <f t="shared" si="327"/>
        <v>0</v>
      </c>
      <c r="H582" s="3126">
        <f t="shared" si="328"/>
        <v>0</v>
      </c>
      <c r="I582" s="3133"/>
      <c r="J582" s="3133"/>
      <c r="K582" s="3133"/>
      <c r="L582" s="3133"/>
      <c r="M582" s="3133"/>
      <c r="N582" s="3133"/>
      <c r="O582" s="3133"/>
      <c r="P582" s="3133"/>
      <c r="Q582" s="3133"/>
      <c r="R582" s="3133"/>
      <c r="S582" s="3133"/>
      <c r="T582" s="3133"/>
      <c r="U582" s="3133"/>
      <c r="V582" s="3133"/>
      <c r="W582" s="3133"/>
      <c r="X582" s="3133"/>
      <c r="Y582" s="3133"/>
      <c r="Z582" s="3133"/>
      <c r="AA582" s="3133"/>
      <c r="AB582" s="3133"/>
      <c r="AC582" s="3123">
        <f t="shared" si="329"/>
        <v>0</v>
      </c>
      <c r="AD582" s="3143"/>
      <c r="AE582" s="3143"/>
      <c r="AF582" s="3143"/>
      <c r="AG582" s="3143"/>
      <c r="AH582" s="3143"/>
      <c r="AI582" s="3143"/>
      <c r="AJ582" s="3143"/>
      <c r="AK582" s="3143"/>
      <c r="AL582" s="3143"/>
      <c r="AM582" s="3143"/>
      <c r="AN582" s="3143"/>
      <c r="AO582" s="3143"/>
      <c r="AP582" s="3143"/>
      <c r="AQ582" s="3143"/>
      <c r="AR582" s="3143"/>
      <c r="AS582" s="3143"/>
      <c r="AT582" s="3153"/>
      <c r="AU582" s="3154"/>
      <c r="AV582" s="270">
        <f t="shared" si="330"/>
        <v>0</v>
      </c>
      <c r="AW582" s="270">
        <f t="shared" si="331"/>
        <v>0</v>
      </c>
      <c r="AX582" s="270">
        <f t="shared" si="332"/>
        <v>0</v>
      </c>
      <c r="AY582" s="3168">
        <f t="shared" si="333"/>
        <v>0</v>
      </c>
      <c r="AZ582" s="3123">
        <f t="shared" si="334"/>
        <v>0</v>
      </c>
      <c r="BA582" s="3123">
        <f t="shared" si="335"/>
        <v>0</v>
      </c>
      <c r="BB582" s="3123">
        <f t="shared" si="336"/>
        <v>0</v>
      </c>
      <c r="BC582" s="3123">
        <f t="shared" si="337"/>
        <v>0</v>
      </c>
      <c r="BD582" s="3123">
        <f t="shared" si="338"/>
        <v>0</v>
      </c>
      <c r="BE582" s="3123">
        <f t="shared" si="339"/>
        <v>0</v>
      </c>
      <c r="BF582" s="3123">
        <f t="shared" si="340"/>
        <v>0</v>
      </c>
      <c r="BG582" s="3123">
        <f t="shared" si="341"/>
        <v>0</v>
      </c>
      <c r="BH582" s="3123">
        <f t="shared" si="342"/>
        <v>0</v>
      </c>
      <c r="BI582" s="3123">
        <f t="shared" si="343"/>
        <v>0</v>
      </c>
      <c r="BJ582" s="3123">
        <f t="shared" si="344"/>
        <v>0</v>
      </c>
      <c r="BK582" s="3123">
        <f t="shared" si="345"/>
        <v>0</v>
      </c>
      <c r="BL582" s="3123">
        <f t="shared" si="346"/>
        <v>0</v>
      </c>
      <c r="BM582" s="3123">
        <f t="shared" si="347"/>
        <v>0</v>
      </c>
      <c r="BN582" s="3123">
        <f t="shared" si="348"/>
        <v>0</v>
      </c>
      <c r="BO582" s="3123">
        <f t="shared" si="349"/>
        <v>0</v>
      </c>
      <c r="BP582" s="3123">
        <f t="shared" si="350"/>
        <v>0</v>
      </c>
      <c r="BQ582" s="3123">
        <f t="shared" si="351"/>
        <v>0</v>
      </c>
      <c r="BR582" s="3123">
        <f t="shared" si="352"/>
        <v>0</v>
      </c>
      <c r="BS582" s="3123">
        <f t="shared" si="353"/>
        <v>0</v>
      </c>
      <c r="BT582" s="3175">
        <f t="shared" si="354"/>
        <v>0</v>
      </c>
    </row>
    <row r="583" spans="1:72">
      <c r="A583" s="3120"/>
      <c r="B583" s="3121"/>
      <c r="C583" s="3121"/>
      <c r="D583" s="3122"/>
      <c r="E583" s="3123">
        <f t="shared" si="326"/>
        <v>0</v>
      </c>
      <c r="F583" s="3124"/>
      <c r="G583" s="3125">
        <f t="shared" si="327"/>
        <v>0</v>
      </c>
      <c r="H583" s="3126">
        <f t="shared" si="328"/>
        <v>0</v>
      </c>
      <c r="I583" s="3133"/>
      <c r="J583" s="3133"/>
      <c r="K583" s="3133"/>
      <c r="L583" s="3133"/>
      <c r="M583" s="3133"/>
      <c r="N583" s="3133"/>
      <c r="O583" s="3133"/>
      <c r="P583" s="3133"/>
      <c r="Q583" s="3133"/>
      <c r="R583" s="3133"/>
      <c r="S583" s="3133"/>
      <c r="T583" s="3133"/>
      <c r="U583" s="3133"/>
      <c r="V583" s="3133"/>
      <c r="W583" s="3133"/>
      <c r="X583" s="3133"/>
      <c r="Y583" s="3133"/>
      <c r="Z583" s="3133"/>
      <c r="AA583" s="3133"/>
      <c r="AB583" s="3133"/>
      <c r="AC583" s="3123">
        <f t="shared" si="329"/>
        <v>0</v>
      </c>
      <c r="AD583" s="3143"/>
      <c r="AE583" s="3143"/>
      <c r="AF583" s="3143"/>
      <c r="AG583" s="3143"/>
      <c r="AH583" s="3143"/>
      <c r="AI583" s="3143"/>
      <c r="AJ583" s="3143"/>
      <c r="AK583" s="3143"/>
      <c r="AL583" s="3143"/>
      <c r="AM583" s="3143"/>
      <c r="AN583" s="3143"/>
      <c r="AO583" s="3143"/>
      <c r="AP583" s="3143"/>
      <c r="AQ583" s="3143"/>
      <c r="AR583" s="3143"/>
      <c r="AS583" s="3143"/>
      <c r="AT583" s="3153"/>
      <c r="AU583" s="3154"/>
      <c r="AV583" s="270">
        <f t="shared" si="330"/>
        <v>0</v>
      </c>
      <c r="AW583" s="270">
        <f t="shared" si="331"/>
        <v>0</v>
      </c>
      <c r="AX583" s="270">
        <f t="shared" si="332"/>
        <v>0</v>
      </c>
      <c r="AY583" s="3168">
        <f t="shared" si="333"/>
        <v>0</v>
      </c>
      <c r="AZ583" s="3123">
        <f t="shared" si="334"/>
        <v>0</v>
      </c>
      <c r="BA583" s="3123">
        <f t="shared" si="335"/>
        <v>0</v>
      </c>
      <c r="BB583" s="3123">
        <f t="shared" si="336"/>
        <v>0</v>
      </c>
      <c r="BC583" s="3123">
        <f t="shared" si="337"/>
        <v>0</v>
      </c>
      <c r="BD583" s="3123">
        <f t="shared" si="338"/>
        <v>0</v>
      </c>
      <c r="BE583" s="3123">
        <f t="shared" si="339"/>
        <v>0</v>
      </c>
      <c r="BF583" s="3123">
        <f t="shared" si="340"/>
        <v>0</v>
      </c>
      <c r="BG583" s="3123">
        <f t="shared" si="341"/>
        <v>0</v>
      </c>
      <c r="BH583" s="3123">
        <f t="shared" si="342"/>
        <v>0</v>
      </c>
      <c r="BI583" s="3123">
        <f t="shared" si="343"/>
        <v>0</v>
      </c>
      <c r="BJ583" s="3123">
        <f t="shared" si="344"/>
        <v>0</v>
      </c>
      <c r="BK583" s="3123">
        <f t="shared" si="345"/>
        <v>0</v>
      </c>
      <c r="BL583" s="3123">
        <f t="shared" si="346"/>
        <v>0</v>
      </c>
      <c r="BM583" s="3123">
        <f t="shared" si="347"/>
        <v>0</v>
      </c>
      <c r="BN583" s="3123">
        <f t="shared" si="348"/>
        <v>0</v>
      </c>
      <c r="BO583" s="3123">
        <f t="shared" si="349"/>
        <v>0</v>
      </c>
      <c r="BP583" s="3123">
        <f t="shared" si="350"/>
        <v>0</v>
      </c>
      <c r="BQ583" s="3123">
        <f t="shared" si="351"/>
        <v>0</v>
      </c>
      <c r="BR583" s="3123">
        <f t="shared" si="352"/>
        <v>0</v>
      </c>
      <c r="BS583" s="3123">
        <f t="shared" si="353"/>
        <v>0</v>
      </c>
      <c r="BT583" s="3175">
        <f t="shared" si="354"/>
        <v>0</v>
      </c>
    </row>
    <row r="584" spans="1:72">
      <c r="A584" s="3120"/>
      <c r="B584" s="3121"/>
      <c r="C584" s="3121"/>
      <c r="D584" s="3122"/>
      <c r="E584" s="3123">
        <f t="shared" si="326"/>
        <v>0</v>
      </c>
      <c r="F584" s="3124"/>
      <c r="G584" s="3125">
        <f t="shared" si="327"/>
        <v>0</v>
      </c>
      <c r="H584" s="3126">
        <f t="shared" si="328"/>
        <v>0</v>
      </c>
      <c r="I584" s="3133"/>
      <c r="J584" s="3133"/>
      <c r="K584" s="3133"/>
      <c r="L584" s="3133"/>
      <c r="M584" s="3133"/>
      <c r="N584" s="3133"/>
      <c r="O584" s="3133"/>
      <c r="P584" s="3133"/>
      <c r="Q584" s="3133"/>
      <c r="R584" s="3133"/>
      <c r="S584" s="3133"/>
      <c r="T584" s="3133"/>
      <c r="U584" s="3133"/>
      <c r="V584" s="3133"/>
      <c r="W584" s="3133"/>
      <c r="X584" s="3133"/>
      <c r="Y584" s="3133"/>
      <c r="Z584" s="3133"/>
      <c r="AA584" s="3133"/>
      <c r="AB584" s="3133"/>
      <c r="AC584" s="3123">
        <f t="shared" si="329"/>
        <v>0</v>
      </c>
      <c r="AD584" s="3143"/>
      <c r="AE584" s="3143"/>
      <c r="AF584" s="3143"/>
      <c r="AG584" s="3143"/>
      <c r="AH584" s="3143"/>
      <c r="AI584" s="3143"/>
      <c r="AJ584" s="3143"/>
      <c r="AK584" s="3143"/>
      <c r="AL584" s="3143"/>
      <c r="AM584" s="3143"/>
      <c r="AN584" s="3143"/>
      <c r="AO584" s="3143"/>
      <c r="AP584" s="3143"/>
      <c r="AQ584" s="3143"/>
      <c r="AR584" s="3143"/>
      <c r="AS584" s="3143"/>
      <c r="AT584" s="3153"/>
      <c r="AU584" s="3154"/>
      <c r="AV584" s="270">
        <f t="shared" si="330"/>
        <v>0</v>
      </c>
      <c r="AW584" s="270">
        <f t="shared" si="331"/>
        <v>0</v>
      </c>
      <c r="AX584" s="270">
        <f t="shared" si="332"/>
        <v>0</v>
      </c>
      <c r="AY584" s="3168">
        <f t="shared" si="333"/>
        <v>0</v>
      </c>
      <c r="AZ584" s="3123">
        <f t="shared" si="334"/>
        <v>0</v>
      </c>
      <c r="BA584" s="3123">
        <f t="shared" si="335"/>
        <v>0</v>
      </c>
      <c r="BB584" s="3123">
        <f t="shared" si="336"/>
        <v>0</v>
      </c>
      <c r="BC584" s="3123">
        <f t="shared" si="337"/>
        <v>0</v>
      </c>
      <c r="BD584" s="3123">
        <f t="shared" si="338"/>
        <v>0</v>
      </c>
      <c r="BE584" s="3123">
        <f t="shared" si="339"/>
        <v>0</v>
      </c>
      <c r="BF584" s="3123">
        <f t="shared" si="340"/>
        <v>0</v>
      </c>
      <c r="BG584" s="3123">
        <f t="shared" si="341"/>
        <v>0</v>
      </c>
      <c r="BH584" s="3123">
        <f t="shared" si="342"/>
        <v>0</v>
      </c>
      <c r="BI584" s="3123">
        <f t="shared" si="343"/>
        <v>0</v>
      </c>
      <c r="BJ584" s="3123">
        <f t="shared" si="344"/>
        <v>0</v>
      </c>
      <c r="BK584" s="3123">
        <f t="shared" si="345"/>
        <v>0</v>
      </c>
      <c r="BL584" s="3123">
        <f t="shared" si="346"/>
        <v>0</v>
      </c>
      <c r="BM584" s="3123">
        <f t="shared" si="347"/>
        <v>0</v>
      </c>
      <c r="BN584" s="3123">
        <f t="shared" si="348"/>
        <v>0</v>
      </c>
      <c r="BO584" s="3123">
        <f t="shared" si="349"/>
        <v>0</v>
      </c>
      <c r="BP584" s="3123">
        <f t="shared" si="350"/>
        <v>0</v>
      </c>
      <c r="BQ584" s="3123">
        <f t="shared" si="351"/>
        <v>0</v>
      </c>
      <c r="BR584" s="3123">
        <f t="shared" si="352"/>
        <v>0</v>
      </c>
      <c r="BS584" s="3123">
        <f t="shared" si="353"/>
        <v>0</v>
      </c>
      <c r="BT584" s="3175">
        <f t="shared" si="354"/>
        <v>0</v>
      </c>
    </row>
    <row r="585" spans="1:72">
      <c r="A585" s="3120"/>
      <c r="B585" s="3120"/>
      <c r="C585" s="3120"/>
      <c r="D585" s="3122"/>
      <c r="E585" s="3123">
        <f t="shared" si="326"/>
        <v>0</v>
      </c>
      <c r="F585" s="3176"/>
      <c r="G585" s="3125">
        <f t="shared" si="327"/>
        <v>0</v>
      </c>
      <c r="H585" s="3126">
        <f t="shared" si="328"/>
        <v>0</v>
      </c>
      <c r="I585" s="3177"/>
      <c r="J585" s="3177"/>
      <c r="K585" s="3133"/>
      <c r="L585" s="3133"/>
      <c r="M585" s="3133"/>
      <c r="N585" s="3133"/>
      <c r="O585" s="3133"/>
      <c r="P585" s="3133"/>
      <c r="Q585" s="3133"/>
      <c r="R585" s="3133"/>
      <c r="S585" s="3133"/>
      <c r="T585" s="3133"/>
      <c r="U585" s="3133"/>
      <c r="V585" s="3133"/>
      <c r="W585" s="3133"/>
      <c r="X585" s="3133"/>
      <c r="Y585" s="3133"/>
      <c r="Z585" s="3133"/>
      <c r="AA585" s="3133"/>
      <c r="AB585" s="3133"/>
      <c r="AC585" s="3123">
        <f t="shared" si="329"/>
        <v>0</v>
      </c>
      <c r="AD585" s="3143"/>
      <c r="AE585" s="3143"/>
      <c r="AF585" s="3143"/>
      <c r="AG585" s="3143"/>
      <c r="AH585" s="3143"/>
      <c r="AI585" s="3143"/>
      <c r="AJ585" s="3143"/>
      <c r="AK585" s="3143"/>
      <c r="AL585" s="3143"/>
      <c r="AM585" s="3143"/>
      <c r="AN585" s="3143"/>
      <c r="AO585" s="3143"/>
      <c r="AP585" s="3143"/>
      <c r="AQ585" s="3143"/>
      <c r="AR585" s="3143"/>
      <c r="AS585" s="3143"/>
      <c r="AT585" s="3143"/>
      <c r="AU585" s="3178"/>
      <c r="AV585" s="270">
        <f t="shared" si="330"/>
        <v>0</v>
      </c>
      <c r="AW585" s="270">
        <f t="shared" si="331"/>
        <v>0</v>
      </c>
      <c r="AX585" s="270">
        <f t="shared" si="332"/>
        <v>0</v>
      </c>
      <c r="AY585" s="3168">
        <f t="shared" si="333"/>
        <v>0</v>
      </c>
      <c r="AZ585" s="3123">
        <f t="shared" si="334"/>
        <v>0</v>
      </c>
      <c r="BA585" s="3123">
        <f t="shared" si="335"/>
        <v>0</v>
      </c>
      <c r="BB585" s="3123">
        <f t="shared" si="336"/>
        <v>0</v>
      </c>
      <c r="BC585" s="3123">
        <f t="shared" si="337"/>
        <v>0</v>
      </c>
      <c r="BD585" s="3123">
        <f t="shared" si="338"/>
        <v>0</v>
      </c>
      <c r="BE585" s="3123">
        <f t="shared" si="339"/>
        <v>0</v>
      </c>
      <c r="BF585" s="3123">
        <f t="shared" si="340"/>
        <v>0</v>
      </c>
      <c r="BG585" s="3123">
        <f t="shared" si="341"/>
        <v>0</v>
      </c>
      <c r="BH585" s="3123">
        <f t="shared" si="342"/>
        <v>0</v>
      </c>
      <c r="BI585" s="3123">
        <f t="shared" si="343"/>
        <v>0</v>
      </c>
      <c r="BJ585" s="3123">
        <f t="shared" si="344"/>
        <v>0</v>
      </c>
      <c r="BK585" s="3123">
        <f t="shared" si="345"/>
        <v>0</v>
      </c>
      <c r="BL585" s="3123">
        <f t="shared" si="346"/>
        <v>0</v>
      </c>
      <c r="BM585" s="3123">
        <f t="shared" si="347"/>
        <v>0</v>
      </c>
      <c r="BN585" s="3123">
        <f t="shared" si="348"/>
        <v>0</v>
      </c>
      <c r="BO585" s="3123">
        <f t="shared" si="349"/>
        <v>0</v>
      </c>
      <c r="BP585" s="3123">
        <f t="shared" si="350"/>
        <v>0</v>
      </c>
      <c r="BQ585" s="3123">
        <f t="shared" si="351"/>
        <v>0</v>
      </c>
      <c r="BR585" s="3123">
        <f t="shared" si="352"/>
        <v>0</v>
      </c>
      <c r="BS585" s="3123">
        <f t="shared" si="353"/>
        <v>0</v>
      </c>
      <c r="BT585" s="3175">
        <f t="shared" si="354"/>
        <v>0</v>
      </c>
    </row>
    <row r="586" spans="1:72">
      <c r="A586" s="3120"/>
      <c r="B586" s="3120"/>
      <c r="C586" s="3120"/>
      <c r="D586" s="3122"/>
      <c r="E586" s="3123">
        <f t="shared" si="326"/>
        <v>0</v>
      </c>
      <c r="F586" s="3176"/>
      <c r="G586" s="3125">
        <f t="shared" si="327"/>
        <v>0</v>
      </c>
      <c r="H586" s="3126">
        <f t="shared" si="328"/>
        <v>0</v>
      </c>
      <c r="I586" s="3133"/>
      <c r="J586" s="3133"/>
      <c r="K586" s="3133"/>
      <c r="L586" s="3133"/>
      <c r="M586" s="3133"/>
      <c r="N586" s="3133"/>
      <c r="O586" s="3133"/>
      <c r="P586" s="3133"/>
      <c r="Q586" s="3133"/>
      <c r="R586" s="3133"/>
      <c r="S586" s="3133"/>
      <c r="T586" s="3133"/>
      <c r="U586" s="3133"/>
      <c r="V586" s="3133"/>
      <c r="W586" s="3133"/>
      <c r="X586" s="3133"/>
      <c r="Y586" s="3133"/>
      <c r="Z586" s="3133"/>
      <c r="AA586" s="3133"/>
      <c r="AB586" s="3133"/>
      <c r="AC586" s="3123">
        <f t="shared" si="329"/>
        <v>0</v>
      </c>
      <c r="AD586" s="3143"/>
      <c r="AE586" s="3143"/>
      <c r="AF586" s="3143"/>
      <c r="AG586" s="3143"/>
      <c r="AH586" s="3143"/>
      <c r="AI586" s="3143"/>
      <c r="AJ586" s="3143"/>
      <c r="AK586" s="3143"/>
      <c r="AL586" s="3143"/>
      <c r="AM586" s="3143"/>
      <c r="AN586" s="3143"/>
      <c r="AO586" s="3143"/>
      <c r="AP586" s="3143"/>
      <c r="AQ586" s="3143"/>
      <c r="AR586" s="3143"/>
      <c r="AS586" s="3143"/>
      <c r="AT586" s="3143"/>
      <c r="AU586" s="3178"/>
      <c r="AV586" s="270">
        <f t="shared" si="330"/>
        <v>0</v>
      </c>
      <c r="AW586" s="270">
        <f t="shared" si="331"/>
        <v>0</v>
      </c>
      <c r="AX586" s="270">
        <f t="shared" si="332"/>
        <v>0</v>
      </c>
      <c r="AY586" s="3168">
        <f t="shared" si="333"/>
        <v>0</v>
      </c>
      <c r="AZ586" s="3123">
        <f t="shared" si="334"/>
        <v>0</v>
      </c>
      <c r="BA586" s="3123">
        <f t="shared" si="335"/>
        <v>0</v>
      </c>
      <c r="BB586" s="3123">
        <f t="shared" si="336"/>
        <v>0</v>
      </c>
      <c r="BC586" s="3123">
        <f t="shared" si="337"/>
        <v>0</v>
      </c>
      <c r="BD586" s="3123">
        <f t="shared" si="338"/>
        <v>0</v>
      </c>
      <c r="BE586" s="3123">
        <f t="shared" si="339"/>
        <v>0</v>
      </c>
      <c r="BF586" s="3123">
        <f t="shared" si="340"/>
        <v>0</v>
      </c>
      <c r="BG586" s="3123">
        <f t="shared" si="341"/>
        <v>0</v>
      </c>
      <c r="BH586" s="3123">
        <f t="shared" si="342"/>
        <v>0</v>
      </c>
      <c r="BI586" s="3123">
        <f t="shared" si="343"/>
        <v>0</v>
      </c>
      <c r="BJ586" s="3123">
        <f t="shared" si="344"/>
        <v>0</v>
      </c>
      <c r="BK586" s="3123">
        <f t="shared" si="345"/>
        <v>0</v>
      </c>
      <c r="BL586" s="3123">
        <f t="shared" si="346"/>
        <v>0</v>
      </c>
      <c r="BM586" s="3123">
        <f t="shared" si="347"/>
        <v>0</v>
      </c>
      <c r="BN586" s="3123">
        <f t="shared" si="348"/>
        <v>0</v>
      </c>
      <c r="BO586" s="3123">
        <f t="shared" si="349"/>
        <v>0</v>
      </c>
      <c r="BP586" s="3123">
        <f t="shared" si="350"/>
        <v>0</v>
      </c>
      <c r="BQ586" s="3123">
        <f t="shared" si="351"/>
        <v>0</v>
      </c>
      <c r="BR586" s="3123">
        <f t="shared" si="352"/>
        <v>0</v>
      </c>
      <c r="BS586" s="3123">
        <f t="shared" si="353"/>
        <v>0</v>
      </c>
      <c r="BT586" s="3175">
        <f t="shared" si="354"/>
        <v>0</v>
      </c>
    </row>
    <row r="587" spans="1:72">
      <c r="A587" s="3120"/>
      <c r="B587" s="3120"/>
      <c r="C587" s="3120"/>
      <c r="D587" s="3122"/>
      <c r="E587" s="3123">
        <f t="shared" si="326"/>
        <v>0</v>
      </c>
      <c r="F587" s="3176"/>
      <c r="G587" s="3125">
        <f t="shared" si="327"/>
        <v>0</v>
      </c>
      <c r="H587" s="3126">
        <f t="shared" si="328"/>
        <v>0</v>
      </c>
      <c r="I587" s="3133"/>
      <c r="J587" s="3133"/>
      <c r="K587" s="3133"/>
      <c r="L587" s="3133"/>
      <c r="M587" s="3133"/>
      <c r="N587" s="3133"/>
      <c r="O587" s="3133"/>
      <c r="P587" s="3133"/>
      <c r="Q587" s="3133"/>
      <c r="R587" s="3133"/>
      <c r="S587" s="3133"/>
      <c r="T587" s="3133"/>
      <c r="U587" s="3133"/>
      <c r="V587" s="3133"/>
      <c r="W587" s="3133"/>
      <c r="X587" s="3133"/>
      <c r="Y587" s="3133"/>
      <c r="Z587" s="3133"/>
      <c r="AA587" s="3133"/>
      <c r="AB587" s="3133"/>
      <c r="AC587" s="3123">
        <f t="shared" si="329"/>
        <v>0</v>
      </c>
      <c r="AD587" s="3143"/>
      <c r="AE587" s="3143"/>
      <c r="AF587" s="3143"/>
      <c r="AG587" s="3143"/>
      <c r="AH587" s="3143"/>
      <c r="AI587" s="3143"/>
      <c r="AJ587" s="3143"/>
      <c r="AK587" s="3143"/>
      <c r="AL587" s="3143"/>
      <c r="AM587" s="3143"/>
      <c r="AN587" s="3143"/>
      <c r="AO587" s="3143"/>
      <c r="AP587" s="3143"/>
      <c r="AQ587" s="3143"/>
      <c r="AR587" s="3143"/>
      <c r="AS587" s="3143"/>
      <c r="AT587" s="3143"/>
      <c r="AU587" s="3178"/>
      <c r="AV587" s="270">
        <f t="shared" si="330"/>
        <v>0</v>
      </c>
      <c r="AW587" s="270">
        <f t="shared" si="331"/>
        <v>0</v>
      </c>
      <c r="AX587" s="270">
        <f t="shared" si="332"/>
        <v>0</v>
      </c>
      <c r="AY587" s="3168">
        <f t="shared" si="333"/>
        <v>0</v>
      </c>
      <c r="AZ587" s="3123">
        <f t="shared" si="334"/>
        <v>0</v>
      </c>
      <c r="BA587" s="3123">
        <f t="shared" si="335"/>
        <v>0</v>
      </c>
      <c r="BB587" s="3123">
        <f t="shared" si="336"/>
        <v>0</v>
      </c>
      <c r="BC587" s="3123">
        <f t="shared" si="337"/>
        <v>0</v>
      </c>
      <c r="BD587" s="3123">
        <f t="shared" si="338"/>
        <v>0</v>
      </c>
      <c r="BE587" s="3123">
        <f t="shared" si="339"/>
        <v>0</v>
      </c>
      <c r="BF587" s="3123">
        <f t="shared" si="340"/>
        <v>0</v>
      </c>
      <c r="BG587" s="3123">
        <f t="shared" si="341"/>
        <v>0</v>
      </c>
      <c r="BH587" s="3123">
        <f t="shared" si="342"/>
        <v>0</v>
      </c>
      <c r="BI587" s="3123">
        <f t="shared" si="343"/>
        <v>0</v>
      </c>
      <c r="BJ587" s="3123">
        <f t="shared" si="344"/>
        <v>0</v>
      </c>
      <c r="BK587" s="3123">
        <f t="shared" si="345"/>
        <v>0</v>
      </c>
      <c r="BL587" s="3123">
        <f t="shared" si="346"/>
        <v>0</v>
      </c>
      <c r="BM587" s="3123">
        <f t="shared" si="347"/>
        <v>0</v>
      </c>
      <c r="BN587" s="3123">
        <f t="shared" si="348"/>
        <v>0</v>
      </c>
      <c r="BO587" s="3123">
        <f t="shared" si="349"/>
        <v>0</v>
      </c>
      <c r="BP587" s="3123">
        <f t="shared" si="350"/>
        <v>0</v>
      </c>
      <c r="BQ587" s="3123">
        <f t="shared" si="351"/>
        <v>0</v>
      </c>
      <c r="BR587" s="3123">
        <f t="shared" si="352"/>
        <v>0</v>
      </c>
      <c r="BS587" s="3123">
        <f t="shared" si="353"/>
        <v>0</v>
      </c>
      <c r="BT587" s="3175">
        <f t="shared" si="354"/>
        <v>0</v>
      </c>
    </row>
    <row r="588" s="3089" customFormat="1" spans="1:50">
      <c r="A588" s="3179"/>
      <c r="B588" s="3179"/>
      <c r="C588" s="3179"/>
      <c r="D588" s="3179"/>
      <c r="E588" s="3180"/>
      <c r="F588" s="3180"/>
      <c r="G588" s="3179"/>
      <c r="H588" s="3180"/>
      <c r="I588" s="3180"/>
      <c r="J588" s="3180"/>
      <c r="K588" s="3180"/>
      <c r="L588" s="3180"/>
      <c r="M588" s="3180"/>
      <c r="N588" s="3180"/>
      <c r="O588" s="3180"/>
      <c r="P588" s="3180"/>
      <c r="Q588" s="3180"/>
      <c r="R588" s="3180"/>
      <c r="S588" s="3180"/>
      <c r="T588" s="3180"/>
      <c r="U588" s="3180"/>
      <c r="V588" s="3180"/>
      <c r="W588" s="3180"/>
      <c r="X588" s="3180"/>
      <c r="Y588" s="3180"/>
      <c r="Z588" s="3180"/>
      <c r="AA588" s="3180"/>
      <c r="AB588" s="3180"/>
      <c r="AC588" s="3180"/>
      <c r="AD588" s="3180"/>
      <c r="AE588" s="3180"/>
      <c r="AF588" s="3180"/>
      <c r="AG588" s="3180"/>
      <c r="AH588" s="3180"/>
      <c r="AI588" s="3180"/>
      <c r="AJ588" s="3180"/>
      <c r="AK588" s="3180"/>
      <c r="AL588" s="3180"/>
      <c r="AM588" s="3180"/>
      <c r="AN588" s="3180"/>
      <c r="AO588" s="3180"/>
      <c r="AP588" s="3180"/>
      <c r="AQ588" s="3180"/>
      <c r="AR588" s="3180"/>
      <c r="AS588" s="3180"/>
      <c r="AT588" s="3180"/>
      <c r="AU588" s="3179"/>
      <c r="AV588" s="3179"/>
      <c r="AW588" s="3179"/>
      <c r="AX588" s="3179"/>
    </row>
    <row r="589" s="3090" customFormat="1" spans="3:4">
      <c r="C589" s="3181"/>
      <c r="D589" s="3181"/>
    </row>
    <row r="590" s="3090" customFormat="1" spans="3:4">
      <c r="C590" s="3181"/>
      <c r="D590" s="3181"/>
    </row>
    <row r="593" spans="2:2">
      <c r="B593" s="3181"/>
    </row>
  </sheetData>
  <sheetProtection password="C66D" sheet="1" formatCells="0" formatColumns="0" formatRows="0" objects="1" scenarios="1"/>
  <dataValidations count="5">
    <dataValidation type="list" allowBlank="1" showInputMessage="1" showErrorMessage="1" sqref="C3 D13:D587">
      <formula1>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4.4"/>
  <cols>
    <col min="1" max="1" width="12.1111111111111" style="3082" customWidth="1"/>
    <col min="2" max="2" width="10.6666666666667" style="3082" customWidth="1"/>
    <col min="3" max="3" width="15.7777777777778" style="3082" customWidth="1"/>
    <col min="4" max="7" width="9.44444444444444" style="3082" customWidth="1"/>
    <col min="8" max="13" width="9.11111111111111" style="3082" customWidth="1"/>
    <col min="14" max="16384" width="9" style="3082"/>
  </cols>
  <sheetData>
    <row r="1" ht="15.6" spans="1:13">
      <c r="A1" s="3083" t="s">
        <v>465</v>
      </c>
      <c r="B1" s="3083" t="s">
        <v>466</v>
      </c>
      <c r="C1" s="3083" t="s">
        <v>467</v>
      </c>
      <c r="D1" s="3084" t="s">
        <v>468</v>
      </c>
      <c r="E1" s="3084" t="s">
        <v>469</v>
      </c>
      <c r="F1" s="3084"/>
      <c r="G1" s="3084"/>
      <c r="H1" s="3084"/>
      <c r="I1" s="3084"/>
      <c r="J1" s="3084"/>
      <c r="K1" s="3084"/>
      <c r="L1" s="3084"/>
      <c r="M1" s="3084"/>
    </row>
    <row r="2" ht="27" customHeight="1" spans="1:13">
      <c r="A2" s="3083"/>
      <c r="B2" s="3083"/>
      <c r="C2" s="3083"/>
      <c r="D2" s="3084"/>
      <c r="E2" s="3084" t="s">
        <v>470</v>
      </c>
      <c r="F2" s="3084" t="s">
        <v>471</v>
      </c>
      <c r="G2" s="3084"/>
      <c r="H2" s="3084"/>
      <c r="I2" s="3084"/>
      <c r="J2" s="3084" t="s">
        <v>472</v>
      </c>
      <c r="K2" s="3084"/>
      <c r="L2" s="3084"/>
      <c r="M2" s="3084"/>
    </row>
    <row r="3" ht="46.8" spans="1:13">
      <c r="A3" s="3083"/>
      <c r="B3" s="3083"/>
      <c r="C3" s="3083"/>
      <c r="D3" s="3084"/>
      <c r="E3" s="3084"/>
      <c r="F3" s="3085" t="s">
        <v>473</v>
      </c>
      <c r="G3" s="3085" t="s">
        <v>474</v>
      </c>
      <c r="H3" s="3085" t="s">
        <v>475</v>
      </c>
      <c r="I3" s="3085" t="s">
        <v>476</v>
      </c>
      <c r="J3" s="3085" t="s">
        <v>473</v>
      </c>
      <c r="K3" s="3085" t="s">
        <v>477</v>
      </c>
      <c r="L3" s="3085" t="s">
        <v>478</v>
      </c>
      <c r="M3" s="3085" t="s">
        <v>479</v>
      </c>
    </row>
    <row r="4" ht="46.8" spans="1:13">
      <c r="A4" s="3085" t="s">
        <v>480</v>
      </c>
      <c r="B4" s="3085" t="s">
        <v>481</v>
      </c>
      <c r="C4" s="3085" t="s">
        <v>482</v>
      </c>
      <c r="D4" s="3084">
        <v>3807.94</v>
      </c>
      <c r="E4" s="3084">
        <v>20666.91</v>
      </c>
      <c r="F4" s="3084">
        <v>19673</v>
      </c>
      <c r="G4" s="3084">
        <v>0</v>
      </c>
      <c r="H4" s="3084">
        <v>19673</v>
      </c>
      <c r="I4" s="3084">
        <v>0</v>
      </c>
      <c r="J4" s="3084">
        <v>993.91</v>
      </c>
      <c r="K4" s="3084">
        <v>0</v>
      </c>
      <c r="L4" s="3084">
        <v>0</v>
      </c>
      <c r="M4" s="3084">
        <v>993.91</v>
      </c>
    </row>
    <row r="5" ht="46.8" spans="1:13">
      <c r="A5" s="3085" t="s">
        <v>480</v>
      </c>
      <c r="B5" s="3085" t="s">
        <v>483</v>
      </c>
      <c r="C5" s="3085" t="s">
        <v>484</v>
      </c>
      <c r="D5" s="3084">
        <v>3667.86</v>
      </c>
      <c r="E5" s="3084">
        <v>19906.61</v>
      </c>
      <c r="F5" s="3084">
        <v>18792.87</v>
      </c>
      <c r="G5" s="3084">
        <v>18792.87</v>
      </c>
      <c r="H5" s="3084">
        <v>0</v>
      </c>
      <c r="I5" s="3084">
        <v>0</v>
      </c>
      <c r="J5" s="3084">
        <v>1113.74</v>
      </c>
      <c r="K5" s="3084">
        <v>55.59</v>
      </c>
      <c r="L5" s="3084">
        <v>0</v>
      </c>
      <c r="M5" s="3084">
        <v>1058.15</v>
      </c>
    </row>
    <row r="6" ht="46.8" spans="1:13">
      <c r="A6" s="3085" t="s">
        <v>480</v>
      </c>
      <c r="B6" s="3085" t="s">
        <v>483</v>
      </c>
      <c r="C6" s="3085" t="s">
        <v>485</v>
      </c>
      <c r="D6" s="3084">
        <v>2067.52</v>
      </c>
      <c r="E6" s="3084">
        <v>11221.06</v>
      </c>
      <c r="F6" s="3084">
        <v>9934.13</v>
      </c>
      <c r="G6" s="3084">
        <v>9934.13</v>
      </c>
      <c r="H6" s="3084">
        <v>0</v>
      </c>
      <c r="I6" s="3084">
        <v>0</v>
      </c>
      <c r="J6" s="3084">
        <v>1286.93</v>
      </c>
      <c r="K6" s="3084">
        <v>0</v>
      </c>
      <c r="L6" s="3084">
        <v>0</v>
      </c>
      <c r="M6" s="3084">
        <v>1286.93</v>
      </c>
    </row>
    <row r="7" ht="46.8" spans="1:13">
      <c r="A7" s="3085" t="s">
        <v>480</v>
      </c>
      <c r="B7" s="3085" t="s">
        <v>483</v>
      </c>
      <c r="C7" s="3085" t="s">
        <v>486</v>
      </c>
      <c r="D7" s="3084">
        <v>8.18</v>
      </c>
      <c r="E7" s="3084">
        <v>44.41</v>
      </c>
      <c r="F7" s="3084">
        <v>0</v>
      </c>
      <c r="G7" s="3084">
        <v>0</v>
      </c>
      <c r="H7" s="3084">
        <v>0</v>
      </c>
      <c r="I7" s="3084">
        <v>0</v>
      </c>
      <c r="J7" s="3084">
        <v>44.41</v>
      </c>
      <c r="K7" s="3084">
        <v>44.41</v>
      </c>
      <c r="L7" s="3084">
        <v>0</v>
      </c>
      <c r="M7" s="3084">
        <v>0</v>
      </c>
    </row>
    <row r="8" ht="46.8" spans="1:13">
      <c r="A8" s="3085" t="s">
        <v>480</v>
      </c>
      <c r="B8" s="3085" t="s">
        <v>483</v>
      </c>
      <c r="C8" s="3085" t="s">
        <v>476</v>
      </c>
      <c r="D8" s="3084">
        <v>2455.53</v>
      </c>
      <c r="E8" s="3084">
        <v>13326.96</v>
      </c>
      <c r="F8" s="3084">
        <v>9231.05</v>
      </c>
      <c r="G8" s="3084">
        <v>0</v>
      </c>
      <c r="H8" s="3084">
        <v>0</v>
      </c>
      <c r="I8" s="3084">
        <v>9231.05</v>
      </c>
      <c r="J8" s="3084">
        <v>4095.91</v>
      </c>
      <c r="K8" s="3084">
        <v>0</v>
      </c>
      <c r="L8" s="3084">
        <v>3320.79</v>
      </c>
      <c r="M8" s="3084">
        <v>775.12</v>
      </c>
    </row>
    <row r="9" ht="27" customHeight="1" spans="1:13">
      <c r="A9" s="3084" t="s">
        <v>487</v>
      </c>
      <c r="B9" s="3084"/>
      <c r="C9" s="3084"/>
      <c r="D9" s="3084">
        <v>12007.03</v>
      </c>
      <c r="E9" s="3084">
        <v>65165.95</v>
      </c>
      <c r="F9" s="3084">
        <v>57631.05</v>
      </c>
      <c r="G9" s="3084">
        <v>28727</v>
      </c>
      <c r="H9" s="3084">
        <v>19673</v>
      </c>
      <c r="I9" s="3084">
        <v>9231.05</v>
      </c>
      <c r="J9" s="3084">
        <v>7534.9</v>
      </c>
      <c r="K9" s="3084">
        <v>100</v>
      </c>
      <c r="L9" s="3084">
        <v>3320.79</v>
      </c>
      <c r="M9" s="3084">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G20" sqref="G20"/>
    </sheetView>
  </sheetViews>
  <sheetFormatPr defaultColWidth="9.22222222222222" defaultRowHeight="13.8"/>
  <cols>
    <col min="1" max="1" width="12.1111111111111" style="2986" customWidth="1"/>
    <col min="2" max="2" width="10.2222222222222" style="2986" customWidth="1"/>
    <col min="3" max="3" width="18.4444444444444" style="2986" customWidth="1"/>
    <col min="4" max="4" width="11.6666666666667" style="2986" customWidth="1"/>
    <col min="5" max="5" width="13.3333333333333" style="2986" customWidth="1"/>
    <col min="6" max="8" width="11.4444444444444" style="2986" customWidth="1"/>
    <col min="9" max="9" width="11.1111111111111" style="2986" customWidth="1"/>
    <col min="10" max="10" width="3.11111111111111" style="2987" customWidth="1"/>
    <col min="11" max="16" width="10" style="2986" customWidth="1"/>
    <col min="17" max="17" width="2.66666666666667" style="2986" customWidth="1"/>
    <col min="18" max="18" width="9.33333333333333" style="2986" customWidth="1"/>
    <col min="19" max="19" width="10.4444444444444" style="2986" customWidth="1"/>
    <col min="20" max="16384" width="9.22222222222222" style="2986"/>
  </cols>
  <sheetData>
    <row r="1" ht="18.15" spans="1:16">
      <c r="A1" s="2338" t="s">
        <v>488</v>
      </c>
      <c r="B1" s="2425"/>
      <c r="C1" s="2425"/>
      <c r="D1" s="2425"/>
      <c r="E1" s="2425"/>
      <c r="F1" s="2425"/>
      <c r="G1" s="2425"/>
      <c r="H1" s="2425"/>
      <c r="I1" s="2425"/>
      <c r="J1" s="2425"/>
      <c r="K1" s="2425"/>
      <c r="L1" s="2425"/>
      <c r="M1" s="2425"/>
      <c r="N1" s="2425"/>
      <c r="O1" s="2425"/>
      <c r="P1" s="2425"/>
    </row>
    <row r="2" ht="14.4" spans="1:16">
      <c r="A2" s="2251" t="s">
        <v>489</v>
      </c>
      <c r="B2" s="2251"/>
      <c r="C2" s="2251"/>
      <c r="D2" s="2251" t="s">
        <v>490</v>
      </c>
      <c r="E2" s="2988" t="s">
        <v>491</v>
      </c>
      <c r="F2" s="2989"/>
      <c r="G2" s="2990"/>
      <c r="H2" s="2991"/>
      <c r="I2" s="2606" t="s">
        <v>492</v>
      </c>
      <c r="J2" s="2989"/>
      <c r="K2" s="2989"/>
      <c r="L2" s="2989">
        <f>D3/E6</f>
        <v>0.815351945438342</v>
      </c>
      <c r="M2" s="2989"/>
      <c r="N2" s="402"/>
      <c r="O2" s="2989"/>
      <c r="P2" s="2989"/>
    </row>
    <row r="3" ht="15.15" spans="1:16">
      <c r="A3" s="2992" t="s">
        <v>493</v>
      </c>
      <c r="B3" s="2992"/>
      <c r="C3" s="2992"/>
      <c r="D3" s="2993">
        <f>'数据-基础表'!AY6</f>
        <v>15415.9</v>
      </c>
      <c r="E3" s="2993">
        <f>'数据-基础表'!AZ5</f>
        <v>18907.05</v>
      </c>
      <c r="F3" s="2989"/>
      <c r="G3" s="2994"/>
      <c r="H3" s="2372" t="s">
        <v>494</v>
      </c>
      <c r="I3" s="3058">
        <f>ROUND('数据-基础表'!B3/'数据-基础表'!A3,2)</f>
        <v>1.23</v>
      </c>
      <c r="J3" s="2989"/>
      <c r="K3" s="2989"/>
      <c r="L3" s="2989"/>
      <c r="M3" s="2989"/>
      <c r="N3" s="402"/>
      <c r="O3" s="2989"/>
      <c r="P3" s="2989"/>
    </row>
    <row r="4" ht="14.4" spans="1:16">
      <c r="A4" s="2604"/>
      <c r="B4" s="2605"/>
      <c r="C4" s="2995"/>
      <c r="D4" s="2996" t="s">
        <v>490</v>
      </c>
      <c r="E4" s="2997" t="s">
        <v>491</v>
      </c>
      <c r="F4" s="2989"/>
      <c r="G4" s="2998" t="s">
        <v>495</v>
      </c>
      <c r="H4" s="2372" t="s">
        <v>496</v>
      </c>
      <c r="I4" s="3058">
        <f>ROUND(SUMIF('数据-基础表'!I9:AS9,"地上",'数据-基础表'!I5:AS5)/'数据-基础表'!A3,2)</f>
        <v>0.28</v>
      </c>
      <c r="J4" s="2989"/>
      <c r="K4" s="2989"/>
      <c r="L4" s="2989"/>
      <c r="M4" s="2989"/>
      <c r="N4" s="402"/>
      <c r="O4" s="2989"/>
      <c r="P4" s="2989"/>
    </row>
    <row r="5" ht="14.4" spans="1:16">
      <c r="A5" s="2999" t="s">
        <v>497</v>
      </c>
      <c r="B5" s="286" t="s">
        <v>498</v>
      </c>
      <c r="C5" s="286"/>
      <c r="D5" s="3000">
        <f>ROUND($D$3*E5/$E$3,2)</f>
        <v>0</v>
      </c>
      <c r="E5" s="3001">
        <f>SUMIF('数据-基础表'!$11:$11,"住宅",'数据-基础表'!$5:$5)</f>
        <v>0</v>
      </c>
      <c r="F5" s="2989"/>
      <c r="G5" s="2994"/>
      <c r="H5" s="2372" t="s">
        <v>494</v>
      </c>
      <c r="I5" s="3058">
        <f>ROUND(E31/D31,2)</f>
        <v>1.23</v>
      </c>
      <c r="J5" s="2989"/>
      <c r="K5" s="2989"/>
      <c r="L5" s="2989"/>
      <c r="M5" s="2989"/>
      <c r="N5" s="2989"/>
      <c r="O5" s="2989"/>
      <c r="P5" s="2989"/>
    </row>
    <row r="6" ht="15.15" spans="1:16">
      <c r="A6" s="3002"/>
      <c r="B6" s="286" t="s">
        <v>499</v>
      </c>
      <c r="C6" s="286"/>
      <c r="D6" s="3000">
        <f>ROUND($D$3*E6/$E$3,2)</f>
        <v>15415.9</v>
      </c>
      <c r="E6" s="3001">
        <f>E3-E5</f>
        <v>18907.05</v>
      </c>
      <c r="F6" s="2989"/>
      <c r="G6" s="3003" t="s">
        <v>500</v>
      </c>
      <c r="H6" s="3004" t="s">
        <v>496</v>
      </c>
      <c r="I6" s="3059">
        <f>ROUND(F31/D31,2)</f>
        <v>0.28</v>
      </c>
      <c r="J6" s="2989"/>
      <c r="K6" s="2989"/>
      <c r="L6" s="2989"/>
      <c r="M6" s="2989"/>
      <c r="N6" s="2989"/>
      <c r="O6" s="2989"/>
      <c r="P6" s="2989"/>
    </row>
    <row r="7" ht="15.15" spans="1:16">
      <c r="A7" s="3005"/>
      <c r="B7" s="3006"/>
      <c r="C7" s="3007"/>
      <c r="D7" s="2996" t="s">
        <v>490</v>
      </c>
      <c r="E7" s="3008" t="s">
        <v>501</v>
      </c>
      <c r="F7" s="2989"/>
      <c r="G7" s="3009" t="s">
        <v>502</v>
      </c>
      <c r="H7" s="3010"/>
      <c r="I7" s="3060"/>
      <c r="J7" s="2989"/>
      <c r="K7" s="2989"/>
      <c r="L7" s="2989"/>
      <c r="M7" s="2989"/>
      <c r="N7" s="2989"/>
      <c r="O7" s="2989"/>
      <c r="P7" s="2989"/>
    </row>
    <row r="8" ht="14.4" spans="1:16">
      <c r="A8" s="2999" t="s">
        <v>503</v>
      </c>
      <c r="B8" s="3011" t="s">
        <v>504</v>
      </c>
      <c r="C8" s="3000" t="s">
        <v>505</v>
      </c>
      <c r="D8" s="3000">
        <f t="shared" ref="D8:D15" si="0">ROUND($D$3*E8/$E$3,2)</f>
        <v>3558.17</v>
      </c>
      <c r="E8" s="3012">
        <f>SUMIF('数据-基础表'!BB10:BK10,"地上",'数据-基础表'!BB5:BK5)</f>
        <v>4363.97</v>
      </c>
      <c r="F8" s="2989"/>
      <c r="G8" s="3013"/>
      <c r="H8" s="3013"/>
      <c r="I8" s="2989"/>
      <c r="J8" s="2989"/>
      <c r="K8" s="2989"/>
      <c r="L8" s="2989"/>
      <c r="M8" s="2989"/>
      <c r="N8" s="2989"/>
      <c r="O8" s="2989"/>
      <c r="P8" s="2989"/>
    </row>
    <row r="9" ht="14.4" spans="1:16">
      <c r="A9" s="3014"/>
      <c r="B9" s="3015"/>
      <c r="C9" s="3000" t="s">
        <v>506</v>
      </c>
      <c r="D9" s="3000">
        <f t="shared" si="0"/>
        <v>0</v>
      </c>
      <c r="E9" s="3016">
        <v>0</v>
      </c>
      <c r="F9" s="2989"/>
      <c r="G9" s="3013"/>
      <c r="H9" s="3013"/>
      <c r="I9" s="2989"/>
      <c r="J9" s="2989"/>
      <c r="K9" s="2989"/>
      <c r="L9" s="2989"/>
      <c r="M9" s="2989"/>
      <c r="N9" s="2989"/>
      <c r="O9" s="2989"/>
      <c r="P9" s="2989"/>
    </row>
    <row r="10" ht="14.4" spans="1:16">
      <c r="A10" s="3014"/>
      <c r="B10" s="3015"/>
      <c r="C10" s="3000" t="s">
        <v>507</v>
      </c>
      <c r="D10" s="3000">
        <f t="shared" si="0"/>
        <v>0</v>
      </c>
      <c r="E10" s="3012">
        <f>SUMPRODUCT(('数据-基础表'!BB10:BK10="地下")*('数据-基础表'!BB11:BK11="商业")*('数据-基础表'!BB5:BK5))</f>
        <v>0</v>
      </c>
      <c r="F10" s="2989"/>
      <c r="G10" s="3013"/>
      <c r="H10" s="3013"/>
      <c r="I10" s="2989"/>
      <c r="J10" s="2989"/>
      <c r="K10" s="2989"/>
      <c r="L10" s="2989"/>
      <c r="M10" s="2989"/>
      <c r="N10" s="2989"/>
      <c r="O10" s="2989"/>
      <c r="P10" s="2989"/>
    </row>
    <row r="11" ht="14.4" spans="1:16">
      <c r="A11" s="3014"/>
      <c r="B11" s="3015"/>
      <c r="C11" s="3000" t="s">
        <v>508</v>
      </c>
      <c r="D11" s="3000">
        <f t="shared" si="0"/>
        <v>0</v>
      </c>
      <c r="E11" s="3012">
        <f>SUMPRODUCT(('数据-基础表'!BB10:BK10="地下")*('数据-基础表'!BB11:BK11="办公")*('数据-基础表'!BB5:BK5))+'数据-基础表'!BP5</f>
        <v>0</v>
      </c>
      <c r="F11" s="2989"/>
      <c r="G11" s="3013"/>
      <c r="H11" s="3013"/>
      <c r="I11" s="2989"/>
      <c r="J11" s="2989"/>
      <c r="K11" s="2989"/>
      <c r="L11" s="2989"/>
      <c r="M11" s="2989"/>
      <c r="N11" s="2989"/>
      <c r="O11" s="2989"/>
      <c r="P11" s="2989"/>
    </row>
    <row r="12" ht="14.4" spans="1:16">
      <c r="A12" s="3014"/>
      <c r="B12" s="3015"/>
      <c r="C12" s="3000" t="s">
        <v>509</v>
      </c>
      <c r="D12" s="3000">
        <f t="shared" si="0"/>
        <v>0</v>
      </c>
      <c r="E12" s="3012">
        <f>SUMPRODUCT(('数据-基础表'!BB10:BK10="地下")*('数据-基础表'!BB11:BK11="仓储")*('数据-基础表'!BB5:BK5))</f>
        <v>0</v>
      </c>
      <c r="F12" s="2989"/>
      <c r="G12" s="3013"/>
      <c r="H12" s="3013"/>
      <c r="I12" s="2989"/>
      <c r="J12" s="2989"/>
      <c r="K12" s="2989"/>
      <c r="L12" s="2989"/>
      <c r="M12" s="2989"/>
      <c r="N12" s="2989"/>
      <c r="O12" s="2989"/>
      <c r="P12" s="2989"/>
    </row>
    <row r="13" ht="14.4" spans="1:16">
      <c r="A13" s="3014"/>
      <c r="B13" s="3015"/>
      <c r="C13" s="3000" t="s">
        <v>510</v>
      </c>
      <c r="D13" s="3000">
        <f t="shared" si="0"/>
        <v>6740.37</v>
      </c>
      <c r="E13" s="3012">
        <f>SUMPRODUCT(('数据-基础表'!BB10:BK10="地下")*('数据-基础表'!BB11:BK11="车库")*('数据-基础表'!BB5:BK5))</f>
        <v>8266.82</v>
      </c>
      <c r="F13" s="2989"/>
      <c r="G13" s="3013"/>
      <c r="H13" s="3013"/>
      <c r="I13" s="2989"/>
      <c r="J13" s="2989"/>
      <c r="K13" s="2989"/>
      <c r="L13" s="2989"/>
      <c r="M13" s="2989"/>
      <c r="N13" s="2989"/>
      <c r="O13" s="2989"/>
      <c r="P13" s="2989"/>
    </row>
    <row r="14" ht="14.4" spans="1:16">
      <c r="A14" s="3014"/>
      <c r="B14" s="3015"/>
      <c r="C14" s="3000" t="s">
        <v>511</v>
      </c>
      <c r="D14" s="3000">
        <f t="shared" si="0"/>
        <v>0</v>
      </c>
      <c r="E14" s="3012">
        <f>SUMPRODUCT(('数据-基础表'!BB10:BK10="地下")*('数据-基础表'!BB11:BK11="车库—商业")*('数据-基础表'!BB5:BK5))</f>
        <v>0</v>
      </c>
      <c r="F14" s="2989"/>
      <c r="G14" s="3013"/>
      <c r="H14" s="3013"/>
      <c r="I14" s="2989"/>
      <c r="J14" s="2989"/>
      <c r="K14" s="2989"/>
      <c r="L14" s="2989"/>
      <c r="M14" s="2989"/>
      <c r="N14" s="2989"/>
      <c r="O14" s="2989"/>
      <c r="P14" s="2989"/>
    </row>
    <row r="15" ht="15.15" spans="1:16">
      <c r="A15" s="3014"/>
      <c r="B15" s="3015"/>
      <c r="C15" s="3000" t="s">
        <v>512</v>
      </c>
      <c r="D15" s="3000">
        <f t="shared" si="0"/>
        <v>0</v>
      </c>
      <c r="E15" s="3012">
        <f>SUMPRODUCT(('数据-基础表'!BB10:BK10="地下")*('数据-基础表'!BB11:BK11="车库—办公")*('数据-基础表'!BB5:BK5))</f>
        <v>0</v>
      </c>
      <c r="F15" s="2989"/>
      <c r="G15" s="3013"/>
      <c r="H15" s="3013"/>
      <c r="I15" s="2989"/>
      <c r="J15" s="2989"/>
      <c r="K15" s="2989"/>
      <c r="L15" s="2989"/>
      <c r="M15" s="2989"/>
      <c r="N15" s="2989"/>
      <c r="O15" s="2989"/>
      <c r="P15" s="2989"/>
    </row>
    <row r="16" ht="15.15" spans="1:16">
      <c r="A16" s="3002"/>
      <c r="B16" s="3015"/>
      <c r="C16" s="3011" t="s">
        <v>513</v>
      </c>
      <c r="D16" s="3011">
        <f>SUM(D8:D15)</f>
        <v>10298.54</v>
      </c>
      <c r="E16" s="3017">
        <f>SUM(E8:E15)</f>
        <v>12630.79</v>
      </c>
      <c r="F16" s="2989"/>
      <c r="G16" s="3013"/>
      <c r="H16" s="3018" t="s">
        <v>514</v>
      </c>
      <c r="I16" s="3061"/>
      <c r="J16" s="2425"/>
      <c r="K16" s="3062" t="s">
        <v>514</v>
      </c>
      <c r="L16" s="3020"/>
      <c r="M16" s="3020"/>
      <c r="N16" s="3020"/>
      <c r="O16" s="3020"/>
      <c r="P16" s="3063"/>
    </row>
    <row r="17" ht="14.4" spans="1:19">
      <c r="A17" s="2948" t="s">
        <v>515</v>
      </c>
      <c r="B17" s="3019" t="s">
        <v>516</v>
      </c>
      <c r="C17" s="2947" t="s">
        <v>517</v>
      </c>
      <c r="D17" s="3020" t="s">
        <v>490</v>
      </c>
      <c r="E17" s="3021" t="s">
        <v>491</v>
      </c>
      <c r="F17" s="3022"/>
      <c r="G17" s="3023"/>
      <c r="H17" s="3024" t="s">
        <v>518</v>
      </c>
      <c r="I17" s="3064" t="s">
        <v>519</v>
      </c>
      <c r="J17" s="2425"/>
      <c r="K17" s="3065" t="s">
        <v>520</v>
      </c>
      <c r="L17" s="3066"/>
      <c r="M17" s="3067"/>
      <c r="N17" s="3065" t="s">
        <v>521</v>
      </c>
      <c r="O17" s="3066"/>
      <c r="P17" s="3067"/>
      <c r="R17" s="3080" t="s">
        <v>522</v>
      </c>
      <c r="S17" s="2359"/>
    </row>
    <row r="18" ht="14.4" spans="1:19">
      <c r="A18" s="3014"/>
      <c r="B18" s="3025"/>
      <c r="C18" s="3026"/>
      <c r="D18" s="3027"/>
      <c r="E18" s="3028" t="s">
        <v>523</v>
      </c>
      <c r="F18" s="3029" t="s">
        <v>496</v>
      </c>
      <c r="G18" s="3030" t="s">
        <v>524</v>
      </c>
      <c r="H18" s="2953" t="s">
        <v>525</v>
      </c>
      <c r="I18" s="3068" t="s">
        <v>526</v>
      </c>
      <c r="J18" s="2425"/>
      <c r="K18" s="2953" t="s">
        <v>527</v>
      </c>
      <c r="L18" s="2625" t="s">
        <v>528</v>
      </c>
      <c r="M18" s="3058" t="s">
        <v>529</v>
      </c>
      <c r="N18" s="2953" t="s">
        <v>527</v>
      </c>
      <c r="O18" s="2625" t="s">
        <v>528</v>
      </c>
      <c r="P18" s="3058" t="s">
        <v>529</v>
      </c>
      <c r="R18" s="2372" t="s">
        <v>525</v>
      </c>
      <c r="S18" s="2372" t="s">
        <v>526</v>
      </c>
    </row>
    <row r="19" ht="14.4" spans="1:19">
      <c r="A19" s="3031"/>
      <c r="B19" s="3011" t="s">
        <v>530</v>
      </c>
      <c r="C19" s="3032" t="s">
        <v>454</v>
      </c>
      <c r="D19" s="3000">
        <f>ROUND($D$3*E19/$E$3,2)</f>
        <v>15387.59</v>
      </c>
      <c r="E19" s="3033">
        <f t="shared" ref="E19:E26" si="1">SUM(F19:G19)</f>
        <v>18872.33</v>
      </c>
      <c r="F19" s="3034">
        <f>'数据-基础表'!I5</f>
        <v>4363.97</v>
      </c>
      <c r="G19" s="3035">
        <f>'数据-基础表'!K5+'数据-基础表'!M5</f>
        <v>14508.36</v>
      </c>
      <c r="H19" s="2933">
        <f>ROUND($D$3*I19/$E$3,2)</f>
        <v>28.31</v>
      </c>
      <c r="I19" s="3012">
        <f t="shared" ref="I19:I26" si="2">IF($I$17="自定义",P19,M19)</f>
        <v>34.72</v>
      </c>
      <c r="J19" s="2425"/>
      <c r="K19" s="3069">
        <f t="shared" ref="K19:K26" si="3">ROUND(E$28*E19/E$27,2)</f>
        <v>34.72</v>
      </c>
      <c r="L19" s="2372">
        <f t="shared" ref="L19:L26" si="4">ROUND(IF(COUNTIF(C19,"*住宅*")&gt;0,E$29*E19/E$32,0),2)</f>
        <v>0</v>
      </c>
      <c r="M19" s="3070">
        <f>K19+L19</f>
        <v>34.72</v>
      </c>
      <c r="N19" s="3071"/>
      <c r="O19" s="3072"/>
      <c r="P19" s="3070">
        <f>N19+O19</f>
        <v>0</v>
      </c>
      <c r="R19" s="2372">
        <f t="shared" ref="R19:S26" si="5">D19+H19</f>
        <v>15415.9</v>
      </c>
      <c r="S19" s="3081">
        <f t="shared" si="5"/>
        <v>18907.05</v>
      </c>
    </row>
    <row r="20" ht="14.4" spans="1:19">
      <c r="A20" s="3036"/>
      <c r="B20" s="3011" t="s">
        <v>530</v>
      </c>
      <c r="C20" s="3037"/>
      <c r="D20" s="3000">
        <f t="shared" ref="D20:D26" si="6">ROUND($D$3*E20/$E$3,2)</f>
        <v>0</v>
      </c>
      <c r="E20" s="3033">
        <f t="shared" si="1"/>
        <v>0</v>
      </c>
      <c r="F20" s="3034"/>
      <c r="G20" s="3035"/>
      <c r="H20" s="2933">
        <f t="shared" ref="H20:H26" si="7">ROUND($D$3*I20/$E$3,2)</f>
        <v>0</v>
      </c>
      <c r="I20" s="3012">
        <f t="shared" si="2"/>
        <v>0</v>
      </c>
      <c r="J20" s="2425"/>
      <c r="K20" s="3069">
        <f t="shared" si="3"/>
        <v>0</v>
      </c>
      <c r="L20" s="2372">
        <f t="shared" si="4"/>
        <v>0</v>
      </c>
      <c r="M20" s="3070">
        <f t="shared" ref="M20:M26" si="8">K20+L20</f>
        <v>0</v>
      </c>
      <c r="N20" s="3071"/>
      <c r="O20" s="3072"/>
      <c r="P20" s="3070">
        <f t="shared" ref="P20:P26" si="9">N20+O20</f>
        <v>0</v>
      </c>
      <c r="R20" s="2372">
        <f t="shared" si="5"/>
        <v>0</v>
      </c>
      <c r="S20" s="3081">
        <f t="shared" si="5"/>
        <v>0</v>
      </c>
    </row>
    <row r="21" ht="14.4" spans="1:19">
      <c r="A21" s="3036"/>
      <c r="B21" s="3011" t="s">
        <v>530</v>
      </c>
      <c r="C21" s="3037"/>
      <c r="D21" s="3000">
        <f t="shared" si="6"/>
        <v>0</v>
      </c>
      <c r="E21" s="3033">
        <f t="shared" si="1"/>
        <v>0</v>
      </c>
      <c r="F21" s="3034"/>
      <c r="G21" s="3035"/>
      <c r="H21" s="2933">
        <f t="shared" si="7"/>
        <v>0</v>
      </c>
      <c r="I21" s="3012">
        <f t="shared" si="2"/>
        <v>0</v>
      </c>
      <c r="J21" s="2425"/>
      <c r="K21" s="3069">
        <f t="shared" si="3"/>
        <v>0</v>
      </c>
      <c r="L21" s="2372">
        <f t="shared" si="4"/>
        <v>0</v>
      </c>
      <c r="M21" s="3070">
        <f t="shared" si="8"/>
        <v>0</v>
      </c>
      <c r="N21" s="3071"/>
      <c r="O21" s="3072"/>
      <c r="P21" s="3070">
        <f t="shared" si="9"/>
        <v>0</v>
      </c>
      <c r="R21" s="2372">
        <f t="shared" si="5"/>
        <v>0</v>
      </c>
      <c r="S21" s="3081">
        <f t="shared" si="5"/>
        <v>0</v>
      </c>
    </row>
    <row r="22" ht="14.4" spans="1:19">
      <c r="A22" s="3036"/>
      <c r="B22" s="3011" t="s">
        <v>530</v>
      </c>
      <c r="C22" s="3038"/>
      <c r="D22" s="3000">
        <f t="shared" si="6"/>
        <v>0</v>
      </c>
      <c r="E22" s="3033">
        <f t="shared" si="1"/>
        <v>0</v>
      </c>
      <c r="F22" s="3039"/>
      <c r="G22" s="3040"/>
      <c r="H22" s="2933">
        <f t="shared" si="7"/>
        <v>0</v>
      </c>
      <c r="I22" s="3012">
        <f t="shared" si="2"/>
        <v>0</v>
      </c>
      <c r="J22" s="2425"/>
      <c r="K22" s="3069">
        <f t="shared" si="3"/>
        <v>0</v>
      </c>
      <c r="L22" s="2372">
        <f t="shared" si="4"/>
        <v>0</v>
      </c>
      <c r="M22" s="3070">
        <f t="shared" si="8"/>
        <v>0</v>
      </c>
      <c r="N22" s="3071"/>
      <c r="O22" s="3072"/>
      <c r="P22" s="3070">
        <f t="shared" si="9"/>
        <v>0</v>
      </c>
      <c r="R22" s="2372">
        <f t="shared" si="5"/>
        <v>0</v>
      </c>
      <c r="S22" s="3081">
        <f t="shared" si="5"/>
        <v>0</v>
      </c>
    </row>
    <row r="23" ht="14.4" spans="1:19">
      <c r="A23" s="3036"/>
      <c r="B23" s="3011" t="s">
        <v>530</v>
      </c>
      <c r="C23" s="3038"/>
      <c r="D23" s="3000">
        <f t="shared" si="6"/>
        <v>0</v>
      </c>
      <c r="E23" s="3033">
        <f t="shared" si="1"/>
        <v>0</v>
      </c>
      <c r="F23" s="3039"/>
      <c r="G23" s="3040"/>
      <c r="H23" s="2933">
        <f t="shared" si="7"/>
        <v>0</v>
      </c>
      <c r="I23" s="3012">
        <f t="shared" si="2"/>
        <v>0</v>
      </c>
      <c r="J23" s="2425"/>
      <c r="K23" s="3069">
        <f t="shared" si="3"/>
        <v>0</v>
      </c>
      <c r="L23" s="2372">
        <f t="shared" si="4"/>
        <v>0</v>
      </c>
      <c r="M23" s="3070">
        <f t="shared" si="8"/>
        <v>0</v>
      </c>
      <c r="N23" s="3071"/>
      <c r="O23" s="3072"/>
      <c r="P23" s="3070">
        <f t="shared" si="9"/>
        <v>0</v>
      </c>
      <c r="R23" s="2372">
        <f t="shared" si="5"/>
        <v>0</v>
      </c>
      <c r="S23" s="3081">
        <f t="shared" si="5"/>
        <v>0</v>
      </c>
    </row>
    <row r="24" ht="14.4" spans="1:19">
      <c r="A24" s="3036"/>
      <c r="B24" s="3011" t="s">
        <v>530</v>
      </c>
      <c r="C24" s="3038"/>
      <c r="D24" s="3000">
        <f t="shared" si="6"/>
        <v>0</v>
      </c>
      <c r="E24" s="3033">
        <f t="shared" si="1"/>
        <v>0</v>
      </c>
      <c r="F24" s="3039"/>
      <c r="G24" s="3040"/>
      <c r="H24" s="2933">
        <f t="shared" si="7"/>
        <v>0</v>
      </c>
      <c r="I24" s="3012">
        <f t="shared" si="2"/>
        <v>0</v>
      </c>
      <c r="J24" s="2425"/>
      <c r="K24" s="3069">
        <f t="shared" si="3"/>
        <v>0</v>
      </c>
      <c r="L24" s="2372">
        <f t="shared" si="4"/>
        <v>0</v>
      </c>
      <c r="M24" s="3070">
        <f t="shared" si="8"/>
        <v>0</v>
      </c>
      <c r="N24" s="3071"/>
      <c r="O24" s="3072"/>
      <c r="P24" s="3070">
        <f t="shared" si="9"/>
        <v>0</v>
      </c>
      <c r="R24" s="2372">
        <f t="shared" si="5"/>
        <v>0</v>
      </c>
      <c r="S24" s="3081">
        <f t="shared" si="5"/>
        <v>0</v>
      </c>
    </row>
    <row r="25" ht="14.4" spans="1:19">
      <c r="A25" s="3036"/>
      <c r="B25" s="3011" t="s">
        <v>530</v>
      </c>
      <c r="C25" s="3038"/>
      <c r="D25" s="3000">
        <f t="shared" si="6"/>
        <v>0</v>
      </c>
      <c r="E25" s="3033">
        <f t="shared" si="1"/>
        <v>0</v>
      </c>
      <c r="F25" s="3039"/>
      <c r="G25" s="3040"/>
      <c r="H25" s="2999">
        <f t="shared" si="7"/>
        <v>0</v>
      </c>
      <c r="I25" s="3012">
        <f t="shared" si="2"/>
        <v>0</v>
      </c>
      <c r="J25" s="2425"/>
      <c r="K25" s="3069">
        <f t="shared" si="3"/>
        <v>0</v>
      </c>
      <c r="L25" s="2372">
        <f t="shared" si="4"/>
        <v>0</v>
      </c>
      <c r="M25" s="3070">
        <f t="shared" si="8"/>
        <v>0</v>
      </c>
      <c r="N25" s="3071"/>
      <c r="O25" s="3072"/>
      <c r="P25" s="3070">
        <f t="shared" si="9"/>
        <v>0</v>
      </c>
      <c r="R25" s="2372">
        <f t="shared" si="5"/>
        <v>0</v>
      </c>
      <c r="S25" s="3081">
        <f t="shared" si="5"/>
        <v>0</v>
      </c>
    </row>
    <row r="26" ht="14.4" spans="1:19">
      <c r="A26" s="3036"/>
      <c r="B26" s="3011" t="s">
        <v>530</v>
      </c>
      <c r="C26" s="3041"/>
      <c r="D26" s="3000">
        <f t="shared" si="6"/>
        <v>0</v>
      </c>
      <c r="E26" s="3033">
        <f t="shared" si="1"/>
        <v>0</v>
      </c>
      <c r="F26" s="3039"/>
      <c r="G26" s="3040"/>
      <c r="H26" s="2999">
        <f t="shared" si="7"/>
        <v>0</v>
      </c>
      <c r="I26" s="3012">
        <f t="shared" si="2"/>
        <v>0</v>
      </c>
      <c r="J26" s="2425"/>
      <c r="K26" s="2994">
        <f t="shared" si="3"/>
        <v>0</v>
      </c>
      <c r="L26" s="3004">
        <f t="shared" si="4"/>
        <v>0</v>
      </c>
      <c r="M26" s="3048">
        <f t="shared" si="8"/>
        <v>0</v>
      </c>
      <c r="N26" s="3073"/>
      <c r="O26" s="3074"/>
      <c r="P26" s="3048">
        <f t="shared" si="9"/>
        <v>0</v>
      </c>
      <c r="R26" s="2372">
        <f t="shared" si="5"/>
        <v>0</v>
      </c>
      <c r="S26" s="3081">
        <f t="shared" si="5"/>
        <v>0</v>
      </c>
    </row>
    <row r="27" ht="15.15" spans="1:19">
      <c r="A27" s="3036"/>
      <c r="B27" s="3000"/>
      <c r="C27" s="2611" t="s">
        <v>531</v>
      </c>
      <c r="D27" s="3042">
        <f>SUM(D19:D26)</f>
        <v>15387.59</v>
      </c>
      <c r="E27" s="3043">
        <f>IF(SUM(E19:E26)='数据-基础表'!BA5,SUM(E19:E26),IF(F27="地上面积有误","面积有误","地下面积有误"))</f>
        <v>18872.33</v>
      </c>
      <c r="F27" s="3042">
        <f>IF(SUM(F19:F26)=E8,SUM(F19:F26),"地上面积有误")</f>
        <v>4363.97</v>
      </c>
      <c r="G27" s="3044">
        <f>SUM(G19:G26)</f>
        <v>14508.36</v>
      </c>
      <c r="H27" s="3045">
        <f>SUM(H19:H26)</f>
        <v>28.31</v>
      </c>
      <c r="I27" s="3075">
        <f>SUM(I19:I26)</f>
        <v>34.72</v>
      </c>
      <c r="J27" s="2425"/>
      <c r="K27" s="3076">
        <f>SUM(K19:K26)</f>
        <v>34.72</v>
      </c>
      <c r="L27" s="3077">
        <f>SUM(L19:L26)</f>
        <v>0</v>
      </c>
      <c r="M27" s="3078">
        <f>SUM(M19:M26)</f>
        <v>34.72</v>
      </c>
      <c r="N27" s="3076">
        <f t="shared" ref="N27:P27" si="10">SUM(N19:N26)</f>
        <v>0</v>
      </c>
      <c r="O27" s="3077">
        <f t="shared" si="10"/>
        <v>0</v>
      </c>
      <c r="P27" s="3079">
        <f t="shared" si="10"/>
        <v>0</v>
      </c>
      <c r="R27" s="2980">
        <f>IF(SUM(R19:R26)=$D$3,SUM(R19:R26),SUM(R19:R26)&amp;"误差"&amp;ROUND(SUM(R19:R26)-$D$3,2))</f>
        <v>15415.9</v>
      </c>
      <c r="S27" s="2372">
        <f>IF(SUM(S19:S26)=$E$3,SUM(S19:S26),SUM(S19:S26)&amp;"误差"&amp;ROUND(SUM(S19:S26)-E3,2))</f>
        <v>18907.05</v>
      </c>
    </row>
    <row r="28" ht="14.4" spans="1:16">
      <c r="A28" s="3036"/>
      <c r="B28" s="3011" t="s">
        <v>532</v>
      </c>
      <c r="C28" s="2957" t="s">
        <v>533</v>
      </c>
      <c r="D28" s="3000">
        <f>ROUND($D$3*E28/$E$3,2)</f>
        <v>28.31</v>
      </c>
      <c r="E28" s="3033">
        <f>SUM(F28:G28)</f>
        <v>34.72</v>
      </c>
      <c r="F28" s="2359">
        <f>'数据-基础表'!BQ5+'数据-基础表'!BS5</f>
        <v>0</v>
      </c>
      <c r="G28" s="3046">
        <f>'数据-基础表'!BR5+'数据-基础表'!BT5</f>
        <v>34.72</v>
      </c>
      <c r="H28" s="2989"/>
      <c r="I28" s="2989"/>
      <c r="J28" s="2989"/>
      <c r="K28" s="2989"/>
      <c r="L28" s="2989"/>
      <c r="M28" s="2989"/>
      <c r="N28" s="2989"/>
      <c r="O28" s="2989"/>
      <c r="P28" s="2989"/>
    </row>
    <row r="29" ht="14.4" spans="1:16">
      <c r="A29" s="3036"/>
      <c r="B29" s="3011" t="s">
        <v>532</v>
      </c>
      <c r="C29" s="2423" t="s">
        <v>534</v>
      </c>
      <c r="D29" s="3000">
        <f>ROUND($D$3*E29/$E$3,2)</f>
        <v>0</v>
      </c>
      <c r="E29" s="3033">
        <f>SUM(F29:G29)</f>
        <v>0</v>
      </c>
      <c r="F29" s="3047">
        <f>'数据-基础表'!BM5+'数据-基础表'!BO5</f>
        <v>0</v>
      </c>
      <c r="G29" s="3048">
        <f>'数据-基础表'!BN5+'数据-基础表'!BP5</f>
        <v>0</v>
      </c>
      <c r="H29" s="2989"/>
      <c r="I29" s="2989"/>
      <c r="J29" s="2989"/>
      <c r="K29" s="2989"/>
      <c r="L29" s="2989"/>
      <c r="M29" s="2989"/>
      <c r="N29" s="2989"/>
      <c r="O29" s="2989"/>
      <c r="P29" s="2989"/>
    </row>
    <row r="30" ht="14.4" spans="1:16">
      <c r="A30" s="3036"/>
      <c r="B30" s="3011"/>
      <c r="C30" s="3049" t="s">
        <v>531</v>
      </c>
      <c r="D30" s="3042">
        <f>SUM(D28:D29)</f>
        <v>28.31</v>
      </c>
      <c r="E30" s="3042">
        <f>SUM(E28:E29)</f>
        <v>34.72</v>
      </c>
      <c r="F30" s="3042">
        <f>SUM(F28:F29)</f>
        <v>0</v>
      </c>
      <c r="G30" s="3044">
        <f>SUM(G28:G29)</f>
        <v>34.72</v>
      </c>
      <c r="H30" s="2989"/>
      <c r="I30" s="2989"/>
      <c r="J30" s="2989"/>
      <c r="K30" s="2989"/>
      <c r="L30" s="2989"/>
      <c r="M30" s="2989"/>
      <c r="N30" s="2989"/>
      <c r="O30" s="2989"/>
      <c r="P30" s="2989"/>
    </row>
    <row r="31" ht="15.15" spans="1:16">
      <c r="A31" s="3050"/>
      <c r="B31" s="3051"/>
      <c r="C31" s="2294" t="s">
        <v>535</v>
      </c>
      <c r="D31" s="3052">
        <f>D27+D30</f>
        <v>15415.9</v>
      </c>
      <c r="E31" s="3052">
        <f>E27+E30</f>
        <v>18907.05</v>
      </c>
      <c r="F31" s="3053">
        <f>F27+F30</f>
        <v>4363.97</v>
      </c>
      <c r="G31" s="3054">
        <f>G27+G30</f>
        <v>14543.08</v>
      </c>
      <c r="H31" s="2989"/>
      <c r="I31" s="2989"/>
      <c r="J31" s="2989"/>
      <c r="K31" s="2989"/>
      <c r="L31" s="2989"/>
      <c r="M31" s="2989"/>
      <c r="N31" s="2989"/>
      <c r="O31" s="2989"/>
      <c r="P31" s="2989"/>
    </row>
    <row r="32" ht="14.4" spans="1:16">
      <c r="A32" s="3055"/>
      <c r="B32" s="3055" t="s">
        <v>536</v>
      </c>
      <c r="C32" s="3055"/>
      <c r="D32" s="3055"/>
      <c r="E32" s="3056">
        <f>SUMIF(C19:C26,"*住宅*",E19:E26)</f>
        <v>0</v>
      </c>
      <c r="F32" s="3055"/>
      <c r="G32" s="3055"/>
      <c r="H32" s="2989"/>
      <c r="I32" s="2989"/>
      <c r="J32" s="2989"/>
      <c r="K32" s="2989"/>
      <c r="L32" s="2989"/>
      <c r="M32" s="2989"/>
      <c r="N32" s="2989"/>
      <c r="O32" s="2989"/>
      <c r="P32" s="2989"/>
    </row>
    <row r="33" spans="4:4">
      <c r="D33" s="3057"/>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D6" activePane="bottomRight" state="frozen"/>
      <selection/>
      <selection pane="topRight"/>
      <selection pane="bottomLeft"/>
      <selection pane="bottomRight" activeCell="K32" sqref="K32"/>
    </sheetView>
  </sheetViews>
  <sheetFormatPr defaultColWidth="13.7777777777778" defaultRowHeight="13.2"/>
  <cols>
    <col min="1" max="1" width="20.8888888888889" style="2783" customWidth="1"/>
    <col min="2" max="2" width="12" style="2784" customWidth="1"/>
    <col min="3" max="3" width="12.7777777777778" style="2784" customWidth="1"/>
    <col min="4" max="4" width="9.11111111111111" style="2785" customWidth="1"/>
    <col min="5" max="5" width="15" style="2784" customWidth="1"/>
    <col min="6" max="10" width="8.88888888888889" style="2784" customWidth="1"/>
    <col min="11" max="12" width="12.3333333333333" style="2786" customWidth="1"/>
    <col min="13" max="13" width="8.66666666666667" style="2784" customWidth="1"/>
    <col min="14" max="14" width="11.8888888888889" style="2784" customWidth="1"/>
    <col min="15" max="15" width="8.44444444444444" style="2784" customWidth="1"/>
    <col min="16" max="17" width="10.8888888888889" style="2784" customWidth="1"/>
    <col min="18" max="19" width="12.4444444444444" style="2784" customWidth="1"/>
    <col min="20" max="20" width="12.1111111111111" style="2784" customWidth="1"/>
    <col min="21" max="21" width="8.77777777777778" style="2784" customWidth="1"/>
    <col min="22" max="22" width="7.77777777777778" style="2784" customWidth="1"/>
    <col min="23" max="30" width="6.77777777777778" style="2784" customWidth="1"/>
    <col min="31" max="31" width="8" style="2784" customWidth="1"/>
    <col min="32" max="34" width="7.22222222222222" style="2784" customWidth="1"/>
    <col min="35" max="39" width="8" style="2784" customWidth="1"/>
    <col min="40" max="40" width="13.7777777777778" style="2782"/>
    <col min="41" max="41" width="11.6666666666667" style="2782" customWidth="1"/>
    <col min="42" max="42" width="9.77777777777778" style="2782" customWidth="1"/>
    <col min="43" max="67" width="13.7777777777778" style="2782"/>
    <col min="68" max="16384" width="13.7777777777778" style="2784"/>
  </cols>
  <sheetData>
    <row r="1" ht="18.15" spans="1:44">
      <c r="A1" s="2787" t="s">
        <v>537</v>
      </c>
      <c r="B1" s="2788"/>
      <c r="C1" s="2041"/>
      <c r="D1" s="2789"/>
      <c r="E1" s="2041"/>
      <c r="F1" s="2041"/>
      <c r="G1" s="2041"/>
      <c r="H1" s="2041"/>
      <c r="I1" s="2041"/>
      <c r="J1" s="2041"/>
      <c r="K1" s="697"/>
      <c r="L1" s="697"/>
      <c r="M1" s="2041"/>
      <c r="N1" s="2041"/>
      <c r="O1" s="2041"/>
      <c r="P1" s="2041"/>
      <c r="Q1" s="2041"/>
      <c r="R1" s="2041"/>
      <c r="S1" s="2041"/>
      <c r="T1" s="2041"/>
      <c r="U1" s="2041"/>
      <c r="V1" s="2041"/>
      <c r="W1" s="2041"/>
      <c r="X1" s="2041"/>
      <c r="Y1" s="2041"/>
      <c r="Z1" s="2041"/>
      <c r="AA1" s="2041"/>
      <c r="AB1" s="2041"/>
      <c r="AC1" s="2041"/>
      <c r="AD1" s="2041"/>
      <c r="AE1" s="2041"/>
      <c r="AF1" s="2041"/>
      <c r="AG1" s="2041"/>
      <c r="AH1" s="2041"/>
      <c r="AI1" s="2041"/>
      <c r="AJ1" s="2041"/>
      <c r="AK1" s="2041"/>
      <c r="AL1" s="2041"/>
      <c r="AM1" s="2041"/>
      <c r="AN1" s="2234"/>
      <c r="AO1" s="2234"/>
      <c r="AP1" s="2234"/>
      <c r="AQ1" s="2234"/>
      <c r="AR1" s="2234"/>
    </row>
    <row r="2" s="2779" customFormat="1" ht="15.15" spans="1:67">
      <c r="A2" s="2790" t="s">
        <v>538</v>
      </c>
      <c r="B2" s="2791">
        <f>项目基本情况!D3</f>
        <v>44802</v>
      </c>
      <c r="C2" s="2792"/>
      <c r="D2" s="2793"/>
      <c r="E2" s="2792"/>
      <c r="F2" s="2792"/>
      <c r="G2" s="2792"/>
      <c r="H2" s="2792"/>
      <c r="I2" s="2792"/>
      <c r="J2" s="2792"/>
      <c r="K2" s="2889"/>
      <c r="L2" s="2889"/>
      <c r="M2" s="2792"/>
      <c r="N2" s="2792"/>
      <c r="O2" s="2792"/>
      <c r="P2" s="2792"/>
      <c r="Q2" s="2792"/>
      <c r="R2" s="2792"/>
      <c r="S2" s="2792"/>
      <c r="T2" s="2792"/>
      <c r="U2" s="2792"/>
      <c r="V2" s="2792"/>
      <c r="W2" s="2792"/>
      <c r="X2" s="2792"/>
      <c r="Y2" s="2792"/>
      <c r="Z2" s="2792"/>
      <c r="AA2" s="2792"/>
      <c r="AB2" s="2792"/>
      <c r="AC2" s="2792"/>
      <c r="AD2" s="2792"/>
      <c r="AE2" s="2792"/>
      <c r="AF2" s="2792"/>
      <c r="AG2" s="2792"/>
      <c r="AH2" s="2792"/>
      <c r="AI2" s="2792"/>
      <c r="AJ2" s="2792"/>
      <c r="AK2" s="2792"/>
      <c r="AL2" s="2792"/>
      <c r="AM2" s="2792"/>
      <c r="AN2" s="2825"/>
      <c r="AO2" s="2825"/>
      <c r="AP2" s="2825"/>
      <c r="AQ2" s="2825"/>
      <c r="AR2" s="2825"/>
      <c r="AS2" s="2708"/>
      <c r="AT2" s="2708"/>
      <c r="AU2" s="2708"/>
      <c r="AV2" s="2708"/>
      <c r="AW2" s="2708"/>
      <c r="AX2" s="2708"/>
      <c r="AY2" s="2708"/>
      <c r="AZ2" s="2708"/>
      <c r="BA2" s="2708"/>
      <c r="BB2" s="2708"/>
      <c r="BC2" s="2708"/>
      <c r="BD2" s="2708"/>
      <c r="BE2" s="2708"/>
      <c r="BF2" s="2708"/>
      <c r="BG2" s="2708"/>
      <c r="BH2" s="2708"/>
      <c r="BI2" s="2708"/>
      <c r="BJ2" s="2708"/>
      <c r="BK2" s="2708"/>
      <c r="BL2" s="2708"/>
      <c r="BM2" s="2708"/>
      <c r="BN2" s="2708"/>
      <c r="BO2" s="2708"/>
    </row>
    <row r="3" s="2779" customFormat="1" ht="14.55" spans="1:67">
      <c r="A3" s="2794"/>
      <c r="B3" s="2795"/>
      <c r="C3" s="2792"/>
      <c r="D3" s="2793"/>
      <c r="E3" s="2792"/>
      <c r="F3" s="2792"/>
      <c r="G3" s="2792"/>
      <c r="H3" s="2792"/>
      <c r="I3" s="2792"/>
      <c r="J3" s="2792"/>
      <c r="K3" s="2889"/>
      <c r="L3" s="2889"/>
      <c r="M3" s="2792"/>
      <c r="N3" s="2792"/>
      <c r="O3" s="2792"/>
      <c r="P3" s="2792"/>
      <c r="Q3" s="2792"/>
      <c r="R3" s="2792"/>
      <c r="S3" s="2792"/>
      <c r="T3" s="2792"/>
      <c r="U3" s="2792"/>
      <c r="V3" s="2792"/>
      <c r="W3" s="2792"/>
      <c r="X3" s="2792"/>
      <c r="Y3" s="2792"/>
      <c r="Z3" s="2792"/>
      <c r="AA3" s="2792"/>
      <c r="AB3" s="2792"/>
      <c r="AC3" s="2792"/>
      <c r="AD3" s="2792"/>
      <c r="AE3" s="2792"/>
      <c r="AF3" s="2792"/>
      <c r="AG3" s="2792"/>
      <c r="AH3" s="2792"/>
      <c r="AI3" s="2792"/>
      <c r="AJ3" s="2792"/>
      <c r="AK3" s="2792"/>
      <c r="AL3" s="2792"/>
      <c r="AM3" s="2792"/>
      <c r="AN3" s="2825"/>
      <c r="AO3" s="2825"/>
      <c r="AP3" s="2825"/>
      <c r="AQ3" s="2825"/>
      <c r="AR3" s="2825"/>
      <c r="AS3" s="2708"/>
      <c r="AT3" s="2708"/>
      <c r="AU3" s="2708"/>
      <c r="AV3" s="2708"/>
      <c r="AW3" s="2708"/>
      <c r="AX3" s="2708"/>
      <c r="AY3" s="2708"/>
      <c r="AZ3" s="2708"/>
      <c r="BA3" s="2708"/>
      <c r="BB3" s="2708"/>
      <c r="BC3" s="2708"/>
      <c r="BD3" s="2708"/>
      <c r="BE3" s="2708"/>
      <c r="BF3" s="2708"/>
      <c r="BG3" s="2708"/>
      <c r="BH3" s="2708"/>
      <c r="BI3" s="2708"/>
      <c r="BJ3" s="2708"/>
      <c r="BK3" s="2708"/>
      <c r="BL3" s="2708"/>
      <c r="BM3" s="2708"/>
      <c r="BN3" s="2708"/>
      <c r="BO3" s="2708"/>
    </row>
    <row r="4" s="2779" customFormat="1" ht="15.15" spans="1:67">
      <c r="A4" s="1474" t="s">
        <v>539</v>
      </c>
      <c r="B4" s="2379"/>
      <c r="C4" s="2796"/>
      <c r="D4" s="2797"/>
      <c r="E4" s="2796" t="s">
        <v>540</v>
      </c>
      <c r="F4" s="2796"/>
      <c r="G4" s="2796"/>
      <c r="H4" s="2796"/>
      <c r="I4" s="2796"/>
      <c r="J4" s="2890"/>
      <c r="K4" s="2891"/>
      <c r="L4" s="2892"/>
      <c r="M4" s="2796"/>
      <c r="N4" s="2796" t="s">
        <v>541</v>
      </c>
      <c r="O4" s="2796"/>
      <c r="P4" s="2796"/>
      <c r="Q4" s="2796"/>
      <c r="R4" s="2796"/>
      <c r="S4" s="2890"/>
      <c r="T4" s="2916" t="str">
        <f>'数据-汇总表'!I17</f>
        <v>按面积比例</v>
      </c>
      <c r="U4" s="2379" t="s">
        <v>542</v>
      </c>
      <c r="V4" s="2796"/>
      <c r="W4" s="2796"/>
      <c r="X4" s="2796"/>
      <c r="Y4" s="2890"/>
      <c r="Z4" s="2947" t="s">
        <v>543</v>
      </c>
      <c r="AA4" s="2947"/>
      <c r="AB4" s="2947"/>
      <c r="AC4" s="2947"/>
      <c r="AD4" s="2947"/>
      <c r="AE4" s="2948" t="s">
        <v>544</v>
      </c>
      <c r="AF4" s="2947"/>
      <c r="AG4" s="2961"/>
      <c r="AH4" s="2379"/>
      <c r="AI4" s="2796"/>
      <c r="AJ4" s="2796"/>
      <c r="AK4" s="2796"/>
      <c r="AL4" s="2796"/>
      <c r="AM4" s="2890"/>
      <c r="AN4" s="2825"/>
      <c r="AO4" s="2825"/>
      <c r="AP4" s="2825"/>
      <c r="AQ4" s="2825"/>
      <c r="AR4" s="2825"/>
      <c r="AS4" s="2708"/>
      <c r="AT4" s="2708"/>
      <c r="AU4" s="2708"/>
      <c r="AV4" s="2708"/>
      <c r="AW4" s="2708"/>
      <c r="AX4" s="2708"/>
      <c r="AY4" s="2708"/>
      <c r="AZ4" s="2708"/>
      <c r="BA4" s="2708"/>
      <c r="BB4" s="2708"/>
      <c r="BC4" s="2708"/>
      <c r="BD4" s="2708"/>
      <c r="BE4" s="2708"/>
      <c r="BF4" s="2708"/>
      <c r="BG4" s="2708"/>
      <c r="BH4" s="2708"/>
      <c r="BI4" s="2708"/>
      <c r="BJ4" s="2708"/>
      <c r="BK4" s="2708"/>
      <c r="BL4" s="2708"/>
      <c r="BM4" s="2708"/>
      <c r="BN4" s="2708"/>
      <c r="BO4" s="2708"/>
    </row>
    <row r="5" s="2780" customFormat="1" ht="57.6" spans="1:67">
      <c r="A5" s="2798" t="s">
        <v>517</v>
      </c>
      <c r="B5" s="2799" t="s">
        <v>516</v>
      </c>
      <c r="C5" s="2800" t="s">
        <v>545</v>
      </c>
      <c r="D5" s="2801" t="s">
        <v>546</v>
      </c>
      <c r="E5" s="2802" t="s">
        <v>547</v>
      </c>
      <c r="F5" s="2803" t="s">
        <v>548</v>
      </c>
      <c r="G5" s="2802" t="s">
        <v>549</v>
      </c>
      <c r="H5" s="2802" t="s">
        <v>550</v>
      </c>
      <c r="I5" s="2802" t="s">
        <v>551</v>
      </c>
      <c r="J5" s="2893" t="s">
        <v>552</v>
      </c>
      <c r="K5" s="2894" t="s">
        <v>526</v>
      </c>
      <c r="L5" s="2895" t="s">
        <v>553</v>
      </c>
      <c r="M5" s="2896" t="s">
        <v>554</v>
      </c>
      <c r="N5" s="2897" t="s">
        <v>555</v>
      </c>
      <c r="O5" s="2895" t="s">
        <v>556</v>
      </c>
      <c r="P5" s="2898" t="s">
        <v>557</v>
      </c>
      <c r="Q5" s="1359" t="s">
        <v>558</v>
      </c>
      <c r="R5" s="2917" t="s">
        <v>559</v>
      </c>
      <c r="S5" s="2918" t="s">
        <v>560</v>
      </c>
      <c r="T5" s="2919" t="s">
        <v>561</v>
      </c>
      <c r="U5" s="2920" t="s">
        <v>562</v>
      </c>
      <c r="V5" s="2802" t="s">
        <v>563</v>
      </c>
      <c r="W5" s="2802" t="s">
        <v>564</v>
      </c>
      <c r="X5" s="63"/>
      <c r="Y5" s="1491" t="s">
        <v>565</v>
      </c>
      <c r="Z5" s="2949" t="s">
        <v>562</v>
      </c>
      <c r="AA5" s="2802" t="s">
        <v>563</v>
      </c>
      <c r="AB5" s="2802" t="s">
        <v>564</v>
      </c>
      <c r="AC5" s="63"/>
      <c r="AD5" s="63" t="s">
        <v>565</v>
      </c>
      <c r="AE5" s="2920" t="s">
        <v>566</v>
      </c>
      <c r="AF5" s="2802" t="s">
        <v>567</v>
      </c>
      <c r="AG5" s="1491" t="s">
        <v>568</v>
      </c>
      <c r="AH5" s="2920" t="s">
        <v>569</v>
      </c>
      <c r="AI5" s="2949" t="s">
        <v>570</v>
      </c>
      <c r="AJ5" s="2949" t="s">
        <v>571</v>
      </c>
      <c r="AK5" s="2802" t="s">
        <v>572</v>
      </c>
      <c r="AL5" s="2802" t="s">
        <v>573</v>
      </c>
      <c r="AM5" s="1491" t="s">
        <v>574</v>
      </c>
      <c r="AN5" s="2962" t="s">
        <v>575</v>
      </c>
      <c r="AO5" s="2979" t="s">
        <v>576</v>
      </c>
      <c r="AP5" s="2980" t="s">
        <v>577</v>
      </c>
      <c r="AQ5" s="2981" t="s">
        <v>578</v>
      </c>
      <c r="AR5" s="2981" t="s">
        <v>579</v>
      </c>
      <c r="AS5" s="2709"/>
      <c r="AT5" s="2709"/>
      <c r="AU5" s="2709"/>
      <c r="AV5" s="2709"/>
      <c r="AW5" s="2709"/>
      <c r="AX5" s="2709"/>
      <c r="AY5" s="2709"/>
      <c r="AZ5" s="2709"/>
      <c r="BA5" s="2709"/>
      <c r="BB5" s="2709"/>
      <c r="BC5" s="2709"/>
      <c r="BD5" s="2709"/>
      <c r="BE5" s="2709"/>
      <c r="BF5" s="2709"/>
      <c r="BG5" s="2709"/>
      <c r="BH5" s="2709"/>
      <c r="BI5" s="2709"/>
      <c r="BJ5" s="2709"/>
      <c r="BK5" s="2709"/>
      <c r="BL5" s="2709"/>
      <c r="BM5" s="2709"/>
      <c r="BN5" s="2709"/>
      <c r="BO5" s="2709"/>
    </row>
    <row r="6" s="2779" customFormat="1" ht="13.8" spans="1:67">
      <c r="A6" s="2804" t="str">
        <f>'数据-汇总表'!C19</f>
        <v>工业</v>
      </c>
      <c r="B6" s="2805" t="str">
        <f>IF(A6=0,"","经营性")</f>
        <v>经营性</v>
      </c>
      <c r="C6" s="2806" t="s">
        <v>454</v>
      </c>
      <c r="D6" s="2807">
        <f>SUMIF(项目基本情况!D$12:I$12,C6,项目基本情况!D$14:I$14)</f>
        <v>50</v>
      </c>
      <c r="E6" s="2808">
        <f>IF(B6="","",SUMIF(项目基本情况!D$12:I$12,C6,项目基本情况!D$13:I$13))</f>
        <v>57827</v>
      </c>
      <c r="F6" s="2809">
        <f>SUMIF(项目基本情况!D$12:I$12,C6,项目基本情况!D$15:I$15)</f>
        <v>35.68</v>
      </c>
      <c r="G6" s="2810">
        <f>IF(ISERROR(ROUND(POWER(1+H6,D6-F6)*(POWER(1+H6,F6)-1)/(POWER(1+H6,D6)-1),3)),0,ROUND(POWER(1+H6,D6-F6)*(POWER(1+H6,F6)-1)/(POWER(1+H6,D6)-1),3))</f>
        <v>0.903</v>
      </c>
      <c r="H6" s="2811">
        <v>0.05</v>
      </c>
      <c r="I6" s="2811">
        <v>0.055</v>
      </c>
      <c r="J6" s="2812">
        <v>0.07</v>
      </c>
      <c r="K6" s="2899">
        <f>SUMIF('数据-汇总表'!C$19:C$33,A6,'数据-汇总表'!E$19:E$33)</f>
        <v>18872.33</v>
      </c>
      <c r="L6" s="2900">
        <v>5000</v>
      </c>
      <c r="M6" s="2901">
        <f t="shared" ref="M6:M14" si="0">ROUND(K6*L6/10000,0)</f>
        <v>9436</v>
      </c>
      <c r="N6" s="2902">
        <v>0.8</v>
      </c>
      <c r="O6" s="2901">
        <f>IF($N$5="成新度","——",ROUND(M6*N6,0))</f>
        <v>7549</v>
      </c>
      <c r="P6" s="2903">
        <f>IF($N$5="成新度","——",M6-O6)</f>
        <v>1887</v>
      </c>
      <c r="Q6" s="2921">
        <v>0.1</v>
      </c>
      <c r="R6" s="2922">
        <f ca="1">SUMIF('数据-汇总表'!C$19:C$33,A6,'数据-汇总表'!R$19:R$27)</f>
        <v>15415.9</v>
      </c>
      <c r="S6" s="2923">
        <f>IF('数据-汇总表'!$I$17="按面积比例",SUMIF('数据-汇总表'!C$19:C$33,A6,'数据-汇总表'!K$19:K$33),SUMIF('数据-汇总表'!C$19:C$33,A6,'数据-汇总表'!N$19:N$33))</f>
        <v>34.72</v>
      </c>
      <c r="T6" s="2924">
        <f>ROUND($L$14*S6/10000,0)</f>
        <v>0</v>
      </c>
      <c r="U6" s="2925">
        <v>2.5</v>
      </c>
      <c r="V6" s="2926">
        <v>0</v>
      </c>
      <c r="W6" s="2926">
        <v>0.1</v>
      </c>
      <c r="X6" s="2927"/>
      <c r="Y6" s="2950">
        <v>1</v>
      </c>
      <c r="Z6" s="2951"/>
      <c r="AA6" s="2812"/>
      <c r="AB6" s="2812"/>
      <c r="AC6" s="2927"/>
      <c r="AD6" s="2952"/>
      <c r="AE6" s="2953">
        <f ca="1">IF(AN6="",0,SUMIF(INDIRECT("'"&amp;AN6&amp;"'"&amp;"!E:E"),$AE$5,INDIRECT("'"&amp;AN6&amp;"'"&amp;"!F:F")))</f>
        <v>35.38</v>
      </c>
      <c r="AF6" s="2354"/>
      <c r="AG6" s="1684">
        <f ca="1">IF(AF6="",0,AE6-AF6)</f>
        <v>0</v>
      </c>
      <c r="AH6" s="2931"/>
      <c r="AI6" s="2963">
        <v>365</v>
      </c>
      <c r="AJ6" s="2964"/>
      <c r="AK6" s="2965">
        <v>0.01</v>
      </c>
      <c r="AL6" s="2966">
        <v>0.0015</v>
      </c>
      <c r="AM6" s="2967">
        <v>0.01</v>
      </c>
      <c r="AN6" s="2968" t="s">
        <v>580</v>
      </c>
      <c r="AO6" s="286">
        <f ca="1">SUMIF(INDIRECT("'"&amp;AN6&amp;"'"&amp;"!A:A"),"总价",INDIRECT("'"&amp;AN6&amp;"'"&amp;"!B:B"))</f>
        <v>17439</v>
      </c>
      <c r="AP6" s="2982">
        <f>IF(C6="住宅",K6*L6,0)</f>
        <v>0</v>
      </c>
      <c r="AQ6" s="286">
        <f>ROUND($L$14*$N$14*S6/10000,0)</f>
        <v>0</v>
      </c>
      <c r="AR6" s="286">
        <f>ROUND($L$14*(1-$N$14)*S6/10000,0)</f>
        <v>0</v>
      </c>
      <c r="AS6" s="2708"/>
      <c r="AT6" s="2708"/>
      <c r="AU6" s="2708"/>
      <c r="AV6" s="2708"/>
      <c r="AW6" s="2708"/>
      <c r="AX6" s="2708"/>
      <c r="AY6" s="2708"/>
      <c r="AZ6" s="2708"/>
      <c r="BA6" s="2708"/>
      <c r="BB6" s="2708"/>
      <c r="BC6" s="2708"/>
      <c r="BD6" s="2708"/>
      <c r="BE6" s="2708"/>
      <c r="BF6" s="2708"/>
      <c r="BG6" s="2708"/>
      <c r="BH6" s="2708"/>
      <c r="BI6" s="2708"/>
      <c r="BJ6" s="2708"/>
      <c r="BK6" s="2708"/>
      <c r="BL6" s="2708"/>
      <c r="BM6" s="2708"/>
      <c r="BN6" s="2708"/>
      <c r="BO6" s="2708"/>
    </row>
    <row r="7" s="2779" customFormat="1" ht="13.8" spans="1:67">
      <c r="A7" s="2804">
        <f>'数据-汇总表'!C20</f>
        <v>0</v>
      </c>
      <c r="B7" s="2805" t="str">
        <f t="shared" ref="B7:B13" si="1">IF(A7=0,"","经营性")</f>
        <v/>
      </c>
      <c r="C7" s="2806"/>
      <c r="D7" s="2807">
        <f>SUMIF(项目基本情况!D$12:I$12,C7,项目基本情况!D$14:I$14)</f>
        <v>0</v>
      </c>
      <c r="E7" s="2808" t="str">
        <f>IF(B7="","",SUMIF(项目基本情况!D$12:I$12,C7,项目基本情况!D$13:I$13))</f>
        <v/>
      </c>
      <c r="F7" s="2809">
        <f>SUMIF(项目基本情况!D$12:I$12,C7,项目基本情况!D$15:I$15)</f>
        <v>0</v>
      </c>
      <c r="G7" s="2810">
        <f t="shared" ref="G7:G13" si="2">IF(ISERROR(ROUND(POWER(1+H7,D7-F7)*(POWER(1+H7,F7)-1)/(POWER(1+H7,D7)-1),3)),0,ROUND(POWER(1+H7,D7-F7)*(POWER(1+H7,F7)-1)/(POWER(1+H7,D7)-1),3))</f>
        <v>0</v>
      </c>
      <c r="H7" s="2811"/>
      <c r="I7" s="2811"/>
      <c r="J7" s="2812"/>
      <c r="K7" s="2899">
        <f>SUMIF('数据-汇总表'!C$19:C$33,A7,'数据-汇总表'!E$19:E$33)</f>
        <v>0</v>
      </c>
      <c r="L7" s="2900"/>
      <c r="M7" s="2901">
        <f t="shared" si="0"/>
        <v>0</v>
      </c>
      <c r="N7" s="2902"/>
      <c r="O7" s="2901">
        <f t="shared" ref="O7:O14" si="3">IF($N$5="成新度","——",ROUND(M7*N7,0))</f>
        <v>0</v>
      </c>
      <c r="P7" s="2903">
        <f t="shared" ref="P7:P14" si="4">IF($N$5="成新度","——",M7-O7)</f>
        <v>0</v>
      </c>
      <c r="Q7" s="2921"/>
      <c r="R7" s="2922">
        <f ca="1">SUMIF('数据-汇总表'!C$19:C$33,A7,'数据-汇总表'!R$19:R$27)</f>
        <v>0</v>
      </c>
      <c r="S7" s="2923">
        <f>IF('数据-汇总表'!$I$17="按面积比例",SUMIF('数据-汇总表'!C$19:C$33,A7,'数据-汇总表'!K$19:K$33),SUMIF('数据-汇总表'!C$19:C$33,A7,'数据-汇总表'!N$19:N$33))</f>
        <v>0</v>
      </c>
      <c r="T7" s="2924">
        <f t="shared" ref="T7:T13" si="5">ROUND($L$14*S7/10000,0)</f>
        <v>0</v>
      </c>
      <c r="U7" s="2925"/>
      <c r="V7" s="2926"/>
      <c r="W7" s="2926"/>
      <c r="X7" s="2927"/>
      <c r="Y7" s="2950"/>
      <c r="Z7" s="2951"/>
      <c r="AA7" s="2812"/>
      <c r="AB7" s="2812"/>
      <c r="AC7" s="2927"/>
      <c r="AD7" s="2952"/>
      <c r="AE7" s="2953">
        <f ca="1" t="shared" ref="AE7:AE13" si="6">IF(AN7="",0,SUMIF(INDIRECT("'"&amp;AN7&amp;"'"&amp;"!E:E"),$AE$5,INDIRECT("'"&amp;AN7&amp;"'"&amp;"!F:F")))</f>
        <v>0</v>
      </c>
      <c r="AF7" s="2354"/>
      <c r="AG7" s="1684">
        <f ca="1" t="shared" ref="AG7:AG13" si="7">IF(AF7="",0,AE7-AF7)</f>
        <v>0</v>
      </c>
      <c r="AH7" s="2931"/>
      <c r="AI7" s="2963"/>
      <c r="AJ7" s="2964"/>
      <c r="AK7" s="2965"/>
      <c r="AL7" s="2966"/>
      <c r="AM7" s="2967"/>
      <c r="AN7" s="2968"/>
      <c r="AO7" s="286" t="e">
        <f ca="1" t="shared" ref="AO7:AO13" si="8">SUMIF(INDIRECT("'"&amp;AN7&amp;"'"&amp;"!A:A"),"总价",INDIRECT("'"&amp;AN7&amp;"'"&amp;"!B:B"))</f>
        <v>#REF!</v>
      </c>
      <c r="AP7" s="2982">
        <f t="shared" ref="AP7:AP13" si="9">IF(C7="住宅",K7*L7,0)</f>
        <v>0</v>
      </c>
      <c r="AQ7" s="286">
        <f t="shared" ref="AQ7:AQ13" si="10">ROUND($L$14*$N$14*S7/10000,0)</f>
        <v>0</v>
      </c>
      <c r="AR7" s="286">
        <f t="shared" ref="AR7:AR13" si="11">ROUND($L$14*(1-$N$14)*S7/10000,0)</f>
        <v>0</v>
      </c>
      <c r="AS7" s="2708"/>
      <c r="AT7" s="2708"/>
      <c r="AU7" s="2708"/>
      <c r="AV7" s="2708"/>
      <c r="AW7" s="2708"/>
      <c r="AX7" s="2708"/>
      <c r="AY7" s="2708"/>
      <c r="AZ7" s="2708"/>
      <c r="BA7" s="2708"/>
      <c r="BB7" s="2708"/>
      <c r="BC7" s="2708"/>
      <c r="BD7" s="2708"/>
      <c r="BE7" s="2708"/>
      <c r="BF7" s="2708"/>
      <c r="BG7" s="2708"/>
      <c r="BH7" s="2708"/>
      <c r="BI7" s="2708"/>
      <c r="BJ7" s="2708"/>
      <c r="BK7" s="2708"/>
      <c r="BL7" s="2708"/>
      <c r="BM7" s="2708"/>
      <c r="BN7" s="2708"/>
      <c r="BO7" s="2708"/>
    </row>
    <row r="8" s="2779" customFormat="1" ht="13.8" spans="1:67">
      <c r="A8" s="2804">
        <f>'数据-汇总表'!C21</f>
        <v>0</v>
      </c>
      <c r="B8" s="2805" t="str">
        <f t="shared" si="1"/>
        <v/>
      </c>
      <c r="C8" s="2806"/>
      <c r="D8" s="2807">
        <f>SUMIF(项目基本情况!D$12:I$12,C8,项目基本情况!D$14:I$14)</f>
        <v>0</v>
      </c>
      <c r="E8" s="2808" t="str">
        <f>IF(B8="","",SUMIF(项目基本情况!D$12:I$12,C8,项目基本情况!D$13:I$13))</f>
        <v/>
      </c>
      <c r="F8" s="2809">
        <f>SUMIF(项目基本情况!D$12:I$12,C8,项目基本情况!D$15:I$15)</f>
        <v>0</v>
      </c>
      <c r="G8" s="2810">
        <f t="shared" si="2"/>
        <v>0</v>
      </c>
      <c r="H8" s="2811"/>
      <c r="I8" s="2811"/>
      <c r="J8" s="2812"/>
      <c r="K8" s="2899">
        <f>SUMIF('数据-汇总表'!C$19:C$33,A8,'数据-汇总表'!E$19:E$33)</f>
        <v>0</v>
      </c>
      <c r="L8" s="2900"/>
      <c r="M8" s="2901">
        <f t="shared" si="0"/>
        <v>0</v>
      </c>
      <c r="N8" s="2902"/>
      <c r="O8" s="2901">
        <f t="shared" si="3"/>
        <v>0</v>
      </c>
      <c r="P8" s="2903">
        <f t="shared" si="4"/>
        <v>0</v>
      </c>
      <c r="Q8" s="2921"/>
      <c r="R8" s="2922">
        <f ca="1">SUMIF('数据-汇总表'!C$19:C$33,A8,'数据-汇总表'!R$19:R$27)</f>
        <v>0</v>
      </c>
      <c r="S8" s="2923">
        <f>IF('数据-汇总表'!$I$17="按面积比例",SUMIF('数据-汇总表'!C$19:C$33,A8,'数据-汇总表'!K$19:K$33),SUMIF('数据-汇总表'!C$19:C$33,A8,'数据-汇总表'!N$19:N$33))</f>
        <v>0</v>
      </c>
      <c r="T8" s="2924">
        <f t="shared" si="5"/>
        <v>0</v>
      </c>
      <c r="U8" s="2928"/>
      <c r="V8" s="2929"/>
      <c r="W8" s="2929"/>
      <c r="X8" s="2927"/>
      <c r="Y8" s="2954"/>
      <c r="Z8" s="2951"/>
      <c r="AA8" s="2812"/>
      <c r="AB8" s="2812"/>
      <c r="AC8" s="2927"/>
      <c r="AD8" s="2952"/>
      <c r="AE8" s="2953">
        <f ca="1" t="shared" si="6"/>
        <v>0</v>
      </c>
      <c r="AF8" s="2354"/>
      <c r="AG8" s="1684">
        <f ca="1" t="shared" si="7"/>
        <v>0</v>
      </c>
      <c r="AH8" s="2969"/>
      <c r="AI8" s="2963"/>
      <c r="AJ8" s="2964"/>
      <c r="AK8" s="2970"/>
      <c r="AL8" s="2971"/>
      <c r="AM8" s="2972"/>
      <c r="AN8" s="2968"/>
      <c r="AO8" s="286" t="e">
        <f ca="1" t="shared" si="8"/>
        <v>#REF!</v>
      </c>
      <c r="AP8" s="2982">
        <f t="shared" si="9"/>
        <v>0</v>
      </c>
      <c r="AQ8" s="286">
        <f t="shared" si="10"/>
        <v>0</v>
      </c>
      <c r="AR8" s="286">
        <f t="shared" si="11"/>
        <v>0</v>
      </c>
      <c r="AS8" s="2708"/>
      <c r="AT8" s="2708"/>
      <c r="AU8" s="2708"/>
      <c r="AV8" s="2708"/>
      <c r="AW8" s="2708"/>
      <c r="AX8" s="2708"/>
      <c r="AY8" s="2708"/>
      <c r="AZ8" s="2708"/>
      <c r="BA8" s="2708"/>
      <c r="BB8" s="2708"/>
      <c r="BC8" s="2708"/>
      <c r="BD8" s="2708"/>
      <c r="BE8" s="2708"/>
      <c r="BF8" s="2708"/>
      <c r="BG8" s="2708"/>
      <c r="BH8" s="2708"/>
      <c r="BI8" s="2708"/>
      <c r="BJ8" s="2708"/>
      <c r="BK8" s="2708"/>
      <c r="BL8" s="2708"/>
      <c r="BM8" s="2708"/>
      <c r="BN8" s="2708"/>
      <c r="BO8" s="2708"/>
    </row>
    <row r="9" s="2779" customFormat="1" ht="13.8" spans="1:67">
      <c r="A9" s="2804">
        <f>'数据-汇总表'!C22</f>
        <v>0</v>
      </c>
      <c r="B9" s="2805" t="str">
        <f t="shared" si="1"/>
        <v/>
      </c>
      <c r="C9" s="2806"/>
      <c r="D9" s="2807">
        <f>SUMIF(项目基本情况!D$12:I$12,C9,项目基本情况!D$14:I$14)</f>
        <v>0</v>
      </c>
      <c r="E9" s="2808" t="str">
        <f>IF(B9="","",SUMIF(项目基本情况!D$12:I$12,C9,项目基本情况!D$13:I$13))</f>
        <v/>
      </c>
      <c r="F9" s="2809">
        <f>SUMIF(项目基本情况!D$12:I$12,C9,项目基本情况!D$15:I$15)</f>
        <v>0</v>
      </c>
      <c r="G9" s="2810">
        <f t="shared" si="2"/>
        <v>0</v>
      </c>
      <c r="H9" s="2812"/>
      <c r="I9" s="2812"/>
      <c r="J9" s="2812"/>
      <c r="K9" s="2899">
        <f>SUMIF('数据-汇总表'!C$19:C$33,A9,'数据-汇总表'!E$19:E$33)</f>
        <v>0</v>
      </c>
      <c r="L9" s="2900"/>
      <c r="M9" s="2901">
        <f t="shared" si="0"/>
        <v>0</v>
      </c>
      <c r="N9" s="2902"/>
      <c r="O9" s="2901">
        <f t="shared" si="3"/>
        <v>0</v>
      </c>
      <c r="P9" s="2903">
        <f t="shared" si="4"/>
        <v>0</v>
      </c>
      <c r="Q9" s="2930"/>
      <c r="R9" s="2922">
        <f ca="1">SUMIF('数据-汇总表'!C$19:C$33,A9,'数据-汇总表'!R$19:R$27)</f>
        <v>0</v>
      </c>
      <c r="S9" s="2923">
        <f>IF('数据-汇总表'!$I$17="按面积比例",SUMIF('数据-汇总表'!C$19:C$33,A9,'数据-汇总表'!K$19:K$33),SUMIF('数据-汇总表'!C$19:C$33,A9,'数据-汇总表'!N$19:N$33))</f>
        <v>0</v>
      </c>
      <c r="T9" s="2924">
        <f t="shared" si="5"/>
        <v>0</v>
      </c>
      <c r="U9" s="2925"/>
      <c r="V9" s="2926"/>
      <c r="W9" s="2926"/>
      <c r="X9" s="2927"/>
      <c r="Y9" s="2950"/>
      <c r="Z9" s="2951"/>
      <c r="AA9" s="2812"/>
      <c r="AB9" s="2812"/>
      <c r="AC9" s="2927"/>
      <c r="AD9" s="2952"/>
      <c r="AE9" s="2953">
        <f ca="1" t="shared" si="6"/>
        <v>0</v>
      </c>
      <c r="AF9" s="2354"/>
      <c r="AG9" s="1684">
        <f ca="1" t="shared" si="7"/>
        <v>0</v>
      </c>
      <c r="AH9" s="2931"/>
      <c r="AI9" s="2963"/>
      <c r="AJ9" s="2964"/>
      <c r="AK9" s="2965"/>
      <c r="AL9" s="2966"/>
      <c r="AM9" s="2967"/>
      <c r="AN9" s="2968"/>
      <c r="AO9" s="286" t="e">
        <f ca="1" t="shared" si="8"/>
        <v>#REF!</v>
      </c>
      <c r="AP9" s="2982">
        <f t="shared" si="9"/>
        <v>0</v>
      </c>
      <c r="AQ9" s="286">
        <f t="shared" si="10"/>
        <v>0</v>
      </c>
      <c r="AR9" s="286">
        <f t="shared" si="11"/>
        <v>0</v>
      </c>
      <c r="AS9" s="2708"/>
      <c r="AT9" s="2708"/>
      <c r="AU9" s="2708"/>
      <c r="AV9" s="2708"/>
      <c r="AW9" s="2708"/>
      <c r="AX9" s="2708"/>
      <c r="AY9" s="2708"/>
      <c r="AZ9" s="2708"/>
      <c r="BA9" s="2708"/>
      <c r="BB9" s="2708"/>
      <c r="BC9" s="2708"/>
      <c r="BD9" s="2708"/>
      <c r="BE9" s="2708"/>
      <c r="BF9" s="2708"/>
      <c r="BG9" s="2708"/>
      <c r="BH9" s="2708"/>
      <c r="BI9" s="2708"/>
      <c r="BJ9" s="2708"/>
      <c r="BK9" s="2708"/>
      <c r="BL9" s="2708"/>
      <c r="BM9" s="2708"/>
      <c r="BN9" s="2708"/>
      <c r="BO9" s="2708"/>
    </row>
    <row r="10" s="2779" customFormat="1" ht="13.8" spans="1:67">
      <c r="A10" s="2804">
        <f>'数据-汇总表'!C23</f>
        <v>0</v>
      </c>
      <c r="B10" s="2805" t="str">
        <f t="shared" si="1"/>
        <v/>
      </c>
      <c r="C10" s="2806"/>
      <c r="D10" s="2807">
        <f>SUMIF(项目基本情况!D$12:I$12,C10,项目基本情况!D$14:I$14)</f>
        <v>0</v>
      </c>
      <c r="E10" s="2808" t="str">
        <f>IF(B10="","",SUMIF(项目基本情况!D$12:I$12,C10,项目基本情况!D$13:I$13))</f>
        <v/>
      </c>
      <c r="F10" s="2809">
        <f>SUMIF(项目基本情况!D$12:I$12,C10,项目基本情况!D$15:I$15)</f>
        <v>0</v>
      </c>
      <c r="G10" s="2810">
        <f t="shared" si="2"/>
        <v>0</v>
      </c>
      <c r="H10" s="2812"/>
      <c r="I10" s="2812"/>
      <c r="J10" s="2812"/>
      <c r="K10" s="2899">
        <f>SUMIF('数据-汇总表'!C$19:C$33,A10,'数据-汇总表'!E$19:E$33)</f>
        <v>0</v>
      </c>
      <c r="L10" s="2900"/>
      <c r="M10" s="2901">
        <f t="shared" si="0"/>
        <v>0</v>
      </c>
      <c r="N10" s="2902"/>
      <c r="O10" s="2901">
        <f t="shared" si="3"/>
        <v>0</v>
      </c>
      <c r="P10" s="2903">
        <f t="shared" si="4"/>
        <v>0</v>
      </c>
      <c r="Q10" s="2930"/>
      <c r="R10" s="2922">
        <f ca="1">SUMIF('数据-汇总表'!C$19:C$33,A10,'数据-汇总表'!R$19:R$27)</f>
        <v>0</v>
      </c>
      <c r="S10" s="2923">
        <f>IF('数据-汇总表'!$I$17="按面积比例",SUMIF('数据-汇总表'!C$19:C$33,A10,'数据-汇总表'!K$19:K$33),SUMIF('数据-汇总表'!C$19:C$33,A10,'数据-汇总表'!N$19:N$33))</f>
        <v>0</v>
      </c>
      <c r="T10" s="2924">
        <f t="shared" si="5"/>
        <v>0</v>
      </c>
      <c r="U10" s="2925"/>
      <c r="V10" s="2926"/>
      <c r="W10" s="2926"/>
      <c r="X10" s="2927"/>
      <c r="Y10" s="2950"/>
      <c r="Z10" s="2951"/>
      <c r="AA10" s="2812"/>
      <c r="AB10" s="2812"/>
      <c r="AC10" s="2927"/>
      <c r="AD10" s="2952"/>
      <c r="AE10" s="2953">
        <f ca="1" t="shared" si="6"/>
        <v>0</v>
      </c>
      <c r="AF10" s="2354"/>
      <c r="AG10" s="1684">
        <f ca="1" t="shared" si="7"/>
        <v>0</v>
      </c>
      <c r="AH10" s="2931"/>
      <c r="AI10" s="2963"/>
      <c r="AJ10" s="2964"/>
      <c r="AK10" s="2965"/>
      <c r="AL10" s="2966"/>
      <c r="AM10" s="2967"/>
      <c r="AN10" s="2968"/>
      <c r="AO10" s="286" t="e">
        <f ca="1" t="shared" si="8"/>
        <v>#REF!</v>
      </c>
      <c r="AP10" s="2982">
        <f t="shared" si="9"/>
        <v>0</v>
      </c>
      <c r="AQ10" s="286">
        <f t="shared" si="10"/>
        <v>0</v>
      </c>
      <c r="AR10" s="286">
        <f t="shared" si="11"/>
        <v>0</v>
      </c>
      <c r="AS10" s="2708"/>
      <c r="AT10" s="2708"/>
      <c r="AU10" s="2708"/>
      <c r="AV10" s="2708"/>
      <c r="AW10" s="2708"/>
      <c r="AX10" s="2708"/>
      <c r="AY10" s="2708"/>
      <c r="AZ10" s="2708"/>
      <c r="BA10" s="2708"/>
      <c r="BB10" s="2708"/>
      <c r="BC10" s="2708"/>
      <c r="BD10" s="2708"/>
      <c r="BE10" s="2708"/>
      <c r="BF10" s="2708"/>
      <c r="BG10" s="2708"/>
      <c r="BH10" s="2708"/>
      <c r="BI10" s="2708"/>
      <c r="BJ10" s="2708"/>
      <c r="BK10" s="2708"/>
      <c r="BL10" s="2708"/>
      <c r="BM10" s="2708"/>
      <c r="BN10" s="2708"/>
      <c r="BO10" s="2708"/>
    </row>
    <row r="11" s="2779" customFormat="1" ht="13.8" spans="1:67">
      <c r="A11" s="2804">
        <f>'数据-汇总表'!C24</f>
        <v>0</v>
      </c>
      <c r="B11" s="2805" t="str">
        <f t="shared" si="1"/>
        <v/>
      </c>
      <c r="C11" s="2806"/>
      <c r="D11" s="2807">
        <f>SUMIF(项目基本情况!D$12:I$12,C11,项目基本情况!D$14:I$14)</f>
        <v>0</v>
      </c>
      <c r="E11" s="2808" t="str">
        <f>IF(B11="","",SUMIF(项目基本情况!D$12:I$12,C11,项目基本情况!D$13:I$13))</f>
        <v/>
      </c>
      <c r="F11" s="2809">
        <f>SUMIF(项目基本情况!D$12:I$12,C11,项目基本情况!D$15:I$15)</f>
        <v>0</v>
      </c>
      <c r="G11" s="2810">
        <f t="shared" si="2"/>
        <v>0</v>
      </c>
      <c r="H11" s="2812"/>
      <c r="I11" s="2812"/>
      <c r="J11" s="2812"/>
      <c r="K11" s="2899">
        <f>SUMIF('数据-汇总表'!C$19:C$33,A11,'数据-汇总表'!E$19:E$33)</f>
        <v>0</v>
      </c>
      <c r="L11" s="2904"/>
      <c r="M11" s="2901">
        <f t="shared" si="0"/>
        <v>0</v>
      </c>
      <c r="N11" s="2905"/>
      <c r="O11" s="2901">
        <f t="shared" si="3"/>
        <v>0</v>
      </c>
      <c r="P11" s="2903">
        <f t="shared" si="4"/>
        <v>0</v>
      </c>
      <c r="Q11" s="2930"/>
      <c r="R11" s="2922">
        <f ca="1">SUMIF('数据-汇总表'!C$19:C$33,A11,'数据-汇总表'!R$19:R$27)</f>
        <v>0</v>
      </c>
      <c r="S11" s="2923">
        <f>IF('数据-汇总表'!$I$17="按面积比例",SUMIF('数据-汇总表'!C$19:C$33,A11,'数据-汇总表'!K$19:K$33),SUMIF('数据-汇总表'!C$19:C$33,A11,'数据-汇总表'!N$19:N$33))</f>
        <v>0</v>
      </c>
      <c r="T11" s="2924">
        <f t="shared" si="5"/>
        <v>0</v>
      </c>
      <c r="U11" s="2931"/>
      <c r="V11" s="2812"/>
      <c r="W11" s="2812"/>
      <c r="X11" s="2927"/>
      <c r="Y11" s="2950"/>
      <c r="Z11" s="2955"/>
      <c r="AA11" s="2812"/>
      <c r="AB11" s="2812"/>
      <c r="AC11" s="2927"/>
      <c r="AD11" s="2952"/>
      <c r="AE11" s="2953">
        <f ca="1" t="shared" si="6"/>
        <v>0</v>
      </c>
      <c r="AF11" s="2354"/>
      <c r="AG11" s="1684">
        <f ca="1" t="shared" si="7"/>
        <v>0</v>
      </c>
      <c r="AH11" s="2931"/>
      <c r="AI11" s="2963"/>
      <c r="AJ11" s="2964"/>
      <c r="AK11" s="2973"/>
      <c r="AL11" s="2974"/>
      <c r="AM11" s="2975"/>
      <c r="AN11" s="2968"/>
      <c r="AO11" s="286" t="e">
        <f ca="1" t="shared" si="8"/>
        <v>#REF!</v>
      </c>
      <c r="AP11" s="2982">
        <f t="shared" si="9"/>
        <v>0</v>
      </c>
      <c r="AQ11" s="286">
        <f t="shared" si="10"/>
        <v>0</v>
      </c>
      <c r="AR11" s="286">
        <f t="shared" si="11"/>
        <v>0</v>
      </c>
      <c r="AS11" s="2708"/>
      <c r="AT11" s="2708"/>
      <c r="AU11" s="2708"/>
      <c r="AV11" s="2708"/>
      <c r="AW11" s="2708"/>
      <c r="AX11" s="2708"/>
      <c r="AY11" s="2708"/>
      <c r="AZ11" s="2708"/>
      <c r="BA11" s="2708"/>
      <c r="BB11" s="2708"/>
      <c r="BC11" s="2708"/>
      <c r="BD11" s="2708"/>
      <c r="BE11" s="2708"/>
      <c r="BF11" s="2708"/>
      <c r="BG11" s="2708"/>
      <c r="BH11" s="2708"/>
      <c r="BI11" s="2708"/>
      <c r="BJ11" s="2708"/>
      <c r="BK11" s="2708"/>
      <c r="BL11" s="2708"/>
      <c r="BM11" s="2708"/>
      <c r="BN11" s="2708"/>
      <c r="BO11" s="2708"/>
    </row>
    <row r="12" s="2779" customFormat="1" ht="13.8" spans="1:67">
      <c r="A12" s="2804">
        <f>'数据-汇总表'!C25</f>
        <v>0</v>
      </c>
      <c r="B12" s="2805" t="str">
        <f t="shared" si="1"/>
        <v/>
      </c>
      <c r="C12" s="2806"/>
      <c r="D12" s="2807">
        <f>SUMIF(项目基本情况!D$12:I$12,C12,项目基本情况!D$14:I$14)</f>
        <v>0</v>
      </c>
      <c r="E12" s="2808" t="str">
        <f>IF(B12="","",SUMIF(项目基本情况!D$12:I$12,C12,项目基本情况!D$13:I$13))</f>
        <v/>
      </c>
      <c r="F12" s="2809">
        <f>SUMIF(项目基本情况!D$12:I$12,C12,项目基本情况!D$15:I$15)</f>
        <v>0</v>
      </c>
      <c r="G12" s="2810">
        <f t="shared" si="2"/>
        <v>0</v>
      </c>
      <c r="H12" s="2812"/>
      <c r="I12" s="2812"/>
      <c r="J12" s="2812"/>
      <c r="K12" s="2899">
        <f>SUMIF('数据-汇总表'!C$19:C$33,A12,'数据-汇总表'!E$19:E$33)</f>
        <v>0</v>
      </c>
      <c r="L12" s="2904"/>
      <c r="M12" s="2901">
        <f t="shared" si="0"/>
        <v>0</v>
      </c>
      <c r="N12" s="2905"/>
      <c r="O12" s="2901">
        <f t="shared" si="3"/>
        <v>0</v>
      </c>
      <c r="P12" s="2903">
        <f t="shared" si="4"/>
        <v>0</v>
      </c>
      <c r="Q12" s="2930"/>
      <c r="R12" s="2922">
        <f ca="1">SUMIF('数据-汇总表'!C$19:C$33,A12,'数据-汇总表'!R$19:R$27)</f>
        <v>0</v>
      </c>
      <c r="S12" s="2923">
        <f>IF('数据-汇总表'!$I$17="按面积比例",SUMIF('数据-汇总表'!C$19:C$33,A12,'数据-汇总表'!K$19:K$33),SUMIF('数据-汇总表'!C$19:C$33,A12,'数据-汇总表'!N$19:N$33))</f>
        <v>0</v>
      </c>
      <c r="T12" s="2924">
        <f t="shared" si="5"/>
        <v>0</v>
      </c>
      <c r="U12" s="2931"/>
      <c r="V12" s="2812"/>
      <c r="W12" s="2812"/>
      <c r="X12" s="2927"/>
      <c r="Y12" s="2950"/>
      <c r="Z12" s="2955"/>
      <c r="AA12" s="2812"/>
      <c r="AB12" s="2812"/>
      <c r="AC12" s="2927"/>
      <c r="AD12" s="2952"/>
      <c r="AE12" s="2953">
        <f ca="1" t="shared" si="6"/>
        <v>0</v>
      </c>
      <c r="AF12" s="2354"/>
      <c r="AG12" s="1684">
        <f ca="1" t="shared" si="7"/>
        <v>0</v>
      </c>
      <c r="AH12" s="2931"/>
      <c r="AI12" s="2963"/>
      <c r="AJ12" s="2964"/>
      <c r="AK12" s="2973"/>
      <c r="AL12" s="2974"/>
      <c r="AM12" s="2975"/>
      <c r="AN12" s="2968"/>
      <c r="AO12" s="286" t="e">
        <f ca="1" t="shared" si="8"/>
        <v>#REF!</v>
      </c>
      <c r="AP12" s="2982">
        <f t="shared" si="9"/>
        <v>0</v>
      </c>
      <c r="AQ12" s="286">
        <f t="shared" si="10"/>
        <v>0</v>
      </c>
      <c r="AR12" s="286">
        <f t="shared" si="11"/>
        <v>0</v>
      </c>
      <c r="AS12" s="2708"/>
      <c r="AT12" s="2708"/>
      <c r="AU12" s="2708"/>
      <c r="AV12" s="2708"/>
      <c r="AW12" s="2708"/>
      <c r="AX12" s="2708"/>
      <c r="AY12" s="2708"/>
      <c r="AZ12" s="2708"/>
      <c r="BA12" s="2708"/>
      <c r="BB12" s="2708"/>
      <c r="BC12" s="2708"/>
      <c r="BD12" s="2708"/>
      <c r="BE12" s="2708"/>
      <c r="BF12" s="2708"/>
      <c r="BG12" s="2708"/>
      <c r="BH12" s="2708"/>
      <c r="BI12" s="2708"/>
      <c r="BJ12" s="2708"/>
      <c r="BK12" s="2708"/>
      <c r="BL12" s="2708"/>
      <c r="BM12" s="2708"/>
      <c r="BN12" s="2708"/>
      <c r="BO12" s="2708"/>
    </row>
    <row r="13" s="2779" customFormat="1" ht="13.8" spans="1:67">
      <c r="A13" s="2804">
        <f>'数据-汇总表'!C26</f>
        <v>0</v>
      </c>
      <c r="B13" s="2805" t="str">
        <f t="shared" si="1"/>
        <v/>
      </c>
      <c r="C13" s="2806"/>
      <c r="D13" s="2807">
        <f>SUMIF(项目基本情况!D$12:I$12,C13,项目基本情况!D$14:I$14)</f>
        <v>0</v>
      </c>
      <c r="E13" s="2808" t="str">
        <f>IF(B13="","",SUMIF(项目基本情况!D$12:I$12,C13,项目基本情况!D$13:I$13))</f>
        <v/>
      </c>
      <c r="F13" s="2809">
        <f>SUMIF(项目基本情况!D$12:I$12,C13,项目基本情况!D$15:I$15)</f>
        <v>0</v>
      </c>
      <c r="G13" s="2810">
        <f t="shared" si="2"/>
        <v>0</v>
      </c>
      <c r="H13" s="2812"/>
      <c r="I13" s="2812"/>
      <c r="J13" s="2812"/>
      <c r="K13" s="2899">
        <f>SUMIF('数据-汇总表'!C$19:C$33,A13,'数据-汇总表'!E$19:E$33)</f>
        <v>0</v>
      </c>
      <c r="L13" s="2904"/>
      <c r="M13" s="2901">
        <f t="shared" si="0"/>
        <v>0</v>
      </c>
      <c r="N13" s="2905"/>
      <c r="O13" s="2901">
        <f t="shared" si="3"/>
        <v>0</v>
      </c>
      <c r="P13" s="2903">
        <f t="shared" si="4"/>
        <v>0</v>
      </c>
      <c r="Q13" s="2930"/>
      <c r="R13" s="2922">
        <f ca="1">SUMIF('数据-汇总表'!C$19:C$33,A13,'数据-汇总表'!R$19:R$27)</f>
        <v>0</v>
      </c>
      <c r="S13" s="2923">
        <f>IF('数据-汇总表'!$I$17="按面积比例",SUMIF('数据-汇总表'!C$19:C$33,A13,'数据-汇总表'!K$19:K$33),SUMIF('数据-汇总表'!C$19:C$33,A13,'数据-汇总表'!N$19:N$33))</f>
        <v>0</v>
      </c>
      <c r="T13" s="2924">
        <f t="shared" si="5"/>
        <v>0</v>
      </c>
      <c r="U13" s="2925"/>
      <c r="V13" s="2926"/>
      <c r="W13" s="2926"/>
      <c r="X13" s="2927"/>
      <c r="Y13" s="2950"/>
      <c r="Z13" s="2951"/>
      <c r="AA13" s="2812"/>
      <c r="AB13" s="2812"/>
      <c r="AC13" s="2927"/>
      <c r="AD13" s="2952"/>
      <c r="AE13" s="2953">
        <f ca="1" t="shared" si="6"/>
        <v>0</v>
      </c>
      <c r="AF13" s="2354"/>
      <c r="AG13" s="1684">
        <f ca="1" t="shared" si="7"/>
        <v>0</v>
      </c>
      <c r="AH13" s="2931"/>
      <c r="AI13" s="2963"/>
      <c r="AJ13" s="2964"/>
      <c r="AK13" s="2965"/>
      <c r="AL13" s="2966"/>
      <c r="AM13" s="2967"/>
      <c r="AN13" s="2968"/>
      <c r="AO13" s="286" t="e">
        <f ca="1" t="shared" si="8"/>
        <v>#REF!</v>
      </c>
      <c r="AP13" s="2982">
        <f t="shared" si="9"/>
        <v>0</v>
      </c>
      <c r="AQ13" s="286">
        <f t="shared" si="10"/>
        <v>0</v>
      </c>
      <c r="AR13" s="286">
        <f t="shared" si="11"/>
        <v>0</v>
      </c>
      <c r="AS13" s="2708"/>
      <c r="AT13" s="2708"/>
      <c r="AU13" s="2708"/>
      <c r="AV13" s="2708"/>
      <c r="AW13" s="2708"/>
      <c r="AX13" s="2708"/>
      <c r="AY13" s="2708"/>
      <c r="AZ13" s="2708"/>
      <c r="BA13" s="2708"/>
      <c r="BB13" s="2708"/>
      <c r="BC13" s="2708"/>
      <c r="BD13" s="2708"/>
      <c r="BE13" s="2708"/>
      <c r="BF13" s="2708"/>
      <c r="BG13" s="2708"/>
      <c r="BH13" s="2708"/>
      <c r="BI13" s="2708"/>
      <c r="BJ13" s="2708"/>
      <c r="BK13" s="2708"/>
      <c r="BL13" s="2708"/>
      <c r="BM13" s="2708"/>
      <c r="BN13" s="2708"/>
      <c r="BO13" s="2708"/>
    </row>
    <row r="14" s="2779" customFormat="1" ht="14.4" spans="1:67">
      <c r="A14" s="2813" t="s">
        <v>533</v>
      </c>
      <c r="B14" s="2805" t="s">
        <v>532</v>
      </c>
      <c r="C14" s="2814" t="s">
        <v>533</v>
      </c>
      <c r="D14" s="2807"/>
      <c r="E14" s="2808"/>
      <c r="F14" s="2809"/>
      <c r="G14" s="2810"/>
      <c r="H14" s="2815"/>
      <c r="I14" s="2815"/>
      <c r="J14" s="2815"/>
      <c r="K14" s="2899">
        <f>SUMIF('数据-汇总表'!C$19:C$33,A14,'数据-汇总表'!E$19:E$33)</f>
        <v>34.72</v>
      </c>
      <c r="L14" s="2904"/>
      <c r="M14" s="2901">
        <f t="shared" si="0"/>
        <v>0</v>
      </c>
      <c r="N14" s="2905"/>
      <c r="O14" s="2901">
        <f t="shared" si="3"/>
        <v>0</v>
      </c>
      <c r="P14" s="2903">
        <f t="shared" si="4"/>
        <v>0</v>
      </c>
      <c r="Q14" s="2932"/>
      <c r="R14" s="2922"/>
      <c r="S14" s="2923"/>
      <c r="T14" s="2924"/>
      <c r="U14" s="2933"/>
      <c r="V14" s="2934"/>
      <c r="W14" s="2934"/>
      <c r="X14" s="2935"/>
      <c r="Y14" s="2956"/>
      <c r="Z14" s="2957"/>
      <c r="AA14" s="2958"/>
      <c r="AB14" s="2958"/>
      <c r="AC14" s="2927"/>
      <c r="AD14" s="2935"/>
      <c r="AE14" s="2953"/>
      <c r="AF14" s="286"/>
      <c r="AG14" s="1684"/>
      <c r="AH14" s="2953"/>
      <c r="AI14" s="269"/>
      <c r="AJ14" s="285"/>
      <c r="AK14" s="2976"/>
      <c r="AL14" s="2977"/>
      <c r="AM14" s="2978"/>
      <c r="AN14" s="2234"/>
      <c r="AO14" s="2825"/>
      <c r="AP14" s="2825"/>
      <c r="AQ14" s="2825"/>
      <c r="AR14" s="2825"/>
      <c r="AS14" s="2708"/>
      <c r="AT14" s="2708"/>
      <c r="AU14" s="2708"/>
      <c r="AV14" s="2708"/>
      <c r="AW14" s="2708"/>
      <c r="AX14" s="2708"/>
      <c r="AY14" s="2708"/>
      <c r="AZ14" s="2708"/>
      <c r="BA14" s="2708"/>
      <c r="BB14" s="2708"/>
      <c r="BC14" s="2708"/>
      <c r="BD14" s="2708"/>
      <c r="BE14" s="2708"/>
      <c r="BF14" s="2708"/>
      <c r="BG14" s="2708"/>
      <c r="BH14" s="2708"/>
      <c r="BI14" s="2708"/>
      <c r="BJ14" s="2708"/>
      <c r="BK14" s="2708"/>
      <c r="BL14" s="2708"/>
      <c r="BM14" s="2708"/>
      <c r="BN14" s="2708"/>
      <c r="BO14" s="2708"/>
    </row>
    <row r="15" s="2779" customFormat="1" ht="28.8" spans="1:67">
      <c r="A15" s="2813" t="s">
        <v>534</v>
      </c>
      <c r="B15" s="2805" t="s">
        <v>532</v>
      </c>
      <c r="C15" s="2814" t="s">
        <v>581</v>
      </c>
      <c r="D15" s="2807"/>
      <c r="E15" s="2808"/>
      <c r="F15" s="2809"/>
      <c r="G15" s="2810"/>
      <c r="H15" s="2815"/>
      <c r="I15" s="2815"/>
      <c r="J15" s="2815"/>
      <c r="K15" s="2899">
        <f>SUMIF('数据-汇总表'!C$19:C$33,A15,'数据-汇总表'!E$19:E$33)</f>
        <v>0</v>
      </c>
      <c r="L15" s="2906"/>
      <c r="M15" s="2901"/>
      <c r="N15" s="2907"/>
      <c r="O15" s="2901"/>
      <c r="P15" s="2903"/>
      <c r="Q15" s="2932"/>
      <c r="R15" s="2922"/>
      <c r="S15" s="2923"/>
      <c r="T15" s="2924"/>
      <c r="U15" s="2933"/>
      <c r="V15" s="2934"/>
      <c r="W15" s="2934"/>
      <c r="X15" s="2935"/>
      <c r="Y15" s="2956"/>
      <c r="Z15" s="2957"/>
      <c r="AA15" s="2958"/>
      <c r="AB15" s="2958"/>
      <c r="AC15" s="2927"/>
      <c r="AD15" s="2935"/>
      <c r="AE15" s="2953"/>
      <c r="AF15" s="286"/>
      <c r="AG15" s="1684"/>
      <c r="AH15" s="2953"/>
      <c r="AI15" s="269"/>
      <c r="AJ15" s="285"/>
      <c r="AK15" s="2976"/>
      <c r="AL15" s="2977"/>
      <c r="AM15" s="2978"/>
      <c r="AN15" s="2234"/>
      <c r="AO15" s="2825"/>
      <c r="AP15" s="2825"/>
      <c r="AQ15" s="2825"/>
      <c r="AR15" s="2825"/>
      <c r="AS15" s="2708"/>
      <c r="AT15" s="2708"/>
      <c r="AU15" s="2708"/>
      <c r="AV15" s="2708"/>
      <c r="AW15" s="2708"/>
      <c r="AX15" s="2708"/>
      <c r="AY15" s="2708"/>
      <c r="AZ15" s="2708"/>
      <c r="BA15" s="2708"/>
      <c r="BB15" s="2708"/>
      <c r="BC15" s="2708"/>
      <c r="BD15" s="2708"/>
      <c r="BE15" s="2708"/>
      <c r="BF15" s="2708"/>
      <c r="BG15" s="2708"/>
      <c r="BH15" s="2708"/>
      <c r="BI15" s="2708"/>
      <c r="BJ15" s="2708"/>
      <c r="BK15" s="2708"/>
      <c r="BL15" s="2708"/>
      <c r="BM15" s="2708"/>
      <c r="BN15" s="2708"/>
      <c r="BO15" s="2708"/>
    </row>
    <row r="16" s="2779" customFormat="1" ht="15.15" spans="1:67">
      <c r="A16" s="2816" t="s">
        <v>535</v>
      </c>
      <c r="B16" s="2817"/>
      <c r="C16" s="2292"/>
      <c r="D16" s="2818"/>
      <c r="E16" s="2817"/>
      <c r="F16" s="2817"/>
      <c r="G16" s="2819">
        <f>ROUND(SUMPRODUCT(G6:G13,K6:K13)/SUMPRODUCT((G6:G13&gt;0)*(K6:K13)),3)</f>
        <v>0.903</v>
      </c>
      <c r="H16" s="2820">
        <f>ROUND(SUMPRODUCT(H6:H13,K6:K13)/SUMPRODUCT((H6:H13&gt;0)*(K6:K13)),3)</f>
        <v>0.05</v>
      </c>
      <c r="I16" s="2908"/>
      <c r="J16" s="2908"/>
      <c r="K16" s="2909">
        <f>SUM(K6:K15)</f>
        <v>18907.05</v>
      </c>
      <c r="L16" s="2910">
        <f>ROUND(M16*10000/SUM(K6:K14),0)</f>
        <v>4991</v>
      </c>
      <c r="M16" s="2910">
        <f>SUM(M6:M14)</f>
        <v>9436</v>
      </c>
      <c r="N16" s="2911">
        <f>ROUND(SUMPRODUCT(M6:M14,N6:N14)/M16,3)</f>
        <v>0.8</v>
      </c>
      <c r="O16" s="2910">
        <f>SUM(O6:O14)</f>
        <v>7549</v>
      </c>
      <c r="P16" s="2910">
        <f>SUM(P6:P14)</f>
        <v>1887</v>
      </c>
      <c r="Q16" s="2936">
        <f>ROUND(SUMPRODUCT(Q6:Q13,K6:K13)/SUMPRODUCT((Q6:Q13&gt;0)*(K6:K13)),2)</f>
        <v>0.1</v>
      </c>
      <c r="R16" s="2937">
        <f ca="1">SUM(R6:R13)</f>
        <v>15415.9</v>
      </c>
      <c r="S16" s="2938">
        <f>SUM(S6:S13)</f>
        <v>34.72</v>
      </c>
      <c r="T16" s="2939">
        <f>IF(SUMIF(T6:T13,"&lt;9E307")=M14,SUMIF(T6:T13,"&lt;9E307"),"有误，请检查")</f>
        <v>0</v>
      </c>
      <c r="U16" s="2940"/>
      <c r="V16" s="2941"/>
      <c r="W16" s="2941"/>
      <c r="X16" s="2942"/>
      <c r="Y16" s="2959"/>
      <c r="Z16" s="2960"/>
      <c r="AA16" s="2941"/>
      <c r="AB16" s="2941"/>
      <c r="AC16" s="2942"/>
      <c r="AD16" s="2942"/>
      <c r="AE16" s="2940"/>
      <c r="AF16" s="2941"/>
      <c r="AG16" s="2959"/>
      <c r="AH16" s="2940"/>
      <c r="AI16" s="2960"/>
      <c r="AJ16" s="2960"/>
      <c r="AK16" s="2941"/>
      <c r="AL16" s="2941"/>
      <c r="AM16" s="2959"/>
      <c r="AN16" s="2234"/>
      <c r="AO16" s="2825"/>
      <c r="AP16" s="2825"/>
      <c r="AQ16" s="2825"/>
      <c r="AR16" s="2825"/>
      <c r="AS16" s="2708"/>
      <c r="AT16" s="2708"/>
      <c r="AU16" s="2708"/>
      <c r="AV16" s="2708"/>
      <c r="AW16" s="2708"/>
      <c r="AX16" s="2708"/>
      <c r="AY16" s="2708"/>
      <c r="AZ16" s="2708"/>
      <c r="BA16" s="2708"/>
      <c r="BB16" s="2708"/>
      <c r="BC16" s="2708"/>
      <c r="BD16" s="2708"/>
      <c r="BE16" s="2708"/>
      <c r="BF16" s="2708"/>
      <c r="BG16" s="2708"/>
      <c r="BH16" s="2708"/>
      <c r="BI16" s="2708"/>
      <c r="BJ16" s="2708"/>
      <c r="BK16" s="2708"/>
      <c r="BL16" s="2708"/>
      <c r="BM16" s="2708"/>
      <c r="BN16" s="2708"/>
      <c r="BO16" s="2708"/>
    </row>
    <row r="17" ht="13.95" spans="1:44">
      <c r="A17" s="2821"/>
      <c r="B17" s="2822"/>
      <c r="C17" s="2234"/>
      <c r="D17" s="2823"/>
      <c r="E17" s="2823"/>
      <c r="F17" s="2234"/>
      <c r="G17" s="2234"/>
      <c r="H17" s="2234"/>
      <c r="I17" s="2234"/>
      <c r="J17" s="2234"/>
      <c r="K17" s="2912"/>
      <c r="L17" s="2912"/>
      <c r="M17" s="2234"/>
      <c r="N17" s="2913" t="s">
        <v>582</v>
      </c>
      <c r="O17" s="2234"/>
      <c r="P17" s="2234"/>
      <c r="Q17" s="2234"/>
      <c r="R17" s="2234"/>
      <c r="S17" s="2234"/>
      <c r="T17" s="2234"/>
      <c r="U17" s="2234"/>
      <c r="V17" s="2234"/>
      <c r="W17" s="2234"/>
      <c r="X17" s="2234"/>
      <c r="Y17" s="2234"/>
      <c r="Z17" s="2234"/>
      <c r="AA17" s="2234"/>
      <c r="AB17" s="2234"/>
      <c r="AC17" s="2234"/>
      <c r="AD17" s="2234"/>
      <c r="AE17" s="2234"/>
      <c r="AF17" s="2234"/>
      <c r="AG17" s="2234"/>
      <c r="AH17" s="2234"/>
      <c r="AI17" s="2234"/>
      <c r="AJ17" s="2234"/>
      <c r="AK17" s="2234"/>
      <c r="AL17" s="2234"/>
      <c r="AM17" s="2234"/>
      <c r="AN17" s="2234"/>
      <c r="AO17" s="2234"/>
      <c r="AP17" s="2234"/>
      <c r="AQ17" s="2234"/>
      <c r="AR17" s="2234"/>
    </row>
    <row r="18" ht="15.15" spans="1:44">
      <c r="A18" s="1474" t="s">
        <v>583</v>
      </c>
      <c r="B18" s="2824"/>
      <c r="C18" s="2825"/>
      <c r="D18" s="2826"/>
      <c r="E18" s="2825"/>
      <c r="F18" s="2825"/>
      <c r="G18" s="2825"/>
      <c r="H18" s="2825"/>
      <c r="I18" s="2825"/>
      <c r="J18" s="2825"/>
      <c r="K18" s="2912"/>
      <c r="L18" s="2912"/>
      <c r="M18" s="2234"/>
      <c r="N18" s="2234"/>
      <c r="O18" s="2234"/>
      <c r="P18" s="2234"/>
      <c r="Q18" s="2234"/>
      <c r="R18" s="2234"/>
      <c r="S18" s="2234"/>
      <c r="T18" s="2234"/>
      <c r="U18" s="2943" t="s">
        <v>584</v>
      </c>
      <c r="V18" s="2944"/>
      <c r="W18" s="2944"/>
      <c r="X18" s="2944"/>
      <c r="Y18" s="2944"/>
      <c r="Z18" s="2944"/>
      <c r="AA18" s="2944"/>
      <c r="AB18" s="2944"/>
      <c r="AC18" s="2234"/>
      <c r="AD18" s="2234"/>
      <c r="AE18" s="2234"/>
      <c r="AF18" s="2234"/>
      <c r="AG18" s="2234"/>
      <c r="AH18" s="2234"/>
      <c r="AI18" s="2234"/>
      <c r="AJ18" s="2234"/>
      <c r="AK18" s="2234"/>
      <c r="AL18" s="2234"/>
      <c r="AM18" s="2234"/>
      <c r="AN18" s="2234"/>
      <c r="AO18" s="2234"/>
      <c r="AP18" s="2234"/>
      <c r="AQ18" s="2234"/>
      <c r="AR18" s="2234"/>
    </row>
    <row r="19" ht="14.4" spans="1:44">
      <c r="A19" s="2827" t="s">
        <v>585</v>
      </c>
      <c r="B19" s="2828">
        <v>0</v>
      </c>
      <c r="C19" s="2829" t="s">
        <v>586</v>
      </c>
      <c r="D19" s="2826"/>
      <c r="E19" s="2825"/>
      <c r="F19" s="2825"/>
      <c r="G19" s="2825"/>
      <c r="H19" s="2825"/>
      <c r="I19" s="2825"/>
      <c r="J19" s="2825"/>
      <c r="K19" s="2912"/>
      <c r="L19" s="2912"/>
      <c r="M19" s="2234"/>
      <c r="N19" s="2234"/>
      <c r="O19" s="2234"/>
      <c r="P19" s="2234"/>
      <c r="Q19" s="2234"/>
      <c r="R19" s="2234"/>
      <c r="S19" s="2234"/>
      <c r="T19" s="2234"/>
      <c r="U19" s="2943" t="s">
        <v>587</v>
      </c>
      <c r="V19" s="2944"/>
      <c r="W19" s="2944"/>
      <c r="X19" s="2943"/>
      <c r="Y19" s="2944"/>
      <c r="Z19" s="2944"/>
      <c r="AA19" s="2944"/>
      <c r="AB19" s="2944"/>
      <c r="AC19" s="2234"/>
      <c r="AD19" s="2234"/>
      <c r="AE19" s="2234"/>
      <c r="AF19" s="2234"/>
      <c r="AG19" s="2234"/>
      <c r="AH19" s="2234"/>
      <c r="AI19" s="2234"/>
      <c r="AJ19" s="2234"/>
      <c r="AK19" s="2234"/>
      <c r="AL19" s="2234"/>
      <c r="AM19" s="2234"/>
      <c r="AN19" s="2234"/>
      <c r="AO19" s="2234"/>
      <c r="AP19" s="2234"/>
      <c r="AQ19" s="2234"/>
      <c r="AR19" s="2234"/>
    </row>
    <row r="20" ht="14.4" spans="1:44">
      <c r="A20" s="2830" t="s">
        <v>588</v>
      </c>
      <c r="B20" s="2831">
        <v>1.5</v>
      </c>
      <c r="C20" s="2832" t="s">
        <v>589</v>
      </c>
      <c r="D20" s="2826"/>
      <c r="E20" s="2825"/>
      <c r="F20" s="2825"/>
      <c r="G20" s="2825"/>
      <c r="H20" s="2825"/>
      <c r="I20" s="2825"/>
      <c r="J20" s="2825"/>
      <c r="K20" s="2912"/>
      <c r="L20" s="2912"/>
      <c r="M20" s="2234"/>
      <c r="N20" s="2914" t="s">
        <v>590</v>
      </c>
      <c r="O20" s="2914" t="s">
        <v>591</v>
      </c>
      <c r="P20" s="2914" t="s">
        <v>473</v>
      </c>
      <c r="Q20" s="2914" t="s">
        <v>592</v>
      </c>
      <c r="R20" s="2914" t="s">
        <v>593</v>
      </c>
      <c r="S20" s="2914" t="s">
        <v>476</v>
      </c>
      <c r="T20" s="2914" t="s">
        <v>594</v>
      </c>
      <c r="U20" s="2945" t="s">
        <v>595</v>
      </c>
      <c r="V20" s="2944" t="s">
        <v>596</v>
      </c>
      <c r="W20" s="2944" t="s">
        <v>597</v>
      </c>
      <c r="X20" s="2944"/>
      <c r="Y20" s="2944"/>
      <c r="Z20" s="2944"/>
      <c r="AA20" s="2944"/>
      <c r="AB20" s="2944"/>
      <c r="AC20" s="2234"/>
      <c r="AD20" s="2234"/>
      <c r="AE20" s="2234"/>
      <c r="AF20" s="2234"/>
      <c r="AG20" s="2234"/>
      <c r="AH20" s="2234"/>
      <c r="AI20" s="2234"/>
      <c r="AJ20" s="2234"/>
      <c r="AK20" s="2234"/>
      <c r="AL20" s="2234"/>
      <c r="AM20" s="2234"/>
      <c r="AN20" s="2234"/>
      <c r="AO20" s="2234"/>
      <c r="AP20" s="2234"/>
      <c r="AQ20" s="2234"/>
      <c r="AR20" s="2234"/>
    </row>
    <row r="21" ht="14.4" spans="1:44">
      <c r="A21" s="2833" t="s">
        <v>598</v>
      </c>
      <c r="B21" s="2831">
        <f>ROUND(B20*N6,1)</f>
        <v>1.2</v>
      </c>
      <c r="C21" s="2825"/>
      <c r="D21" s="2826"/>
      <c r="E21" s="2825"/>
      <c r="F21" s="2825"/>
      <c r="G21" s="2825"/>
      <c r="H21" s="2825"/>
      <c r="I21" s="2825"/>
      <c r="J21" s="2825"/>
      <c r="K21" s="2912"/>
      <c r="L21" s="2912"/>
      <c r="M21" s="2234"/>
      <c r="N21" s="2914" t="s">
        <v>599</v>
      </c>
      <c r="O21" s="2914">
        <v>2745.55</v>
      </c>
      <c r="P21" s="2914">
        <v>2745.55</v>
      </c>
      <c r="Q21" s="2914">
        <v>1223.05</v>
      </c>
      <c r="R21" s="2914">
        <v>1522.5</v>
      </c>
      <c r="S21" s="2914"/>
      <c r="T21" s="2914" t="s">
        <v>600</v>
      </c>
      <c r="U21" s="2944">
        <v>7</v>
      </c>
      <c r="V21" s="2944">
        <v>3</v>
      </c>
      <c r="W21" s="2944">
        <f>ROUND(U21*Q21+V21*R21,0)</f>
        <v>13129</v>
      </c>
      <c r="X21" s="2943"/>
      <c r="Y21" s="2944"/>
      <c r="Z21" s="2944"/>
      <c r="AA21" s="2944"/>
      <c r="AB21" s="2944"/>
      <c r="AC21" s="2234"/>
      <c r="AD21" s="2234"/>
      <c r="AE21" s="2234"/>
      <c r="AF21" s="2234"/>
      <c r="AG21" s="2234"/>
      <c r="AH21" s="2234"/>
      <c r="AI21" s="2234"/>
      <c r="AJ21" s="2234"/>
      <c r="AK21" s="2234"/>
      <c r="AL21" s="2234"/>
      <c r="AM21" s="2234"/>
      <c r="AN21" s="2234"/>
      <c r="AO21" s="2234"/>
      <c r="AP21" s="2234"/>
      <c r="AQ21" s="2234"/>
      <c r="AR21" s="2234"/>
    </row>
    <row r="22" ht="14.4" spans="1:44">
      <c r="A22" s="2830" t="s">
        <v>601</v>
      </c>
      <c r="B22" s="2834">
        <f>B19+B20</f>
        <v>1.5</v>
      </c>
      <c r="C22" s="2825"/>
      <c r="D22" s="2826"/>
      <c r="E22" s="2825"/>
      <c r="F22" s="2825"/>
      <c r="G22" s="2825"/>
      <c r="H22" s="2825"/>
      <c r="I22" s="2825"/>
      <c r="J22" s="2825"/>
      <c r="K22" s="2912"/>
      <c r="L22" s="2912"/>
      <c r="M22" s="2234"/>
      <c r="N22" s="2914" t="s">
        <v>602</v>
      </c>
      <c r="O22" s="2914">
        <v>1994.6</v>
      </c>
      <c r="P22" s="2914">
        <v>1994.6</v>
      </c>
      <c r="Q22" s="2914">
        <v>609.31</v>
      </c>
      <c r="R22" s="2914">
        <v>1385.29</v>
      </c>
      <c r="S22" s="2914"/>
      <c r="T22" s="2914" t="s">
        <v>603</v>
      </c>
      <c r="U22" s="2944">
        <v>7</v>
      </c>
      <c r="V22" s="2944">
        <v>3</v>
      </c>
      <c r="W22" s="2944">
        <f>ROUND(U22*Q22+V22*R22,0)</f>
        <v>8421</v>
      </c>
      <c r="X22" s="2944"/>
      <c r="Y22" s="2944"/>
      <c r="Z22" s="2943"/>
      <c r="AA22" s="2944"/>
      <c r="AB22" s="2944"/>
      <c r="AC22" s="2234"/>
      <c r="AD22" s="2234"/>
      <c r="AE22" s="2234"/>
      <c r="AF22" s="2234"/>
      <c r="AG22" s="2234"/>
      <c r="AH22" s="2234"/>
      <c r="AI22" s="2234"/>
      <c r="AJ22" s="2234"/>
      <c r="AK22" s="2234"/>
      <c r="AL22" s="2234"/>
      <c r="AM22" s="2234"/>
      <c r="AN22" s="2234"/>
      <c r="AO22" s="2234"/>
      <c r="AP22" s="2234"/>
      <c r="AQ22" s="2234"/>
      <c r="AR22" s="2234"/>
    </row>
    <row r="23" ht="14.4" spans="1:44">
      <c r="A23" s="2833" t="s">
        <v>604</v>
      </c>
      <c r="B23" s="2834">
        <f>B19+B21</f>
        <v>1.2</v>
      </c>
      <c r="C23" s="2825"/>
      <c r="D23" s="2826"/>
      <c r="E23" s="2825"/>
      <c r="F23" s="2825"/>
      <c r="G23" s="2825"/>
      <c r="H23" s="2825"/>
      <c r="I23" s="2825"/>
      <c r="J23" s="2825"/>
      <c r="K23" s="2912"/>
      <c r="L23" s="2912"/>
      <c r="M23" s="2234"/>
      <c r="N23" s="2914" t="s">
        <v>605</v>
      </c>
      <c r="O23" s="2914">
        <v>2902.31</v>
      </c>
      <c r="P23" s="2914">
        <v>2902.31</v>
      </c>
      <c r="Q23" s="2914">
        <v>1258.64</v>
      </c>
      <c r="R23" s="2914">
        <v>1643.67</v>
      </c>
      <c r="S23" s="2914"/>
      <c r="T23" s="2914" t="s">
        <v>600</v>
      </c>
      <c r="U23" s="2944">
        <v>7</v>
      </c>
      <c r="V23" s="2944">
        <v>3</v>
      </c>
      <c r="W23" s="2944">
        <f>ROUND(U23*Q23+V23*R23,0)</f>
        <v>13741</v>
      </c>
      <c r="X23" s="2944"/>
      <c r="Y23" s="2944"/>
      <c r="Z23" s="2944"/>
      <c r="AA23" s="2944"/>
      <c r="AB23" s="2944"/>
      <c r="AC23" s="2234"/>
      <c r="AD23" s="2234"/>
      <c r="AE23" s="2234"/>
      <c r="AF23" s="2234"/>
      <c r="AG23" s="2234"/>
      <c r="AH23" s="2234"/>
      <c r="AI23" s="2234"/>
      <c r="AJ23" s="2234"/>
      <c r="AK23" s="2234"/>
      <c r="AL23" s="2234"/>
      <c r="AM23" s="2234"/>
      <c r="AN23" s="2234"/>
      <c r="AO23" s="2234"/>
      <c r="AP23" s="2234"/>
      <c r="AQ23" s="2234"/>
      <c r="AR23" s="2234"/>
    </row>
    <row r="24" ht="15.15" spans="1:44">
      <c r="A24" s="2835" t="s">
        <v>606</v>
      </c>
      <c r="B24" s="2836">
        <f>B20-B21</f>
        <v>0.3</v>
      </c>
      <c r="C24" s="2825"/>
      <c r="D24" s="2826"/>
      <c r="E24" s="2825"/>
      <c r="F24" s="2825"/>
      <c r="G24" s="2825"/>
      <c r="H24" s="2825"/>
      <c r="I24" s="2825"/>
      <c r="J24" s="2825"/>
      <c r="K24" s="2912"/>
      <c r="L24" s="2912"/>
      <c r="M24" s="2234"/>
      <c r="N24" s="2914" t="s">
        <v>607</v>
      </c>
      <c r="O24" s="2914">
        <v>2963.05</v>
      </c>
      <c r="P24" s="2914">
        <v>2963.05</v>
      </c>
      <c r="Q24" s="2914">
        <v>1272.97</v>
      </c>
      <c r="R24" s="2914">
        <v>1690.08</v>
      </c>
      <c r="S24" s="2914"/>
      <c r="T24" s="2914" t="s">
        <v>600</v>
      </c>
      <c r="U24" s="2944">
        <v>7</v>
      </c>
      <c r="V24" s="2944">
        <v>3</v>
      </c>
      <c r="W24" s="2944">
        <f>ROUND(U24*Q24+V24*R24,0)</f>
        <v>13981</v>
      </c>
      <c r="X24" s="2944"/>
      <c r="Y24" s="2944"/>
      <c r="Z24" s="2944"/>
      <c r="AA24" s="2944"/>
      <c r="AB24" s="2944"/>
      <c r="AC24" s="2234"/>
      <c r="AD24" s="2234"/>
      <c r="AE24" s="2234"/>
      <c r="AF24" s="2234"/>
      <c r="AG24" s="2234"/>
      <c r="AH24" s="2234"/>
      <c r="AI24" s="2234"/>
      <c r="AJ24" s="2234"/>
      <c r="AK24" s="2234"/>
      <c r="AL24" s="2234"/>
      <c r="AM24" s="2234"/>
      <c r="AN24" s="2234"/>
      <c r="AO24" s="2234"/>
      <c r="AP24" s="2234"/>
      <c r="AQ24" s="2234"/>
      <c r="AR24" s="2234"/>
    </row>
    <row r="25" ht="15.15" spans="1:44">
      <c r="A25" s="2794"/>
      <c r="B25" s="2795"/>
      <c r="C25" s="2825"/>
      <c r="D25" s="2826"/>
      <c r="E25" s="2825"/>
      <c r="F25" s="2825"/>
      <c r="G25" s="2825"/>
      <c r="H25" s="2825"/>
      <c r="I25" s="2825"/>
      <c r="J25" s="2825"/>
      <c r="K25" s="2912"/>
      <c r="L25" s="2912"/>
      <c r="M25" s="2234"/>
      <c r="N25" s="2914" t="s">
        <v>476</v>
      </c>
      <c r="O25" s="2914">
        <v>8301.54</v>
      </c>
      <c r="P25" s="2914">
        <v>8266.82</v>
      </c>
      <c r="Q25" s="2914"/>
      <c r="R25" s="2914"/>
      <c r="S25" s="2914">
        <v>8266.82</v>
      </c>
      <c r="T25" s="2914" t="s">
        <v>603</v>
      </c>
      <c r="U25" s="2944"/>
      <c r="V25" s="2944">
        <v>0</v>
      </c>
      <c r="W25" s="2944"/>
      <c r="X25" s="2944">
        <v>0</v>
      </c>
      <c r="Y25" s="2944" t="s">
        <v>608</v>
      </c>
      <c r="Z25" s="2944"/>
      <c r="AA25" s="2944"/>
      <c r="AB25" s="2944"/>
      <c r="AC25" s="2234"/>
      <c r="AD25" s="2234"/>
      <c r="AE25" s="2234"/>
      <c r="AF25" s="2234"/>
      <c r="AG25" s="2234"/>
      <c r="AH25" s="2234"/>
      <c r="AI25" s="2234"/>
      <c r="AJ25" s="2234"/>
      <c r="AK25" s="2234"/>
      <c r="AL25" s="2234"/>
      <c r="AM25" s="2234"/>
      <c r="AN25" s="2234"/>
      <c r="AO25" s="2234"/>
      <c r="AP25" s="2234"/>
      <c r="AQ25" s="2234"/>
      <c r="AR25" s="2234"/>
    </row>
    <row r="26" ht="15.15" spans="1:44">
      <c r="A26" s="2790" t="s">
        <v>609</v>
      </c>
      <c r="B26" s="2837" t="s">
        <v>610</v>
      </c>
      <c r="C26" s="2838" t="s">
        <v>611</v>
      </c>
      <c r="D26" s="2826"/>
      <c r="E26" s="2825"/>
      <c r="F26" s="2825"/>
      <c r="G26" s="2825"/>
      <c r="H26" s="2825"/>
      <c r="I26" s="2825"/>
      <c r="J26" s="2825"/>
      <c r="K26" s="2912"/>
      <c r="L26" s="2912"/>
      <c r="M26" s="2234"/>
      <c r="N26" s="2914" t="s">
        <v>470</v>
      </c>
      <c r="O26" s="2914">
        <f t="shared" ref="O26:S26" si="12">SUM(O21:O25)</f>
        <v>18907.05</v>
      </c>
      <c r="P26" s="2914">
        <f t="shared" si="12"/>
        <v>18872.33</v>
      </c>
      <c r="Q26" s="2914">
        <f t="shared" si="12"/>
        <v>4363.97</v>
      </c>
      <c r="R26" s="2914">
        <f t="shared" si="12"/>
        <v>6241.54</v>
      </c>
      <c r="S26" s="2914">
        <f t="shared" si="12"/>
        <v>8266.82</v>
      </c>
      <c r="T26" s="2914"/>
      <c r="U26" s="2945" t="s">
        <v>612</v>
      </c>
      <c r="V26" s="2944">
        <f>ROUND(W26/O26,1)</f>
        <v>2.6</v>
      </c>
      <c r="W26" s="2944">
        <f>W21+W22+W23+W24</f>
        <v>49272</v>
      </c>
      <c r="X26" s="2943"/>
      <c r="Y26" s="2944"/>
      <c r="Z26" s="2944"/>
      <c r="AA26" s="2944"/>
      <c r="AB26" s="2944"/>
      <c r="AC26" s="2234"/>
      <c r="AD26" s="2234"/>
      <c r="AE26" s="2234"/>
      <c r="AF26" s="2234"/>
      <c r="AG26" s="2234"/>
      <c r="AH26" s="2234"/>
      <c r="AI26" s="2234"/>
      <c r="AJ26" s="2234"/>
      <c r="AK26" s="2234"/>
      <c r="AL26" s="2234"/>
      <c r="AM26" s="2234"/>
      <c r="AN26" s="2234"/>
      <c r="AO26" s="2234"/>
      <c r="AP26" s="2234"/>
      <c r="AQ26" s="2234"/>
      <c r="AR26" s="2234"/>
    </row>
    <row r="27" s="2781" customFormat="1" ht="28.8" spans="1:67">
      <c r="A27" s="2839" t="s">
        <v>613</v>
      </c>
      <c r="B27" s="2840"/>
      <c r="C27" s="2841" t="s">
        <v>614</v>
      </c>
      <c r="D27" s="2842"/>
      <c r="E27" s="402"/>
      <c r="F27" s="402"/>
      <c r="G27" s="2825"/>
      <c r="H27" s="2825"/>
      <c r="I27" s="2825"/>
      <c r="J27" s="2825"/>
      <c r="K27" s="2912"/>
      <c r="L27" s="2912"/>
      <c r="M27" s="2234"/>
      <c r="N27" s="2234"/>
      <c r="O27" s="2234"/>
      <c r="P27" s="2234"/>
      <c r="Q27" s="2234"/>
      <c r="R27" s="2234"/>
      <c r="S27" s="2234"/>
      <c r="T27" s="2234"/>
      <c r="U27" s="2234"/>
      <c r="V27" s="2234"/>
      <c r="W27" s="2234"/>
      <c r="X27" s="2946"/>
      <c r="Y27" s="2946"/>
      <c r="Z27" s="2946"/>
      <c r="AA27" s="2946"/>
      <c r="AB27" s="2946"/>
      <c r="AC27" s="2234"/>
      <c r="AD27" s="2234"/>
      <c r="AE27" s="2234"/>
      <c r="AF27" s="2234"/>
      <c r="AG27" s="2234"/>
      <c r="AH27" s="2234"/>
      <c r="AI27" s="2234"/>
      <c r="AJ27" s="2234"/>
      <c r="AK27" s="2234"/>
      <c r="AL27" s="2234"/>
      <c r="AM27" s="2234"/>
      <c r="AN27" s="2234"/>
      <c r="AO27" s="2234"/>
      <c r="AP27" s="2234"/>
      <c r="AQ27" s="2234"/>
      <c r="AR27" s="2234"/>
      <c r="AS27" s="2222"/>
      <c r="AT27" s="2222"/>
      <c r="AU27" s="2222"/>
      <c r="AV27" s="2222"/>
      <c r="AW27" s="2222"/>
      <c r="AX27" s="2222"/>
      <c r="AY27" s="2222"/>
      <c r="AZ27" s="2222"/>
      <c r="BA27" s="2222"/>
      <c r="BB27" s="2222"/>
      <c r="BC27" s="2222"/>
      <c r="BD27" s="2222"/>
      <c r="BE27" s="2222"/>
      <c r="BF27" s="2222"/>
      <c r="BG27" s="2222"/>
      <c r="BH27" s="2222"/>
      <c r="BI27" s="2222"/>
      <c r="BJ27" s="2222"/>
      <c r="BK27" s="2222"/>
      <c r="BL27" s="2222"/>
      <c r="BM27" s="2222"/>
      <c r="BN27" s="2222"/>
      <c r="BO27" s="2222"/>
    </row>
    <row r="28" s="2781" customFormat="1" ht="28.8" spans="1:67">
      <c r="A28" s="2843" t="s">
        <v>615</v>
      </c>
      <c r="B28" s="2844">
        <v>0</v>
      </c>
      <c r="C28" s="2845"/>
      <c r="D28" s="2842"/>
      <c r="E28" s="402"/>
      <c r="F28" s="402"/>
      <c r="G28" s="2825"/>
      <c r="H28" s="2825"/>
      <c r="I28" s="2825"/>
      <c r="J28" s="2825"/>
      <c r="K28" s="2912"/>
      <c r="L28" s="2912"/>
      <c r="M28" s="2234"/>
      <c r="N28" s="2234"/>
      <c r="O28" s="2234"/>
      <c r="P28" s="2234"/>
      <c r="Q28" s="2234"/>
      <c r="R28" s="2234"/>
      <c r="S28" s="2234"/>
      <c r="T28" s="2234"/>
      <c r="U28" s="2234"/>
      <c r="V28" s="2234"/>
      <c r="W28" s="2234"/>
      <c r="X28" s="2234"/>
      <c r="Y28" s="2234"/>
      <c r="Z28" s="2234"/>
      <c r="AA28" s="2234"/>
      <c r="AB28" s="2234"/>
      <c r="AC28" s="2234"/>
      <c r="AD28" s="2234"/>
      <c r="AE28" s="2234"/>
      <c r="AF28" s="2234"/>
      <c r="AG28" s="2234"/>
      <c r="AH28" s="2234"/>
      <c r="AI28" s="2234"/>
      <c r="AJ28" s="2234"/>
      <c r="AK28" s="2234"/>
      <c r="AL28" s="2234"/>
      <c r="AM28" s="2234"/>
      <c r="AN28" s="2234"/>
      <c r="AO28" s="2234"/>
      <c r="AP28" s="2234"/>
      <c r="AQ28" s="2234"/>
      <c r="AR28" s="2234"/>
      <c r="AS28" s="2222"/>
      <c r="AT28" s="2222"/>
      <c r="AU28" s="2222"/>
      <c r="AV28" s="2222"/>
      <c r="AW28" s="2222"/>
      <c r="AX28" s="2222"/>
      <c r="AY28" s="2222"/>
      <c r="AZ28" s="2222"/>
      <c r="BA28" s="2222"/>
      <c r="BB28" s="2222"/>
      <c r="BC28" s="2222"/>
      <c r="BD28" s="2222"/>
      <c r="BE28" s="2222"/>
      <c r="BF28" s="2222"/>
      <c r="BG28" s="2222"/>
      <c r="BH28" s="2222"/>
      <c r="BI28" s="2222"/>
      <c r="BJ28" s="2222"/>
      <c r="BK28" s="2222"/>
      <c r="BL28" s="2222"/>
      <c r="BM28" s="2222"/>
      <c r="BN28" s="2222"/>
      <c r="BO28" s="2222"/>
    </row>
    <row r="29" s="2781" customFormat="1" ht="29.55" spans="1:67">
      <c r="A29" s="2846" t="s">
        <v>616</v>
      </c>
      <c r="B29" s="2847">
        <v>0</v>
      </c>
      <c r="C29" s="2848" t="s">
        <v>617</v>
      </c>
      <c r="D29" s="2842"/>
      <c r="E29" s="402"/>
      <c r="F29" s="402"/>
      <c r="G29" s="2825"/>
      <c r="H29" s="2825"/>
      <c r="I29" s="2825"/>
      <c r="J29" s="2825"/>
      <c r="K29" s="2912"/>
      <c r="L29" s="2912"/>
      <c r="M29" s="2234"/>
      <c r="N29" s="2234"/>
      <c r="O29" s="2234"/>
      <c r="P29" s="2234"/>
      <c r="Q29" s="2234"/>
      <c r="R29" s="2234"/>
      <c r="S29" s="2234"/>
      <c r="T29" s="2234"/>
      <c r="U29" s="2234"/>
      <c r="V29" s="2234"/>
      <c r="W29" s="2234"/>
      <c r="X29" s="2234"/>
      <c r="Y29" s="2234"/>
      <c r="Z29" s="2234"/>
      <c r="AA29" s="2234"/>
      <c r="AB29" s="2234"/>
      <c r="AC29" s="2234"/>
      <c r="AD29" s="2234"/>
      <c r="AE29" s="2234"/>
      <c r="AF29" s="2234"/>
      <c r="AG29" s="2234"/>
      <c r="AH29" s="2234"/>
      <c r="AI29" s="2234"/>
      <c r="AJ29" s="2234"/>
      <c r="AK29" s="2234"/>
      <c r="AL29" s="2234"/>
      <c r="AM29" s="2234"/>
      <c r="AN29" s="2234"/>
      <c r="AO29" s="2234"/>
      <c r="AP29" s="2234"/>
      <c r="AQ29" s="2234"/>
      <c r="AR29" s="2234"/>
      <c r="AS29" s="2222"/>
      <c r="AT29" s="2222"/>
      <c r="AU29" s="2222"/>
      <c r="AV29" s="2222"/>
      <c r="AW29" s="2222"/>
      <c r="AX29" s="2222"/>
      <c r="AY29" s="2222"/>
      <c r="AZ29" s="2222"/>
      <c r="BA29" s="2222"/>
      <c r="BB29" s="2222"/>
      <c r="BC29" s="2222"/>
      <c r="BD29" s="2222"/>
      <c r="BE29" s="2222"/>
      <c r="BF29" s="2222"/>
      <c r="BG29" s="2222"/>
      <c r="BH29" s="2222"/>
      <c r="BI29" s="2222"/>
      <c r="BJ29" s="2222"/>
      <c r="BK29" s="2222"/>
      <c r="BL29" s="2222"/>
      <c r="BM29" s="2222"/>
      <c r="BN29" s="2222"/>
      <c r="BO29" s="2222"/>
    </row>
    <row r="30" s="2781" customFormat="1" ht="28.8" spans="1:67">
      <c r="A30" s="2849" t="s">
        <v>618</v>
      </c>
      <c r="B30" s="2850">
        <v>200</v>
      </c>
      <c r="C30" s="2845"/>
      <c r="D30" s="2842"/>
      <c r="E30" s="402"/>
      <c r="F30" s="402"/>
      <c r="G30" s="2825"/>
      <c r="H30" s="2825"/>
      <c r="I30" s="2825"/>
      <c r="J30" s="2825"/>
      <c r="K30" s="2912"/>
      <c r="L30" s="2912"/>
      <c r="M30" s="2234"/>
      <c r="N30" s="2234"/>
      <c r="O30" s="2234"/>
      <c r="P30" s="2234"/>
      <c r="Q30" s="2234"/>
      <c r="R30" s="2234"/>
      <c r="S30" s="2234"/>
      <c r="T30" s="2234"/>
      <c r="U30" s="2234"/>
      <c r="V30" s="2234"/>
      <c r="W30" s="2234"/>
      <c r="X30" s="2234"/>
      <c r="Y30" s="2234"/>
      <c r="Z30" s="2234"/>
      <c r="AA30" s="2234"/>
      <c r="AB30" s="2234"/>
      <c r="AC30" s="2234"/>
      <c r="AD30" s="2234"/>
      <c r="AE30" s="2234"/>
      <c r="AF30" s="2234"/>
      <c r="AG30" s="2234"/>
      <c r="AH30" s="2234"/>
      <c r="AI30" s="2234"/>
      <c r="AJ30" s="2234"/>
      <c r="AK30" s="2234"/>
      <c r="AL30" s="2234"/>
      <c r="AM30" s="2234"/>
      <c r="AN30" s="2234"/>
      <c r="AO30" s="2234"/>
      <c r="AP30" s="2234"/>
      <c r="AQ30" s="2234"/>
      <c r="AR30" s="2234"/>
      <c r="AS30" s="2222"/>
      <c r="AT30" s="2222"/>
      <c r="AU30" s="2222"/>
      <c r="AV30" s="2222"/>
      <c r="AW30" s="2222"/>
      <c r="AX30" s="2222"/>
      <c r="AY30" s="2222"/>
      <c r="AZ30" s="2222"/>
      <c r="BA30" s="2222"/>
      <c r="BB30" s="2222"/>
      <c r="BC30" s="2222"/>
      <c r="BD30" s="2222"/>
      <c r="BE30" s="2222"/>
      <c r="BF30" s="2222"/>
      <c r="BG30" s="2222"/>
      <c r="BH30" s="2222"/>
      <c r="BI30" s="2222"/>
      <c r="BJ30" s="2222"/>
      <c r="BK30" s="2222"/>
      <c r="BL30" s="2222"/>
      <c r="BM30" s="2222"/>
      <c r="BN30" s="2222"/>
      <c r="BO30" s="2222"/>
    </row>
    <row r="31" s="2781" customFormat="1" ht="28.8" spans="1:67">
      <c r="A31" s="2843" t="s">
        <v>619</v>
      </c>
      <c r="B31" s="2851">
        <f>B30-B32</f>
        <v>200</v>
      </c>
      <c r="C31" s="2852"/>
      <c r="D31" s="2842"/>
      <c r="E31" s="402"/>
      <c r="F31" s="402"/>
      <c r="G31" s="2825"/>
      <c r="H31" s="2825"/>
      <c r="I31" s="2825"/>
      <c r="J31" s="2825"/>
      <c r="K31" s="2912"/>
      <c r="L31" s="2912"/>
      <c r="M31" s="2234"/>
      <c r="N31" s="2234"/>
      <c r="O31" s="2234"/>
      <c r="P31" s="2234"/>
      <c r="Q31" s="2234"/>
      <c r="R31" s="2234"/>
      <c r="S31" s="2234"/>
      <c r="T31" s="2234"/>
      <c r="U31" s="2234"/>
      <c r="V31" s="2234"/>
      <c r="W31" s="2234"/>
      <c r="X31" s="2234"/>
      <c r="Y31" s="2234"/>
      <c r="Z31" s="2234"/>
      <c r="AA31" s="2234"/>
      <c r="AB31" s="2234"/>
      <c r="AC31" s="2234"/>
      <c r="AD31" s="2234"/>
      <c r="AE31" s="2234"/>
      <c r="AF31" s="2234"/>
      <c r="AG31" s="2234"/>
      <c r="AH31" s="2234"/>
      <c r="AI31" s="2234"/>
      <c r="AJ31" s="2234"/>
      <c r="AK31" s="2234"/>
      <c r="AL31" s="2234"/>
      <c r="AM31" s="2234"/>
      <c r="AN31" s="2234"/>
      <c r="AO31" s="2234"/>
      <c r="AP31" s="2234"/>
      <c r="AQ31" s="2234"/>
      <c r="AR31" s="2234"/>
      <c r="AS31" s="2222"/>
      <c r="AT31" s="2222"/>
      <c r="AU31" s="2222"/>
      <c r="AV31" s="2222"/>
      <c r="AW31" s="2222"/>
      <c r="AX31" s="2222"/>
      <c r="AY31" s="2222"/>
      <c r="AZ31" s="2222"/>
      <c r="BA31" s="2222"/>
      <c r="BB31" s="2222"/>
      <c r="BC31" s="2222"/>
      <c r="BD31" s="2222"/>
      <c r="BE31" s="2222"/>
      <c r="BF31" s="2222"/>
      <c r="BG31" s="2222"/>
      <c r="BH31" s="2222"/>
      <c r="BI31" s="2222"/>
      <c r="BJ31" s="2222"/>
      <c r="BK31" s="2222"/>
      <c r="BL31" s="2222"/>
      <c r="BM31" s="2222"/>
      <c r="BN31" s="2222"/>
      <c r="BO31" s="2222"/>
    </row>
    <row r="32" s="2781" customFormat="1" ht="29.55" spans="1:67">
      <c r="A32" s="2853" t="s">
        <v>620</v>
      </c>
      <c r="B32" s="2854">
        <v>0</v>
      </c>
      <c r="C32" s="2845"/>
      <c r="D32" s="2826"/>
      <c r="E32" s="2825"/>
      <c r="F32" s="2825"/>
      <c r="G32" s="2825"/>
      <c r="H32" s="2825"/>
      <c r="I32" s="2825"/>
      <c r="J32" s="2825"/>
      <c r="K32" s="2912"/>
      <c r="L32" s="2912"/>
      <c r="M32" s="2234"/>
      <c r="N32" s="2234"/>
      <c r="O32" s="2234"/>
      <c r="P32" s="2234"/>
      <c r="Q32" s="2234"/>
      <c r="R32" s="2234"/>
      <c r="S32" s="2234"/>
      <c r="T32" s="2234"/>
      <c r="U32" s="2234"/>
      <c r="V32" s="2234"/>
      <c r="W32" s="2234"/>
      <c r="X32" s="2234"/>
      <c r="Y32" s="2234"/>
      <c r="Z32" s="2234"/>
      <c r="AA32" s="2234"/>
      <c r="AB32" s="2234"/>
      <c r="AC32" s="2234"/>
      <c r="AD32" s="2234"/>
      <c r="AE32" s="2234"/>
      <c r="AF32" s="2234"/>
      <c r="AG32" s="2234"/>
      <c r="AH32" s="2234"/>
      <c r="AI32" s="2234"/>
      <c r="AJ32" s="2234"/>
      <c r="AK32" s="2234"/>
      <c r="AL32" s="2234"/>
      <c r="AM32" s="2234"/>
      <c r="AN32" s="2234"/>
      <c r="AO32" s="2234"/>
      <c r="AP32" s="2234"/>
      <c r="AQ32" s="2234"/>
      <c r="AR32" s="2234"/>
      <c r="AS32" s="2222"/>
      <c r="AT32" s="2222"/>
      <c r="AU32" s="2222"/>
      <c r="AV32" s="2222"/>
      <c r="AW32" s="2222"/>
      <c r="AX32" s="2222"/>
      <c r="AY32" s="2222"/>
      <c r="AZ32" s="2222"/>
      <c r="BA32" s="2222"/>
      <c r="BB32" s="2222"/>
      <c r="BC32" s="2222"/>
      <c r="BD32" s="2222"/>
      <c r="BE32" s="2222"/>
      <c r="BF32" s="2222"/>
      <c r="BG32" s="2222"/>
      <c r="BH32" s="2222"/>
      <c r="BI32" s="2222"/>
      <c r="BJ32" s="2222"/>
      <c r="BK32" s="2222"/>
      <c r="BL32" s="2222"/>
      <c r="BM32" s="2222"/>
      <c r="BN32" s="2222"/>
      <c r="BO32" s="2222"/>
    </row>
    <row r="33" s="2781" customFormat="1" ht="14.4" spans="1:67">
      <c r="A33" s="2839" t="s">
        <v>621</v>
      </c>
      <c r="B33" s="2855">
        <v>0.03</v>
      </c>
      <c r="C33" s="2856" t="s">
        <v>622</v>
      </c>
      <c r="D33" s="2826"/>
      <c r="E33" s="2825"/>
      <c r="F33" s="2825"/>
      <c r="G33" s="2825"/>
      <c r="H33" s="2825"/>
      <c r="I33" s="2825"/>
      <c r="J33" s="2825"/>
      <c r="K33" s="2912"/>
      <c r="L33" s="2912"/>
      <c r="M33" s="2234"/>
      <c r="N33" s="2234"/>
      <c r="O33" s="2234"/>
      <c r="P33" s="2234"/>
      <c r="Q33" s="2234"/>
      <c r="R33" s="2234"/>
      <c r="S33" s="2234"/>
      <c r="T33" s="2234"/>
      <c r="U33" s="2234"/>
      <c r="V33" s="2234"/>
      <c r="W33" s="2234"/>
      <c r="X33" s="2234"/>
      <c r="Y33" s="2234"/>
      <c r="Z33" s="2234"/>
      <c r="AA33" s="2234"/>
      <c r="AB33" s="2234"/>
      <c r="AC33" s="2234"/>
      <c r="AD33" s="2234"/>
      <c r="AE33" s="2234"/>
      <c r="AF33" s="2234"/>
      <c r="AG33" s="2234"/>
      <c r="AH33" s="2234"/>
      <c r="AI33" s="2234"/>
      <c r="AJ33" s="2234"/>
      <c r="AK33" s="2234"/>
      <c r="AL33" s="2234"/>
      <c r="AM33" s="2234"/>
      <c r="AN33" s="2234"/>
      <c r="AO33" s="2234"/>
      <c r="AP33" s="2234"/>
      <c r="AQ33" s="2234"/>
      <c r="AR33" s="2234"/>
      <c r="AS33" s="2222"/>
      <c r="AT33" s="2222"/>
      <c r="AU33" s="2222"/>
      <c r="AV33" s="2222"/>
      <c r="AW33" s="2222"/>
      <c r="AX33" s="2222"/>
      <c r="AY33" s="2222"/>
      <c r="AZ33" s="2222"/>
      <c r="BA33" s="2222"/>
      <c r="BB33" s="2222"/>
      <c r="BC33" s="2222"/>
      <c r="BD33" s="2222"/>
      <c r="BE33" s="2222"/>
      <c r="BF33" s="2222"/>
      <c r="BG33" s="2222"/>
      <c r="BH33" s="2222"/>
      <c r="BI33" s="2222"/>
      <c r="BJ33" s="2222"/>
      <c r="BK33" s="2222"/>
      <c r="BL33" s="2222"/>
      <c r="BM33" s="2222"/>
      <c r="BN33" s="2222"/>
      <c r="BO33" s="2222"/>
    </row>
    <row r="34" s="2781" customFormat="1" ht="14.4" spans="1:67">
      <c r="A34" s="2843" t="s">
        <v>623</v>
      </c>
      <c r="B34" s="2857">
        <v>0</v>
      </c>
      <c r="C34" s="2856" t="s">
        <v>624</v>
      </c>
      <c r="D34" s="2858" t="s">
        <v>625</v>
      </c>
      <c r="E34" s="2822"/>
      <c r="F34" s="2825"/>
      <c r="G34" s="2825"/>
      <c r="H34" s="2825"/>
      <c r="I34" s="2825"/>
      <c r="J34" s="2825"/>
      <c r="K34" s="2912"/>
      <c r="L34" s="2912"/>
      <c r="M34" s="2234"/>
      <c r="N34" s="2234"/>
      <c r="O34" s="2234"/>
      <c r="P34" s="2234"/>
      <c r="Q34" s="2234"/>
      <c r="R34" s="2234"/>
      <c r="S34" s="2234"/>
      <c r="T34" s="2234"/>
      <c r="U34" s="2234"/>
      <c r="V34" s="2234"/>
      <c r="W34" s="2234"/>
      <c r="X34" s="2234"/>
      <c r="Y34" s="2234"/>
      <c r="Z34" s="2234"/>
      <c r="AA34" s="2234"/>
      <c r="AB34" s="2234"/>
      <c r="AC34" s="2234"/>
      <c r="AD34" s="2234"/>
      <c r="AE34" s="2234"/>
      <c r="AF34" s="2234"/>
      <c r="AG34" s="2234"/>
      <c r="AH34" s="2234"/>
      <c r="AI34" s="2234"/>
      <c r="AJ34" s="2234"/>
      <c r="AK34" s="2234"/>
      <c r="AL34" s="2234"/>
      <c r="AM34" s="2234"/>
      <c r="AN34" s="2234"/>
      <c r="AO34" s="2234"/>
      <c r="AP34" s="2234"/>
      <c r="AQ34" s="2234"/>
      <c r="AR34" s="2234"/>
      <c r="AS34" s="2222"/>
      <c r="AT34" s="2222"/>
      <c r="AU34" s="2222"/>
      <c r="AV34" s="2222"/>
      <c r="AW34" s="2222"/>
      <c r="AX34" s="2222"/>
      <c r="AY34" s="2222"/>
      <c r="AZ34" s="2222"/>
      <c r="BA34" s="2222"/>
      <c r="BB34" s="2222"/>
      <c r="BC34" s="2222"/>
      <c r="BD34" s="2222"/>
      <c r="BE34" s="2222"/>
      <c r="BF34" s="2222"/>
      <c r="BG34" s="2222"/>
      <c r="BH34" s="2222"/>
      <c r="BI34" s="2222"/>
      <c r="BJ34" s="2222"/>
      <c r="BK34" s="2222"/>
      <c r="BL34" s="2222"/>
      <c r="BM34" s="2222"/>
      <c r="BN34" s="2222"/>
      <c r="BO34" s="2222"/>
    </row>
    <row r="35" s="2781" customFormat="1" ht="14.4" spans="1:67">
      <c r="A35" s="2843" t="s">
        <v>626</v>
      </c>
      <c r="B35" s="2844">
        <v>200</v>
      </c>
      <c r="C35" s="2856" t="s">
        <v>627</v>
      </c>
      <c r="D35" s="2842"/>
      <c r="E35" s="402"/>
      <c r="F35" s="402"/>
      <c r="G35" s="2825"/>
      <c r="H35" s="2825"/>
      <c r="I35" s="2825"/>
      <c r="J35" s="2825"/>
      <c r="K35" s="2912"/>
      <c r="L35" s="2912"/>
      <c r="M35" s="2234"/>
      <c r="N35" s="2234"/>
      <c r="O35" s="2234"/>
      <c r="P35" s="2234"/>
      <c r="Q35" s="2234"/>
      <c r="R35" s="2234"/>
      <c r="S35" s="2234"/>
      <c r="T35" s="2234"/>
      <c r="U35" s="2234"/>
      <c r="V35" s="2234"/>
      <c r="W35" s="2234"/>
      <c r="X35" s="2234"/>
      <c r="Y35" s="2234"/>
      <c r="Z35" s="2234"/>
      <c r="AA35" s="2234"/>
      <c r="AB35" s="2234"/>
      <c r="AC35" s="2234"/>
      <c r="AD35" s="2234"/>
      <c r="AE35" s="2234"/>
      <c r="AF35" s="2234"/>
      <c r="AG35" s="2234"/>
      <c r="AH35" s="2234"/>
      <c r="AI35" s="2234"/>
      <c r="AJ35" s="2234"/>
      <c r="AK35" s="2234"/>
      <c r="AL35" s="2234"/>
      <c r="AM35" s="2234"/>
      <c r="AN35" s="2234"/>
      <c r="AO35" s="2234"/>
      <c r="AP35" s="2234"/>
      <c r="AQ35" s="2234"/>
      <c r="AR35" s="2234"/>
      <c r="AS35" s="2222"/>
      <c r="AT35" s="2222"/>
      <c r="AU35" s="2222"/>
      <c r="AV35" s="2222"/>
      <c r="AW35" s="2222"/>
      <c r="AX35" s="2222"/>
      <c r="AY35" s="2222"/>
      <c r="AZ35" s="2222"/>
      <c r="BA35" s="2222"/>
      <c r="BB35" s="2222"/>
      <c r="BC35" s="2222"/>
      <c r="BD35" s="2222"/>
      <c r="BE35" s="2222"/>
      <c r="BF35" s="2222"/>
      <c r="BG35" s="2222"/>
      <c r="BH35" s="2222"/>
      <c r="BI35" s="2222"/>
      <c r="BJ35" s="2222"/>
      <c r="BK35" s="2222"/>
      <c r="BL35" s="2222"/>
      <c r="BM35" s="2222"/>
      <c r="BN35" s="2222"/>
      <c r="BO35" s="2222"/>
    </row>
    <row r="36" ht="15.15" spans="1:44">
      <c r="A36" s="2846" t="s">
        <v>628</v>
      </c>
      <c r="B36" s="2859">
        <v>0.015</v>
      </c>
      <c r="C36" s="2856" t="s">
        <v>629</v>
      </c>
      <c r="D36" s="2826"/>
      <c r="E36" s="2825"/>
      <c r="F36" s="2825"/>
      <c r="G36" s="2825"/>
      <c r="H36" s="2825"/>
      <c r="I36" s="2825"/>
      <c r="J36" s="2825"/>
      <c r="K36" s="2912"/>
      <c r="L36" s="2912"/>
      <c r="M36" s="2234"/>
      <c r="N36" s="2234"/>
      <c r="O36" s="2234"/>
      <c r="P36" s="2234"/>
      <c r="Q36" s="2234"/>
      <c r="R36" s="2234"/>
      <c r="S36" s="2234"/>
      <c r="T36" s="2234"/>
      <c r="U36" s="2234"/>
      <c r="V36" s="2234"/>
      <c r="W36" s="2234"/>
      <c r="X36" s="2234"/>
      <c r="Y36" s="2234"/>
      <c r="Z36" s="2234"/>
      <c r="AA36" s="2234"/>
      <c r="AB36" s="2234"/>
      <c r="AC36" s="2234"/>
      <c r="AD36" s="2234"/>
      <c r="AE36" s="2234"/>
      <c r="AF36" s="2234"/>
      <c r="AG36" s="2234"/>
      <c r="AH36" s="2234"/>
      <c r="AI36" s="2234"/>
      <c r="AJ36" s="2234"/>
      <c r="AK36" s="2234"/>
      <c r="AL36" s="2234"/>
      <c r="AM36" s="2234"/>
      <c r="AN36" s="2234"/>
      <c r="AO36" s="2234"/>
      <c r="AP36" s="2234"/>
      <c r="AQ36" s="2234"/>
      <c r="AR36" s="2234"/>
    </row>
    <row r="37" ht="14.4" spans="1:44">
      <c r="A37" s="2849" t="s">
        <v>630</v>
      </c>
      <c r="B37" s="2860">
        <v>0.02</v>
      </c>
      <c r="C37" s="2856" t="s">
        <v>631</v>
      </c>
      <c r="D37" s="2826"/>
      <c r="E37" s="2825"/>
      <c r="F37" s="2825"/>
      <c r="G37" s="2825"/>
      <c r="H37" s="2825"/>
      <c r="I37" s="2825"/>
      <c r="J37" s="2825"/>
      <c r="K37" s="2912"/>
      <c r="L37" s="2912"/>
      <c r="M37" s="2234"/>
      <c r="N37" s="2234"/>
      <c r="O37" s="2234"/>
      <c r="P37" s="2234"/>
      <c r="Q37" s="2234"/>
      <c r="R37" s="2234"/>
      <c r="S37" s="2234"/>
      <c r="T37" s="2234"/>
      <c r="U37" s="2234"/>
      <c r="V37" s="2234"/>
      <c r="W37" s="2234"/>
      <c r="X37" s="2234"/>
      <c r="Y37" s="2234"/>
      <c r="Z37" s="2234"/>
      <c r="AA37" s="2234"/>
      <c r="AB37" s="2234"/>
      <c r="AC37" s="2234"/>
      <c r="AD37" s="2234"/>
      <c r="AE37" s="2234"/>
      <c r="AF37" s="2234"/>
      <c r="AG37" s="2234"/>
      <c r="AH37" s="2234"/>
      <c r="AI37" s="2234"/>
      <c r="AJ37" s="2234"/>
      <c r="AK37" s="2234"/>
      <c r="AL37" s="2234"/>
      <c r="AM37" s="2234"/>
      <c r="AN37" s="2234"/>
      <c r="AO37" s="2234"/>
      <c r="AP37" s="2234"/>
      <c r="AQ37" s="2234"/>
      <c r="AR37" s="2234"/>
    </row>
    <row r="38" ht="14.4" spans="1:44">
      <c r="A38" s="2843" t="s">
        <v>632</v>
      </c>
      <c r="B38" s="2857">
        <v>0.02</v>
      </c>
      <c r="C38" s="2856" t="s">
        <v>631</v>
      </c>
      <c r="D38" s="2826"/>
      <c r="E38" s="2825"/>
      <c r="F38" s="2825"/>
      <c r="G38" s="2825"/>
      <c r="H38" s="2825"/>
      <c r="I38" s="2825"/>
      <c r="J38" s="2825"/>
      <c r="K38" s="2912"/>
      <c r="L38" s="2912"/>
      <c r="M38" s="2234"/>
      <c r="N38" s="2234"/>
      <c r="O38" s="2234"/>
      <c r="P38" s="2234"/>
      <c r="Q38" s="2234"/>
      <c r="R38" s="2234"/>
      <c r="S38" s="2234"/>
      <c r="T38" s="2234"/>
      <c r="U38" s="2234"/>
      <c r="V38" s="2234"/>
      <c r="W38" s="2234"/>
      <c r="X38" s="2234"/>
      <c r="Y38" s="2234"/>
      <c r="Z38" s="2234"/>
      <c r="AA38" s="2234"/>
      <c r="AB38" s="2234"/>
      <c r="AC38" s="2234"/>
      <c r="AD38" s="2234"/>
      <c r="AE38" s="2234"/>
      <c r="AF38" s="2234"/>
      <c r="AG38" s="2234"/>
      <c r="AH38" s="2234"/>
      <c r="AI38" s="2234"/>
      <c r="AJ38" s="2234"/>
      <c r="AK38" s="2234"/>
      <c r="AL38" s="2234"/>
      <c r="AM38" s="2234"/>
      <c r="AN38" s="2234"/>
      <c r="AO38" s="2234"/>
      <c r="AP38" s="2234"/>
      <c r="AQ38" s="2234"/>
      <c r="AR38" s="2234"/>
    </row>
    <row r="39" ht="14.4" spans="1:44">
      <c r="A39" s="2853" t="s">
        <v>633</v>
      </c>
      <c r="B39" s="2861">
        <f ca="1">存贷款利率!I1</f>
        <v>0.015</v>
      </c>
      <c r="C39" s="2862"/>
      <c r="D39" s="2826"/>
      <c r="E39" s="2825"/>
      <c r="F39" s="2825"/>
      <c r="G39" s="2825"/>
      <c r="H39" s="2825"/>
      <c r="I39" s="2825"/>
      <c r="J39" s="2825"/>
      <c r="K39" s="2912"/>
      <c r="L39" s="2912"/>
      <c r="M39" s="2234"/>
      <c r="N39" s="2234"/>
      <c r="O39" s="2234"/>
      <c r="P39" s="2234"/>
      <c r="Q39" s="2234"/>
      <c r="R39" s="2234"/>
      <c r="S39" s="2234"/>
      <c r="T39" s="2234"/>
      <c r="U39" s="2234"/>
      <c r="V39" s="2234"/>
      <c r="W39" s="2234"/>
      <c r="X39" s="2234"/>
      <c r="Y39" s="2234"/>
      <c r="Z39" s="2234"/>
      <c r="AA39" s="2234"/>
      <c r="AB39" s="2234"/>
      <c r="AC39" s="2234"/>
      <c r="AD39" s="2234"/>
      <c r="AE39" s="2234"/>
      <c r="AF39" s="2234"/>
      <c r="AG39" s="2234"/>
      <c r="AH39" s="2234"/>
      <c r="AI39" s="2234"/>
      <c r="AJ39" s="2234"/>
      <c r="AK39" s="2234"/>
      <c r="AL39" s="2234"/>
      <c r="AM39" s="2234"/>
      <c r="AN39" s="2234"/>
      <c r="AO39" s="2234"/>
      <c r="AP39" s="2234"/>
      <c r="AQ39" s="2234"/>
      <c r="AR39" s="2234"/>
    </row>
    <row r="40" ht="29.55" spans="1:44">
      <c r="A40" s="2863" t="s">
        <v>634</v>
      </c>
      <c r="B40" s="2864">
        <f ca="1">IF(A40="利息：取LPR",存贷款利率!G1,存贷款利率!G1+C40)</f>
        <v>0.0415</v>
      </c>
      <c r="C40" s="2865">
        <v>0.005</v>
      </c>
      <c r="D40" s="2234"/>
      <c r="E40" s="2826"/>
      <c r="F40" s="2825"/>
      <c r="G40" s="2825"/>
      <c r="H40" s="2825"/>
      <c r="I40" s="2825"/>
      <c r="J40" s="2825"/>
      <c r="K40" s="2912"/>
      <c r="L40" s="2912"/>
      <c r="M40" s="2234"/>
      <c r="N40" s="2234"/>
      <c r="O40" s="2234"/>
      <c r="P40" s="2234"/>
      <c r="Q40" s="2234"/>
      <c r="R40" s="2234"/>
      <c r="S40" s="2234"/>
      <c r="T40" s="2234"/>
      <c r="U40" s="2234"/>
      <c r="V40" s="2234"/>
      <c r="W40" s="2234"/>
      <c r="X40" s="2234"/>
      <c r="Y40" s="2234"/>
      <c r="Z40" s="2234"/>
      <c r="AA40" s="2234"/>
      <c r="AB40" s="2234"/>
      <c r="AC40" s="2234"/>
      <c r="AD40" s="2234"/>
      <c r="AE40" s="2234"/>
      <c r="AF40" s="2234"/>
      <c r="AG40" s="2234"/>
      <c r="AH40" s="2234"/>
      <c r="AI40" s="2234"/>
      <c r="AJ40" s="2234"/>
      <c r="AK40" s="2234"/>
      <c r="AL40" s="2234"/>
      <c r="AM40" s="2234"/>
      <c r="AN40" s="2234"/>
      <c r="AO40" s="2234"/>
      <c r="AP40" s="2234"/>
      <c r="AQ40" s="2234"/>
      <c r="AR40" s="2234"/>
    </row>
    <row r="41" ht="14.4" spans="1:44">
      <c r="A41" s="2839" t="s">
        <v>635</v>
      </c>
      <c r="B41" s="2866">
        <f>B42+B43</f>
        <v>0.055</v>
      </c>
      <c r="C41" s="2852"/>
      <c r="D41" s="2234"/>
      <c r="E41" s="2826"/>
      <c r="F41" s="2825"/>
      <c r="G41" s="2825"/>
      <c r="H41" s="2825"/>
      <c r="I41" s="2825"/>
      <c r="J41" s="2825"/>
      <c r="K41" s="2912"/>
      <c r="L41" s="2912"/>
      <c r="M41" s="2234"/>
      <c r="N41" s="2234"/>
      <c r="O41" s="2234"/>
      <c r="P41" s="2234"/>
      <c r="Q41" s="2234"/>
      <c r="R41" s="2234"/>
      <c r="S41" s="2234"/>
      <c r="T41" s="2234"/>
      <c r="U41" s="2234"/>
      <c r="V41" s="2234"/>
      <c r="W41" s="2234"/>
      <c r="X41" s="2234"/>
      <c r="Y41" s="2234"/>
      <c r="Z41" s="2234"/>
      <c r="AA41" s="2234"/>
      <c r="AB41" s="2234"/>
      <c r="AC41" s="2234"/>
      <c r="AD41" s="2234"/>
      <c r="AE41" s="2234"/>
      <c r="AF41" s="2234"/>
      <c r="AG41" s="2234"/>
      <c r="AH41" s="2234"/>
      <c r="AI41" s="2234"/>
      <c r="AJ41" s="2234"/>
      <c r="AK41" s="2234"/>
      <c r="AL41" s="2234"/>
      <c r="AM41" s="2234"/>
      <c r="AN41" s="2234"/>
      <c r="AO41" s="2234"/>
      <c r="AP41" s="2234"/>
      <c r="AQ41" s="2234"/>
      <c r="AR41" s="2234"/>
    </row>
    <row r="42" ht="14.4" spans="1:44">
      <c r="A42" s="2867" t="s">
        <v>636</v>
      </c>
      <c r="B42" s="2868">
        <v>0.05</v>
      </c>
      <c r="C42" s="2869">
        <f>IF(B2&lt;DATE(2016,5,1),0,B42)</f>
        <v>0.05</v>
      </c>
      <c r="D42" s="2826"/>
      <c r="E42" s="2825"/>
      <c r="F42" s="2825"/>
      <c r="G42" s="2825"/>
      <c r="H42" s="2825"/>
      <c r="I42" s="2825"/>
      <c r="J42" s="2825"/>
      <c r="K42" s="2912"/>
      <c r="L42" s="2912"/>
      <c r="M42" s="2234"/>
      <c r="N42" s="2234"/>
      <c r="O42" s="2234"/>
      <c r="P42" s="2234"/>
      <c r="Q42" s="2234"/>
      <c r="R42" s="2234"/>
      <c r="S42" s="2234"/>
      <c r="T42" s="2234"/>
      <c r="U42" s="2234"/>
      <c r="V42" s="2234"/>
      <c r="W42" s="2234"/>
      <c r="X42" s="2234"/>
      <c r="Y42" s="2234"/>
      <c r="Z42" s="2234"/>
      <c r="AA42" s="2234"/>
      <c r="AB42" s="2234"/>
      <c r="AC42" s="2234"/>
      <c r="AD42" s="2234"/>
      <c r="AE42" s="2234"/>
      <c r="AF42" s="2234"/>
      <c r="AG42" s="2234"/>
      <c r="AH42" s="2234"/>
      <c r="AI42" s="2234"/>
      <c r="AJ42" s="2234"/>
      <c r="AK42" s="2234"/>
      <c r="AL42" s="2234"/>
      <c r="AM42" s="2234"/>
      <c r="AN42" s="2234"/>
      <c r="AO42" s="2234"/>
      <c r="AP42" s="2234"/>
      <c r="AQ42" s="2234"/>
      <c r="AR42" s="2234"/>
    </row>
    <row r="43" ht="14.4" spans="1:44">
      <c r="A43" s="2867" t="s">
        <v>637</v>
      </c>
      <c r="B43" s="2870">
        <f>B42*(B44+B45+B46)+B47</f>
        <v>0.005</v>
      </c>
      <c r="C43" s="2852"/>
      <c r="D43" s="2826"/>
      <c r="E43" s="2825"/>
      <c r="F43" s="2825"/>
      <c r="G43" s="2825"/>
      <c r="H43" s="2825"/>
      <c r="I43" s="2825"/>
      <c r="J43" s="2825"/>
      <c r="K43" s="2912"/>
      <c r="L43" s="2912"/>
      <c r="M43" s="2234"/>
      <c r="N43" s="2234"/>
      <c r="O43" s="2234"/>
      <c r="P43" s="2234"/>
      <c r="Q43" s="2234"/>
      <c r="R43" s="2234"/>
      <c r="S43" s="2234"/>
      <c r="T43" s="2234"/>
      <c r="U43" s="2234"/>
      <c r="V43" s="2234"/>
      <c r="W43" s="2234"/>
      <c r="X43" s="2234"/>
      <c r="Y43" s="2234"/>
      <c r="Z43" s="2234"/>
      <c r="AA43" s="2234"/>
      <c r="AB43" s="2234"/>
      <c r="AC43" s="2234"/>
      <c r="AD43" s="2234"/>
      <c r="AE43" s="2234"/>
      <c r="AF43" s="2234"/>
      <c r="AG43" s="2234"/>
      <c r="AH43" s="2234"/>
      <c r="AI43" s="2234"/>
      <c r="AJ43" s="2234"/>
      <c r="AK43" s="2234"/>
      <c r="AL43" s="2234"/>
      <c r="AM43" s="2234"/>
      <c r="AN43" s="2234"/>
      <c r="AO43" s="2234"/>
      <c r="AP43" s="2234"/>
      <c r="AQ43" s="2234"/>
      <c r="AR43" s="2234"/>
    </row>
    <row r="44" ht="14.4" spans="1:44">
      <c r="A44" s="2871" t="s">
        <v>638</v>
      </c>
      <c r="B44" s="2872">
        <v>0.05</v>
      </c>
      <c r="C44" s="2856" t="s">
        <v>639</v>
      </c>
      <c r="D44" s="2826"/>
      <c r="E44" s="2825"/>
      <c r="F44" s="2825"/>
      <c r="G44" s="2825"/>
      <c r="H44" s="2825"/>
      <c r="I44" s="2825"/>
      <c r="J44" s="2825"/>
      <c r="K44" s="2912"/>
      <c r="L44" s="2912"/>
      <c r="M44" s="2234"/>
      <c r="N44" s="2234"/>
      <c r="O44" s="2234"/>
      <c r="P44" s="2234"/>
      <c r="Q44" s="2234"/>
      <c r="R44" s="2234"/>
      <c r="S44" s="2234"/>
      <c r="T44" s="2234"/>
      <c r="U44" s="2234"/>
      <c r="V44" s="2234"/>
      <c r="W44" s="2234"/>
      <c r="X44" s="2234"/>
      <c r="Y44" s="2234"/>
      <c r="Z44" s="2234"/>
      <c r="AA44" s="2234"/>
      <c r="AB44" s="2234"/>
      <c r="AC44" s="2234"/>
      <c r="AD44" s="2234"/>
      <c r="AE44" s="2234"/>
      <c r="AF44" s="2234"/>
      <c r="AG44" s="2234"/>
      <c r="AH44" s="2234"/>
      <c r="AI44" s="2234"/>
      <c r="AJ44" s="2234"/>
      <c r="AK44" s="2234"/>
      <c r="AL44" s="2234"/>
      <c r="AM44" s="2234"/>
      <c r="AN44" s="2234"/>
      <c r="AO44" s="2234"/>
      <c r="AP44" s="2234"/>
      <c r="AQ44" s="2234"/>
      <c r="AR44" s="2234"/>
    </row>
    <row r="45" ht="14.4" spans="1:44">
      <c r="A45" s="2871" t="s">
        <v>640</v>
      </c>
      <c r="B45" s="2868">
        <v>0.03</v>
      </c>
      <c r="C45" s="2848" t="s">
        <v>641</v>
      </c>
      <c r="D45" s="2826"/>
      <c r="E45" s="2825"/>
      <c r="F45" s="2825"/>
      <c r="G45" s="2825"/>
      <c r="H45" s="2825"/>
      <c r="I45" s="2825"/>
      <c r="J45" s="2825"/>
      <c r="K45" s="2912"/>
      <c r="L45" s="2912"/>
      <c r="M45" s="2234"/>
      <c r="N45" s="2234"/>
      <c r="O45" s="2234"/>
      <c r="P45" s="2234"/>
      <c r="Q45" s="2234"/>
      <c r="R45" s="2234"/>
      <c r="S45" s="2234"/>
      <c r="T45" s="2234"/>
      <c r="U45" s="2234"/>
      <c r="V45" s="2234"/>
      <c r="W45" s="2234"/>
      <c r="X45" s="2234"/>
      <c r="Y45" s="2234"/>
      <c r="Z45" s="2234"/>
      <c r="AA45" s="2234"/>
      <c r="AB45" s="2234"/>
      <c r="AC45" s="2234"/>
      <c r="AD45" s="2234"/>
      <c r="AE45" s="2234"/>
      <c r="AF45" s="2234"/>
      <c r="AG45" s="2234"/>
      <c r="AH45" s="2234"/>
      <c r="AI45" s="2234"/>
      <c r="AJ45" s="2234"/>
      <c r="AK45" s="2234"/>
      <c r="AL45" s="2234"/>
      <c r="AM45" s="2234"/>
      <c r="AN45" s="2234"/>
      <c r="AO45" s="2234"/>
      <c r="AP45" s="2234"/>
      <c r="AQ45" s="2234"/>
      <c r="AR45" s="2234"/>
    </row>
    <row r="46" ht="14.4" spans="1:44">
      <c r="A46" s="2871" t="s">
        <v>642</v>
      </c>
      <c r="B46" s="2868">
        <v>0.02</v>
      </c>
      <c r="C46" s="2848" t="s">
        <v>643</v>
      </c>
      <c r="D46" s="2826"/>
      <c r="E46" s="2825"/>
      <c r="F46" s="2825"/>
      <c r="G46" s="2825"/>
      <c r="H46" s="2825"/>
      <c r="I46" s="2825"/>
      <c r="J46" s="2825"/>
      <c r="K46" s="2912"/>
      <c r="L46" s="2912"/>
      <c r="M46" s="2234"/>
      <c r="N46" s="2234"/>
      <c r="O46" s="2234"/>
      <c r="P46" s="2234"/>
      <c r="Q46" s="2234"/>
      <c r="R46" s="2234"/>
      <c r="S46" s="2234"/>
      <c r="T46" s="2234"/>
      <c r="U46" s="2234"/>
      <c r="V46" s="2234"/>
      <c r="W46" s="2234"/>
      <c r="X46" s="2234"/>
      <c r="Y46" s="2234"/>
      <c r="Z46" s="2234"/>
      <c r="AA46" s="2234"/>
      <c r="AB46" s="2234"/>
      <c r="AC46" s="2234"/>
      <c r="AD46" s="2234"/>
      <c r="AE46" s="2234"/>
      <c r="AF46" s="2234"/>
      <c r="AG46" s="2234"/>
      <c r="AH46" s="2234"/>
      <c r="AI46" s="2234"/>
      <c r="AJ46" s="2234"/>
      <c r="AK46" s="2234"/>
      <c r="AL46" s="2234"/>
      <c r="AM46" s="2234"/>
      <c r="AN46" s="2234"/>
      <c r="AO46" s="2234"/>
      <c r="AP46" s="2234"/>
      <c r="AQ46" s="2234"/>
      <c r="AR46" s="2234"/>
    </row>
    <row r="47" ht="15.15" spans="1:44">
      <c r="A47" s="2873" t="s">
        <v>644</v>
      </c>
      <c r="B47" s="2874"/>
      <c r="C47" s="2875" t="s">
        <v>645</v>
      </c>
      <c r="D47" s="2826"/>
      <c r="E47" s="2825"/>
      <c r="F47" s="2825"/>
      <c r="G47" s="2825"/>
      <c r="H47" s="2825"/>
      <c r="I47" s="2825"/>
      <c r="J47" s="2825"/>
      <c r="K47" s="2912"/>
      <c r="L47" s="2912"/>
      <c r="M47" s="2234"/>
      <c r="N47" s="2234"/>
      <c r="O47" s="2234"/>
      <c r="P47" s="2234"/>
      <c r="Q47" s="2234"/>
      <c r="R47" s="2234"/>
      <c r="S47" s="2234"/>
      <c r="T47" s="2234"/>
      <c r="U47" s="2234"/>
      <c r="V47" s="2234"/>
      <c r="W47" s="2234"/>
      <c r="X47" s="2234"/>
      <c r="Y47" s="2234"/>
      <c r="Z47" s="2234"/>
      <c r="AA47" s="2234"/>
      <c r="AB47" s="2234"/>
      <c r="AC47" s="2234"/>
      <c r="AD47" s="2234"/>
      <c r="AE47" s="2234"/>
      <c r="AF47" s="2234"/>
      <c r="AG47" s="2234"/>
      <c r="AH47" s="2234"/>
      <c r="AI47" s="2234"/>
      <c r="AJ47" s="2234"/>
      <c r="AK47" s="2234"/>
      <c r="AL47" s="2234"/>
      <c r="AM47" s="2234"/>
      <c r="AN47" s="2234"/>
      <c r="AO47" s="2234"/>
      <c r="AP47" s="2234"/>
      <c r="AQ47" s="2234"/>
      <c r="AR47" s="2234"/>
    </row>
    <row r="48" ht="14.4" spans="1:44">
      <c r="A48" s="2876" t="s">
        <v>646</v>
      </c>
      <c r="B48" s="2877">
        <v>0.03</v>
      </c>
      <c r="C48" s="2848" t="s">
        <v>641</v>
      </c>
      <c r="D48" s="2826"/>
      <c r="E48" s="2825"/>
      <c r="F48" s="2825"/>
      <c r="G48" s="2825"/>
      <c r="H48" s="2825"/>
      <c r="I48" s="2825"/>
      <c r="J48" s="2825"/>
      <c r="K48" s="2912"/>
      <c r="L48" s="2912"/>
      <c r="M48" s="2234"/>
      <c r="N48" s="2234"/>
      <c r="O48" s="2234"/>
      <c r="P48" s="2234"/>
      <c r="Q48" s="2234"/>
      <c r="R48" s="2234"/>
      <c r="S48" s="2234"/>
      <c r="T48" s="2234"/>
      <c r="U48" s="2234"/>
      <c r="V48" s="2234"/>
      <c r="W48" s="2234"/>
      <c r="X48" s="2234"/>
      <c r="Y48" s="2234"/>
      <c r="Z48" s="2234"/>
      <c r="AA48" s="2234"/>
      <c r="AB48" s="2234"/>
      <c r="AC48" s="2234"/>
      <c r="AD48" s="2234"/>
      <c r="AE48" s="2234"/>
      <c r="AF48" s="2234"/>
      <c r="AG48" s="2234"/>
      <c r="AH48" s="2234"/>
      <c r="AI48" s="2234"/>
      <c r="AJ48" s="2234"/>
      <c r="AK48" s="2234"/>
      <c r="AL48" s="2234"/>
      <c r="AM48" s="2234"/>
      <c r="AN48" s="2234"/>
      <c r="AO48" s="2234"/>
      <c r="AP48" s="2234"/>
      <c r="AQ48" s="2234"/>
      <c r="AR48" s="2234"/>
    </row>
    <row r="49" ht="15.15" spans="1:44">
      <c r="A49" s="2853" t="s">
        <v>647</v>
      </c>
      <c r="B49" s="2868">
        <v>0.0005</v>
      </c>
      <c r="C49" s="2848" t="s">
        <v>648</v>
      </c>
      <c r="D49" s="2826"/>
      <c r="E49" s="2825"/>
      <c r="F49" s="2825"/>
      <c r="G49" s="2825"/>
      <c r="H49" s="2825"/>
      <c r="I49" s="2825"/>
      <c r="J49" s="2825"/>
      <c r="K49" s="2912"/>
      <c r="L49" s="2912"/>
      <c r="M49" s="2234"/>
      <c r="N49" s="2234"/>
      <c r="O49" s="2234"/>
      <c r="P49" s="2234"/>
      <c r="Q49" s="2234"/>
      <c r="R49" s="2234"/>
      <c r="S49" s="2234"/>
      <c r="T49" s="2234"/>
      <c r="U49" s="2234"/>
      <c r="V49" s="2234"/>
      <c r="W49" s="2234"/>
      <c r="X49" s="2234"/>
      <c r="Y49" s="2234"/>
      <c r="Z49" s="2234"/>
      <c r="AA49" s="2234"/>
      <c r="AB49" s="2234"/>
      <c r="AC49" s="2234"/>
      <c r="AD49" s="2234"/>
      <c r="AE49" s="2234"/>
      <c r="AF49" s="2234"/>
      <c r="AG49" s="2234"/>
      <c r="AH49" s="2234"/>
      <c r="AI49" s="2234"/>
      <c r="AJ49" s="2234"/>
      <c r="AK49" s="2234"/>
      <c r="AL49" s="2234"/>
      <c r="AM49" s="2234"/>
      <c r="AN49" s="2234"/>
      <c r="AO49" s="2234"/>
      <c r="AP49" s="2234"/>
      <c r="AQ49" s="2234"/>
      <c r="AR49" s="2234"/>
    </row>
    <row r="50" ht="14.4" spans="1:44">
      <c r="A50" s="2878" t="s">
        <v>649</v>
      </c>
      <c r="B50" s="2879">
        <v>0.012</v>
      </c>
      <c r="C50" s="402"/>
      <c r="D50" s="2826"/>
      <c r="E50" s="2825"/>
      <c r="F50" s="2825"/>
      <c r="G50" s="2825"/>
      <c r="H50" s="2825"/>
      <c r="I50" s="2825"/>
      <c r="J50" s="2825"/>
      <c r="K50" s="2912"/>
      <c r="L50" s="2912"/>
      <c r="M50" s="2234"/>
      <c r="N50" s="2234"/>
      <c r="O50" s="2234"/>
      <c r="P50" s="2234"/>
      <c r="Q50" s="2234"/>
      <c r="R50" s="2234"/>
      <c r="S50" s="2234"/>
      <c r="T50" s="2234"/>
      <c r="U50" s="2234"/>
      <c r="V50" s="2234"/>
      <c r="W50" s="2234"/>
      <c r="X50" s="2234"/>
      <c r="Y50" s="2234"/>
      <c r="Z50" s="2234"/>
      <c r="AA50" s="2234"/>
      <c r="AB50" s="2234"/>
      <c r="AC50" s="2234"/>
      <c r="AD50" s="2234"/>
      <c r="AE50" s="2234"/>
      <c r="AF50" s="2234"/>
      <c r="AG50" s="2234"/>
      <c r="AH50" s="2234"/>
      <c r="AI50" s="2234"/>
      <c r="AJ50" s="2234"/>
      <c r="AK50" s="2234"/>
      <c r="AL50" s="2234"/>
      <c r="AM50" s="2234"/>
      <c r="AN50" s="2234"/>
      <c r="AO50" s="2234"/>
      <c r="AP50" s="2234"/>
      <c r="AQ50" s="2234"/>
      <c r="AR50" s="2234"/>
    </row>
    <row r="51" ht="15.15" spans="1:44">
      <c r="A51" s="2846" t="s">
        <v>650</v>
      </c>
      <c r="B51" s="2880">
        <v>0.12</v>
      </c>
      <c r="C51" s="402"/>
      <c r="D51" s="2826"/>
      <c r="E51" s="2825"/>
      <c r="F51" s="2825"/>
      <c r="G51" s="2825"/>
      <c r="H51" s="2825"/>
      <c r="I51" s="2825"/>
      <c r="J51" s="2825"/>
      <c r="K51" s="2912"/>
      <c r="L51" s="2912"/>
      <c r="M51" s="2234"/>
      <c r="N51" s="2234"/>
      <c r="O51" s="2234"/>
      <c r="P51" s="2234"/>
      <c r="Q51" s="2234"/>
      <c r="R51" s="2234"/>
      <c r="S51" s="2234"/>
      <c r="T51" s="2234"/>
      <c r="U51" s="2234"/>
      <c r="V51" s="2234"/>
      <c r="W51" s="2234"/>
      <c r="X51" s="2234"/>
      <c r="Y51" s="2234"/>
      <c r="Z51" s="2234"/>
      <c r="AA51" s="2234"/>
      <c r="AB51" s="2234"/>
      <c r="AC51" s="2234"/>
      <c r="AD51" s="2234"/>
      <c r="AE51" s="2234"/>
      <c r="AF51" s="2234"/>
      <c r="AG51" s="2234"/>
      <c r="AH51" s="2234"/>
      <c r="AI51" s="2234"/>
      <c r="AJ51" s="2234"/>
      <c r="AK51" s="2234"/>
      <c r="AL51" s="2234"/>
      <c r="AM51" s="2234"/>
      <c r="AN51" s="2234"/>
      <c r="AO51" s="2234"/>
      <c r="AP51" s="2234"/>
      <c r="AQ51" s="2234"/>
      <c r="AR51" s="2234"/>
    </row>
    <row r="52" ht="14.4" spans="1:44">
      <c r="A52" s="2878" t="s">
        <v>651</v>
      </c>
      <c r="B52" s="2881">
        <f>SUMIF(A54:A63,B53,B54:B63)</f>
        <v>1.5</v>
      </c>
      <c r="C52" s="402"/>
      <c r="D52" s="2826"/>
      <c r="E52" s="2825"/>
      <c r="F52" s="2825"/>
      <c r="G52" s="2825"/>
      <c r="H52" s="2825"/>
      <c r="I52" s="2825"/>
      <c r="J52" s="2825"/>
      <c r="K52" s="2912"/>
      <c r="L52" s="2912"/>
      <c r="M52" s="2234"/>
      <c r="N52" s="2234"/>
      <c r="O52" s="2234"/>
      <c r="P52" s="2234"/>
      <c r="Q52" s="2234"/>
      <c r="R52" s="2234"/>
      <c r="S52" s="2234"/>
      <c r="T52" s="2234"/>
      <c r="U52" s="2234"/>
      <c r="V52" s="2234"/>
      <c r="W52" s="2234"/>
      <c r="X52" s="2234"/>
      <c r="Y52" s="2234"/>
      <c r="Z52" s="2234"/>
      <c r="AA52" s="2234"/>
      <c r="AB52" s="2234"/>
      <c r="AC52" s="2234"/>
      <c r="AD52" s="2234"/>
      <c r="AE52" s="2234"/>
      <c r="AF52" s="2234"/>
      <c r="AG52" s="2234"/>
      <c r="AH52" s="2234"/>
      <c r="AI52" s="2234"/>
      <c r="AJ52" s="2234"/>
      <c r="AK52" s="2234"/>
      <c r="AL52" s="2234"/>
      <c r="AM52" s="2234"/>
      <c r="AN52" s="2234"/>
      <c r="AO52" s="2234"/>
      <c r="AP52" s="2234"/>
      <c r="AQ52" s="2234"/>
      <c r="AR52" s="2234"/>
    </row>
    <row r="53" ht="28.8" spans="1:44">
      <c r="A53" s="2843" t="s">
        <v>652</v>
      </c>
      <c r="B53" s="2882" t="s">
        <v>273</v>
      </c>
      <c r="C53" s="402" t="s">
        <v>653</v>
      </c>
      <c r="D53" s="2883" t="s">
        <v>654</v>
      </c>
      <c r="E53" s="2825"/>
      <c r="F53" s="2825"/>
      <c r="G53" s="2825"/>
      <c r="H53" s="2825"/>
      <c r="I53" s="2825"/>
      <c r="J53" s="2825"/>
      <c r="K53" s="2912"/>
      <c r="L53" s="2912"/>
      <c r="M53" s="2234"/>
      <c r="N53" s="2234"/>
      <c r="O53" s="2234"/>
      <c r="P53" s="2234"/>
      <c r="Q53" s="2234"/>
      <c r="R53" s="2234"/>
      <c r="S53" s="2234"/>
      <c r="T53" s="2234"/>
      <c r="U53" s="2234"/>
      <c r="V53" s="2234"/>
      <c r="W53" s="2234"/>
      <c r="X53" s="2234"/>
      <c r="Y53" s="2234"/>
      <c r="Z53" s="2234"/>
      <c r="AA53" s="2234"/>
      <c r="AB53" s="2234"/>
      <c r="AC53" s="2234"/>
      <c r="AD53" s="2234"/>
      <c r="AE53" s="2234"/>
      <c r="AF53" s="2234"/>
      <c r="AG53" s="2234"/>
      <c r="AH53" s="2234"/>
      <c r="AI53" s="2234"/>
      <c r="AJ53" s="2234"/>
      <c r="AK53" s="2234"/>
      <c r="AL53" s="2234"/>
      <c r="AM53" s="2234"/>
      <c r="AN53" s="2234"/>
      <c r="AO53" s="2234"/>
      <c r="AP53" s="2234"/>
      <c r="AQ53" s="2234"/>
      <c r="AR53" s="2234"/>
    </row>
    <row r="54" ht="14.4" spans="1:44">
      <c r="A54" s="2884" t="s">
        <v>655</v>
      </c>
      <c r="B54" s="2885"/>
      <c r="C54" s="402">
        <v>30</v>
      </c>
      <c r="D54" s="2826"/>
      <c r="E54" s="2825"/>
      <c r="F54" s="2825"/>
      <c r="G54" s="2825"/>
      <c r="H54" s="2825"/>
      <c r="I54" s="2825"/>
      <c r="J54" s="2825"/>
      <c r="K54" s="2912"/>
      <c r="L54" s="2912"/>
      <c r="M54" s="2234"/>
      <c r="N54" s="2234"/>
      <c r="O54" s="2234"/>
      <c r="P54" s="2234"/>
      <c r="Q54" s="2234"/>
      <c r="R54" s="2234"/>
      <c r="S54" s="2234"/>
      <c r="T54" s="2234"/>
      <c r="U54" s="2234"/>
      <c r="V54" s="2234"/>
      <c r="W54" s="2234"/>
      <c r="X54" s="2234"/>
      <c r="Y54" s="2234"/>
      <c r="Z54" s="2234"/>
      <c r="AA54" s="2234"/>
      <c r="AB54" s="2234"/>
      <c r="AC54" s="2234"/>
      <c r="AD54" s="2234"/>
      <c r="AE54" s="2234"/>
      <c r="AF54" s="2234"/>
      <c r="AG54" s="2234"/>
      <c r="AH54" s="2234"/>
      <c r="AI54" s="2234"/>
      <c r="AJ54" s="2234"/>
      <c r="AK54" s="2234"/>
      <c r="AL54" s="2234"/>
      <c r="AM54" s="2234"/>
      <c r="AN54" s="2234"/>
      <c r="AO54" s="2234"/>
      <c r="AP54" s="2234"/>
      <c r="AQ54" s="2234"/>
      <c r="AR54" s="2234"/>
    </row>
    <row r="55" ht="14.4" spans="1:44">
      <c r="A55" s="2884" t="s">
        <v>656</v>
      </c>
      <c r="B55" s="2885"/>
      <c r="C55" s="402">
        <v>24</v>
      </c>
      <c r="D55" s="2826"/>
      <c r="E55" s="2825"/>
      <c r="F55" s="2825"/>
      <c r="G55" s="2825"/>
      <c r="H55" s="2825"/>
      <c r="I55" s="2915"/>
      <c r="J55" s="2825"/>
      <c r="K55" s="2912"/>
      <c r="L55" s="2912"/>
      <c r="M55" s="2234"/>
      <c r="N55" s="2234"/>
      <c r="O55" s="2234"/>
      <c r="P55" s="2234"/>
      <c r="Q55" s="2234"/>
      <c r="R55" s="2234"/>
      <c r="S55" s="2234"/>
      <c r="T55" s="2234"/>
      <c r="U55" s="2234"/>
      <c r="V55" s="2234"/>
      <c r="W55" s="2234"/>
      <c r="X55" s="2234"/>
      <c r="Y55" s="2234"/>
      <c r="Z55" s="2234"/>
      <c r="AA55" s="2234"/>
      <c r="AB55" s="2234"/>
      <c r="AC55" s="2234"/>
      <c r="AD55" s="2234"/>
      <c r="AE55" s="2234"/>
      <c r="AF55" s="2234"/>
      <c r="AG55" s="2234"/>
      <c r="AH55" s="2234"/>
      <c r="AI55" s="2234"/>
      <c r="AJ55" s="2234"/>
      <c r="AK55" s="2234"/>
      <c r="AL55" s="2234"/>
      <c r="AM55" s="2234"/>
      <c r="AN55" s="2234"/>
      <c r="AO55" s="2234"/>
      <c r="AP55" s="2234"/>
      <c r="AQ55" s="2234"/>
      <c r="AR55" s="2234"/>
    </row>
    <row r="56" ht="14.4" spans="1:44">
      <c r="A56" s="2884" t="s">
        <v>657</v>
      </c>
      <c r="B56" s="2885"/>
      <c r="C56" s="402">
        <v>18</v>
      </c>
      <c r="D56" s="2826"/>
      <c r="E56" s="2825"/>
      <c r="F56" s="2825"/>
      <c r="G56" s="2825"/>
      <c r="H56" s="2825"/>
      <c r="I56" s="2825"/>
      <c r="J56" s="2825"/>
      <c r="K56" s="2912"/>
      <c r="L56" s="2912"/>
      <c r="M56" s="2234"/>
      <c r="N56" s="2234"/>
      <c r="O56" s="2234"/>
      <c r="P56" s="2234"/>
      <c r="Q56" s="2234"/>
      <c r="R56" s="2234"/>
      <c r="S56" s="2234"/>
      <c r="T56" s="2234"/>
      <c r="U56" s="2234"/>
      <c r="V56" s="2234"/>
      <c r="W56" s="2234"/>
      <c r="X56" s="2234"/>
      <c r="Y56" s="2234"/>
      <c r="Z56" s="2234"/>
      <c r="AA56" s="2234"/>
      <c r="AB56" s="2234"/>
      <c r="AC56" s="2234"/>
      <c r="AD56" s="2234"/>
      <c r="AE56" s="2234"/>
      <c r="AF56" s="2234"/>
      <c r="AG56" s="2234"/>
      <c r="AH56" s="2234"/>
      <c r="AI56" s="2234"/>
      <c r="AJ56" s="2234"/>
      <c r="AK56" s="2234"/>
      <c r="AL56" s="2234"/>
      <c r="AM56" s="2234"/>
      <c r="AN56" s="2234"/>
      <c r="AO56" s="2234"/>
      <c r="AP56" s="2234"/>
      <c r="AQ56" s="2234"/>
      <c r="AR56" s="2234"/>
    </row>
    <row r="57" ht="14.4" spans="1:44">
      <c r="A57" s="2884" t="s">
        <v>658</v>
      </c>
      <c r="B57" s="2885"/>
      <c r="C57" s="402">
        <v>12</v>
      </c>
      <c r="D57" s="2826"/>
      <c r="E57" s="2825"/>
      <c r="F57" s="2825"/>
      <c r="G57" s="2825"/>
      <c r="H57" s="2825"/>
      <c r="I57" s="2825"/>
      <c r="J57" s="2825"/>
      <c r="K57" s="2912"/>
      <c r="L57" s="2912"/>
      <c r="M57" s="2234"/>
      <c r="N57" s="2234"/>
      <c r="O57" s="2234"/>
      <c r="P57" s="2234"/>
      <c r="Q57" s="2234"/>
      <c r="R57" s="2234"/>
      <c r="S57" s="2234"/>
      <c r="T57" s="2234"/>
      <c r="U57" s="2234"/>
      <c r="V57" s="2234"/>
      <c r="W57" s="2234"/>
      <c r="X57" s="2234"/>
      <c r="Y57" s="2234"/>
      <c r="Z57" s="2234"/>
      <c r="AA57" s="2234"/>
      <c r="AB57" s="2234"/>
      <c r="AC57" s="2234"/>
      <c r="AD57" s="2234"/>
      <c r="AE57" s="2234"/>
      <c r="AF57" s="2234"/>
      <c r="AG57" s="2234"/>
      <c r="AH57" s="2234"/>
      <c r="AI57" s="2234"/>
      <c r="AJ57" s="2234"/>
      <c r="AK57" s="2234"/>
      <c r="AL57" s="2234"/>
      <c r="AM57" s="2234"/>
      <c r="AN57" s="2234"/>
      <c r="AO57" s="2234"/>
      <c r="AP57" s="2234"/>
      <c r="AQ57" s="2234"/>
      <c r="AR57" s="2234"/>
    </row>
    <row r="58" ht="14.4" spans="1:44">
      <c r="A58" s="2884" t="s">
        <v>659</v>
      </c>
      <c r="B58" s="2885"/>
      <c r="C58" s="402">
        <v>3</v>
      </c>
      <c r="D58" s="2826"/>
      <c r="E58" s="2825"/>
      <c r="F58" s="2825"/>
      <c r="G58" s="2825"/>
      <c r="H58" s="2825"/>
      <c r="I58" s="2825"/>
      <c r="J58" s="2825"/>
      <c r="K58" s="2912"/>
      <c r="L58" s="2912"/>
      <c r="M58" s="2234"/>
      <c r="N58" s="2234"/>
      <c r="O58" s="2234"/>
      <c r="P58" s="2234"/>
      <c r="Q58" s="2234"/>
      <c r="R58" s="2234"/>
      <c r="S58" s="2234"/>
      <c r="T58" s="2234"/>
      <c r="U58" s="2234"/>
      <c r="V58" s="2234"/>
      <c r="W58" s="2234"/>
      <c r="X58" s="2234"/>
      <c r="Y58" s="2234"/>
      <c r="Z58" s="2234"/>
      <c r="AA58" s="2234"/>
      <c r="AB58" s="2234"/>
      <c r="AC58" s="2234"/>
      <c r="AD58" s="2234"/>
      <c r="AE58" s="2234"/>
      <c r="AF58" s="2234"/>
      <c r="AG58" s="2234"/>
      <c r="AH58" s="2234"/>
      <c r="AI58" s="2234"/>
      <c r="AJ58" s="2234"/>
      <c r="AK58" s="2234"/>
      <c r="AL58" s="2234"/>
      <c r="AM58" s="2234"/>
      <c r="AN58" s="2234"/>
      <c r="AO58" s="2234"/>
      <c r="AP58" s="2234"/>
      <c r="AQ58" s="2234"/>
      <c r="AR58" s="2234"/>
    </row>
    <row r="59" ht="14.4" spans="1:44">
      <c r="A59" s="2884" t="s">
        <v>660</v>
      </c>
      <c r="B59" s="2885">
        <v>1.5</v>
      </c>
      <c r="C59" s="402">
        <v>1.5</v>
      </c>
      <c r="D59" s="2826"/>
      <c r="E59" s="2825"/>
      <c r="F59" s="2825"/>
      <c r="G59" s="2825"/>
      <c r="H59" s="2825"/>
      <c r="I59" s="2825"/>
      <c r="J59" s="2825"/>
      <c r="K59" s="2912"/>
      <c r="L59" s="2912"/>
      <c r="M59" s="2234"/>
      <c r="N59" s="2234"/>
      <c r="O59" s="2234"/>
      <c r="P59" s="2234"/>
      <c r="Q59" s="2234"/>
      <c r="R59" s="2234"/>
      <c r="S59" s="2234"/>
      <c r="T59" s="2234"/>
      <c r="U59" s="2234"/>
      <c r="V59" s="2234"/>
      <c r="W59" s="2234"/>
      <c r="X59" s="2234"/>
      <c r="Y59" s="2234"/>
      <c r="Z59" s="2234"/>
      <c r="AA59" s="2234"/>
      <c r="AB59" s="2234"/>
      <c r="AC59" s="2234"/>
      <c r="AD59" s="2234"/>
      <c r="AE59" s="2234"/>
      <c r="AF59" s="2234"/>
      <c r="AG59" s="2234"/>
      <c r="AH59" s="2234"/>
      <c r="AI59" s="2234"/>
      <c r="AJ59" s="2234"/>
      <c r="AK59" s="2234"/>
      <c r="AL59" s="2234"/>
      <c r="AM59" s="2234"/>
      <c r="AN59" s="2234"/>
      <c r="AO59" s="2234"/>
      <c r="AP59" s="2234"/>
      <c r="AQ59" s="2234"/>
      <c r="AR59" s="2234"/>
    </row>
    <row r="60" ht="14.4" spans="1:44">
      <c r="A60" s="2884" t="s">
        <v>661</v>
      </c>
      <c r="B60" s="2885"/>
      <c r="C60" s="2825"/>
      <c r="D60" s="2826"/>
      <c r="E60" s="2825"/>
      <c r="F60" s="2825"/>
      <c r="G60" s="2825"/>
      <c r="H60" s="2825"/>
      <c r="I60" s="2825"/>
      <c r="J60" s="2825"/>
      <c r="K60" s="2912"/>
      <c r="L60" s="2912"/>
      <c r="M60" s="2234"/>
      <c r="N60" s="2234"/>
      <c r="O60" s="2234"/>
      <c r="P60" s="2234"/>
      <c r="Q60" s="2234"/>
      <c r="R60" s="2234"/>
      <c r="S60" s="2234"/>
      <c r="T60" s="2234"/>
      <c r="U60" s="2234"/>
      <c r="V60" s="2234"/>
      <c r="W60" s="2234"/>
      <c r="X60" s="2234"/>
      <c r="Y60" s="2234"/>
      <c r="Z60" s="2234"/>
      <c r="AA60" s="2234"/>
      <c r="AB60" s="2234"/>
      <c r="AC60" s="2234"/>
      <c r="AD60" s="2234"/>
      <c r="AE60" s="2234"/>
      <c r="AF60" s="2234"/>
      <c r="AG60" s="2234"/>
      <c r="AH60" s="2234"/>
      <c r="AI60" s="2234"/>
      <c r="AJ60" s="2234"/>
      <c r="AK60" s="2234"/>
      <c r="AL60" s="2234"/>
      <c r="AM60" s="2234"/>
      <c r="AN60" s="2234"/>
      <c r="AO60" s="2234"/>
      <c r="AP60" s="2234"/>
      <c r="AQ60" s="2234"/>
      <c r="AR60" s="2234"/>
    </row>
    <row r="61" ht="14.4" spans="1:44">
      <c r="A61" s="2884" t="s">
        <v>662</v>
      </c>
      <c r="B61" s="2885"/>
      <c r="C61" s="2825"/>
      <c r="D61" s="2826"/>
      <c r="E61" s="2825"/>
      <c r="F61" s="2825"/>
      <c r="G61" s="2825"/>
      <c r="H61" s="2825"/>
      <c r="I61" s="2825"/>
      <c r="J61" s="2825"/>
      <c r="K61" s="2912"/>
      <c r="L61" s="2912"/>
      <c r="M61" s="2234"/>
      <c r="N61" s="2234"/>
      <c r="O61" s="2234"/>
      <c r="P61" s="2234"/>
      <c r="Q61" s="2234"/>
      <c r="R61" s="2234"/>
      <c r="S61" s="2234"/>
      <c r="T61" s="2234"/>
      <c r="U61" s="2234"/>
      <c r="V61" s="2234"/>
      <c r="W61" s="2234"/>
      <c r="X61" s="2234"/>
      <c r="Y61" s="2234"/>
      <c r="Z61" s="2234"/>
      <c r="AA61" s="2234"/>
      <c r="AB61" s="2234"/>
      <c r="AC61" s="2234"/>
      <c r="AD61" s="2234"/>
      <c r="AE61" s="2234"/>
      <c r="AF61" s="2234"/>
      <c r="AG61" s="2234"/>
      <c r="AH61" s="2234"/>
      <c r="AI61" s="2234"/>
      <c r="AJ61" s="2234"/>
      <c r="AK61" s="2234"/>
      <c r="AL61" s="2234"/>
      <c r="AM61" s="2234"/>
      <c r="AN61" s="2234"/>
      <c r="AO61" s="2234"/>
      <c r="AP61" s="2234"/>
      <c r="AQ61" s="2234"/>
      <c r="AR61" s="2234"/>
    </row>
    <row r="62" ht="14.4" spans="1:44">
      <c r="A62" s="2884" t="s">
        <v>663</v>
      </c>
      <c r="B62" s="2885"/>
      <c r="C62" s="2825"/>
      <c r="D62" s="2826"/>
      <c r="E62" s="2825"/>
      <c r="F62" s="2825"/>
      <c r="G62" s="2825"/>
      <c r="H62" s="2825"/>
      <c r="I62" s="2825"/>
      <c r="J62" s="2825"/>
      <c r="K62" s="2912"/>
      <c r="L62" s="2912"/>
      <c r="M62" s="2234"/>
      <c r="N62" s="2234"/>
      <c r="O62" s="2234"/>
      <c r="P62" s="2234"/>
      <c r="Q62" s="2234"/>
      <c r="R62" s="2234"/>
      <c r="S62" s="2234"/>
      <c r="T62" s="2234"/>
      <c r="U62" s="2234"/>
      <c r="V62" s="2234"/>
      <c r="W62" s="2234"/>
      <c r="X62" s="2234"/>
      <c r="Y62" s="2234"/>
      <c r="Z62" s="2234"/>
      <c r="AA62" s="2234"/>
      <c r="AB62" s="2234"/>
      <c r="AC62" s="2234"/>
      <c r="AD62" s="2234"/>
      <c r="AE62" s="2234"/>
      <c r="AF62" s="2234"/>
      <c r="AG62" s="2234"/>
      <c r="AH62" s="2234"/>
      <c r="AI62" s="2234"/>
      <c r="AJ62" s="2234"/>
      <c r="AK62" s="2234"/>
      <c r="AL62" s="2234"/>
      <c r="AM62" s="2234"/>
      <c r="AN62" s="2234"/>
      <c r="AO62" s="2234"/>
      <c r="AP62" s="2234"/>
      <c r="AQ62" s="2234"/>
      <c r="AR62" s="2234"/>
    </row>
    <row r="63" ht="15.15" spans="1:44">
      <c r="A63" s="2886" t="s">
        <v>664</v>
      </c>
      <c r="B63" s="2887"/>
      <c r="C63" s="2825"/>
      <c r="D63" s="2826"/>
      <c r="E63" s="2825"/>
      <c r="F63" s="2825"/>
      <c r="G63" s="2825"/>
      <c r="H63" s="2825"/>
      <c r="I63" s="2825"/>
      <c r="J63" s="2825"/>
      <c r="K63" s="2912"/>
      <c r="L63" s="2912"/>
      <c r="M63" s="2234"/>
      <c r="N63" s="2234"/>
      <c r="O63" s="2234"/>
      <c r="P63" s="2234"/>
      <c r="Q63" s="2234"/>
      <c r="R63" s="2234"/>
      <c r="S63" s="2234"/>
      <c r="T63" s="2234"/>
      <c r="U63" s="2234"/>
      <c r="V63" s="2234"/>
      <c r="W63" s="2234"/>
      <c r="X63" s="2234"/>
      <c r="Y63" s="2234"/>
      <c r="Z63" s="2234"/>
      <c r="AA63" s="2234"/>
      <c r="AB63" s="2234"/>
      <c r="AC63" s="2234"/>
      <c r="AD63" s="2234"/>
      <c r="AE63" s="2234"/>
      <c r="AF63" s="2234"/>
      <c r="AG63" s="2234"/>
      <c r="AH63" s="2234"/>
      <c r="AI63" s="2234"/>
      <c r="AJ63" s="2234"/>
      <c r="AK63" s="2234"/>
      <c r="AL63" s="2234"/>
      <c r="AM63" s="2234"/>
      <c r="AN63" s="2234"/>
      <c r="AO63" s="2234"/>
      <c r="AP63" s="2234"/>
      <c r="AQ63" s="2234"/>
      <c r="AR63" s="2234"/>
    </row>
    <row r="64" s="2307" customFormat="1" spans="1:44">
      <c r="A64" s="2888"/>
      <c r="B64" s="2234"/>
      <c r="C64" s="2234"/>
      <c r="D64" s="2823"/>
      <c r="E64" s="2234"/>
      <c r="F64" s="2234"/>
      <c r="G64" s="2234"/>
      <c r="H64" s="2234"/>
      <c r="I64" s="2234"/>
      <c r="J64" s="2234"/>
      <c r="K64" s="2912"/>
      <c r="L64" s="2912"/>
      <c r="M64" s="2234"/>
      <c r="N64" s="2234"/>
      <c r="O64" s="2234"/>
      <c r="P64" s="2234"/>
      <c r="Q64" s="2234"/>
      <c r="R64" s="2234"/>
      <c r="S64" s="2234"/>
      <c r="T64" s="2234"/>
      <c r="U64" s="2234"/>
      <c r="V64" s="2234"/>
      <c r="W64" s="2234"/>
      <c r="X64" s="2234"/>
      <c r="Y64" s="2234"/>
      <c r="Z64" s="2234"/>
      <c r="AA64" s="2234"/>
      <c r="AB64" s="2234"/>
      <c r="AC64" s="2234"/>
      <c r="AD64" s="2234"/>
      <c r="AE64" s="2234"/>
      <c r="AF64" s="2234"/>
      <c r="AG64" s="2234"/>
      <c r="AH64" s="2234"/>
      <c r="AI64" s="2234"/>
      <c r="AJ64" s="2234"/>
      <c r="AK64" s="2234"/>
      <c r="AL64" s="2234"/>
      <c r="AM64" s="2234"/>
      <c r="AN64" s="2234"/>
      <c r="AO64" s="2234"/>
      <c r="AP64" s="2234"/>
      <c r="AQ64" s="2234"/>
      <c r="AR64" s="2234"/>
    </row>
    <row r="65" s="2307" customFormat="1" spans="1:44">
      <c r="A65" s="2888"/>
      <c r="B65" s="2234"/>
      <c r="C65" s="2234"/>
      <c r="D65" s="2823"/>
      <c r="E65" s="2234"/>
      <c r="F65" s="2234"/>
      <c r="G65" s="2234"/>
      <c r="H65" s="2234"/>
      <c r="I65" s="2234"/>
      <c r="J65" s="2234"/>
      <c r="K65" s="2912"/>
      <c r="L65" s="2912"/>
      <c r="M65" s="2234"/>
      <c r="N65" s="2234"/>
      <c r="O65" s="2234"/>
      <c r="P65" s="2234"/>
      <c r="Q65" s="2234"/>
      <c r="R65" s="2234"/>
      <c r="S65" s="2234"/>
      <c r="T65" s="2234"/>
      <c r="U65" s="2234"/>
      <c r="V65" s="2234"/>
      <c r="W65" s="2234"/>
      <c r="X65" s="2234"/>
      <c r="Y65" s="2234"/>
      <c r="Z65" s="2234"/>
      <c r="AA65" s="2234"/>
      <c r="AB65" s="2234"/>
      <c r="AC65" s="2234"/>
      <c r="AD65" s="2234"/>
      <c r="AE65" s="2234"/>
      <c r="AF65" s="2234"/>
      <c r="AG65" s="2234"/>
      <c r="AH65" s="2234"/>
      <c r="AI65" s="2234"/>
      <c r="AJ65" s="2234"/>
      <c r="AK65" s="2234"/>
      <c r="AL65" s="2234"/>
      <c r="AM65" s="2234"/>
      <c r="AN65" s="2234"/>
      <c r="AO65" s="2234"/>
      <c r="AP65" s="2234"/>
      <c r="AQ65" s="2234"/>
      <c r="AR65" s="2234"/>
    </row>
    <row r="66" s="2307" customFormat="1" spans="1:44">
      <c r="A66" s="2888"/>
      <c r="B66" s="2234"/>
      <c r="C66" s="2234"/>
      <c r="D66" s="2823"/>
      <c r="E66" s="2234"/>
      <c r="F66" s="2234"/>
      <c r="G66" s="2234"/>
      <c r="H66" s="2234"/>
      <c r="I66" s="2234"/>
      <c r="J66" s="2234"/>
      <c r="K66" s="2912"/>
      <c r="L66" s="2912"/>
      <c r="M66" s="2234"/>
      <c r="N66" s="2234"/>
      <c r="O66" s="2234"/>
      <c r="P66" s="2234"/>
      <c r="Q66" s="2234"/>
      <c r="R66" s="2234"/>
      <c r="S66" s="2234"/>
      <c r="T66" s="2234"/>
      <c r="U66" s="2234"/>
      <c r="V66" s="2234"/>
      <c r="W66" s="2234"/>
      <c r="X66" s="2234"/>
      <c r="Y66" s="2234"/>
      <c r="Z66" s="2234"/>
      <c r="AA66" s="2234"/>
      <c r="AB66" s="2234"/>
      <c r="AC66" s="2234"/>
      <c r="AD66" s="2234"/>
      <c r="AE66" s="2234"/>
      <c r="AF66" s="2234"/>
      <c r="AG66" s="2234"/>
      <c r="AH66" s="2234"/>
      <c r="AI66" s="2234"/>
      <c r="AJ66" s="2234"/>
      <c r="AK66" s="2234"/>
      <c r="AL66" s="2234"/>
      <c r="AM66" s="2234"/>
      <c r="AN66" s="2234"/>
      <c r="AO66" s="2234"/>
      <c r="AP66" s="2234"/>
      <c r="AQ66" s="2234"/>
      <c r="AR66" s="2234"/>
    </row>
    <row r="67" s="2307" customFormat="1" spans="1:44">
      <c r="A67" s="2888"/>
      <c r="B67" s="2234"/>
      <c r="C67" s="2234"/>
      <c r="D67" s="2823"/>
      <c r="E67" s="2234"/>
      <c r="F67" s="2234"/>
      <c r="G67" s="2234"/>
      <c r="H67" s="2234"/>
      <c r="I67" s="2234"/>
      <c r="J67" s="2234"/>
      <c r="K67" s="2912"/>
      <c r="L67" s="2912"/>
      <c r="M67" s="2234"/>
      <c r="N67" s="2234"/>
      <c r="O67" s="2234"/>
      <c r="P67" s="2234"/>
      <c r="Q67" s="2234"/>
      <c r="R67" s="2234"/>
      <c r="S67" s="2234"/>
      <c r="T67" s="2234"/>
      <c r="U67" s="2234"/>
      <c r="V67" s="2234"/>
      <c r="W67" s="2234"/>
      <c r="X67" s="2234"/>
      <c r="Y67" s="2234"/>
      <c r="Z67" s="2234"/>
      <c r="AA67" s="2234"/>
      <c r="AB67" s="2234"/>
      <c r="AC67" s="2234"/>
      <c r="AD67" s="2234"/>
      <c r="AE67" s="2234"/>
      <c r="AF67" s="2234"/>
      <c r="AG67" s="2234"/>
      <c r="AH67" s="2234"/>
      <c r="AI67" s="2234"/>
      <c r="AJ67" s="2234"/>
      <c r="AK67" s="2234"/>
      <c r="AL67" s="2234"/>
      <c r="AM67" s="2234"/>
      <c r="AN67" s="2234"/>
      <c r="AO67" s="2234"/>
      <c r="AP67" s="2234"/>
      <c r="AQ67" s="2234"/>
      <c r="AR67" s="2234"/>
    </row>
    <row r="68" s="2307" customFormat="1" spans="1:44">
      <c r="A68" s="2888"/>
      <c r="B68" s="2234"/>
      <c r="C68" s="2234"/>
      <c r="D68" s="2823"/>
      <c r="E68" s="2234"/>
      <c r="F68" s="2234"/>
      <c r="G68" s="2234"/>
      <c r="H68" s="2234"/>
      <c r="I68" s="2234"/>
      <c r="J68" s="2234"/>
      <c r="K68" s="2912"/>
      <c r="L68" s="2912"/>
      <c r="M68" s="2234"/>
      <c r="N68" s="2234"/>
      <c r="O68" s="2234"/>
      <c r="P68" s="2234"/>
      <c r="Q68" s="2234"/>
      <c r="R68" s="2234"/>
      <c r="S68" s="2234"/>
      <c r="T68" s="2234"/>
      <c r="U68" s="2234"/>
      <c r="V68" s="2234"/>
      <c r="W68" s="2234"/>
      <c r="X68" s="2234"/>
      <c r="Y68" s="2234"/>
      <c r="Z68" s="2234"/>
      <c r="AA68" s="2234"/>
      <c r="AB68" s="2234"/>
      <c r="AC68" s="2234"/>
      <c r="AD68" s="2234"/>
      <c r="AE68" s="2234"/>
      <c r="AF68" s="2234"/>
      <c r="AG68" s="2234"/>
      <c r="AH68" s="2234"/>
      <c r="AI68" s="2234"/>
      <c r="AJ68" s="2234"/>
      <c r="AK68" s="2234"/>
      <c r="AL68" s="2234"/>
      <c r="AM68" s="2234"/>
      <c r="AN68" s="2234"/>
      <c r="AO68" s="2234"/>
      <c r="AP68" s="2234"/>
      <c r="AQ68" s="2234"/>
      <c r="AR68" s="2234"/>
    </row>
    <row r="69" s="2307" customFormat="1" spans="1:12">
      <c r="A69" s="2688"/>
      <c r="D69" s="2983"/>
      <c r="K69" s="750"/>
      <c r="L69" s="750"/>
    </row>
    <row r="70" s="2307" customFormat="1" spans="1:12">
      <c r="A70" s="2688"/>
      <c r="D70" s="2983"/>
      <c r="K70" s="750"/>
      <c r="L70" s="750"/>
    </row>
    <row r="71" s="2307" customFormat="1" spans="1:12">
      <c r="A71" s="2688"/>
      <c r="D71" s="2983"/>
      <c r="K71" s="750"/>
      <c r="L71" s="750"/>
    </row>
    <row r="72" s="2307" customFormat="1" spans="1:12">
      <c r="A72" s="2688"/>
      <c r="D72" s="2983"/>
      <c r="K72" s="750"/>
      <c r="L72" s="750"/>
    </row>
    <row r="73" s="2307" customFormat="1" spans="1:12">
      <c r="A73" s="2688"/>
      <c r="D73" s="2983"/>
      <c r="K73" s="750"/>
      <c r="L73" s="750"/>
    </row>
    <row r="74" s="2307" customFormat="1" spans="1:12">
      <c r="A74" s="2688"/>
      <c r="D74" s="2983"/>
      <c r="K74" s="750"/>
      <c r="L74" s="750"/>
    </row>
    <row r="75" s="2307" customFormat="1" spans="1:12">
      <c r="A75" s="2688"/>
      <c r="D75" s="2983"/>
      <c r="K75" s="750"/>
      <c r="L75" s="750"/>
    </row>
    <row r="76" s="2307" customFormat="1" spans="1:12">
      <c r="A76" s="2688"/>
      <c r="D76" s="2983"/>
      <c r="K76" s="750"/>
      <c r="L76" s="750"/>
    </row>
    <row r="77" s="2307" customFormat="1" spans="1:12">
      <c r="A77" s="2688"/>
      <c r="D77" s="2983"/>
      <c r="K77" s="750"/>
      <c r="L77" s="750"/>
    </row>
    <row r="78" s="2307" customFormat="1" spans="1:12">
      <c r="A78" s="2688"/>
      <c r="D78" s="2983"/>
      <c r="K78" s="750"/>
      <c r="L78" s="750"/>
    </row>
    <row r="79" s="2307" customFormat="1" spans="1:12">
      <c r="A79" s="2688"/>
      <c r="D79" s="2983"/>
      <c r="K79" s="750"/>
      <c r="L79" s="750"/>
    </row>
    <row r="80" s="2307" customFormat="1" spans="1:12">
      <c r="A80" s="2688"/>
      <c r="D80" s="2983"/>
      <c r="K80" s="750"/>
      <c r="L80" s="750"/>
    </row>
    <row r="81" s="2307" customFormat="1" spans="1:12">
      <c r="A81" s="2688"/>
      <c r="D81" s="2983"/>
      <c r="K81" s="750"/>
      <c r="L81" s="750"/>
    </row>
    <row r="82" s="2307" customFormat="1" spans="1:12">
      <c r="A82" s="2688"/>
      <c r="D82" s="2983"/>
      <c r="K82" s="750"/>
      <c r="L82" s="750"/>
    </row>
    <row r="83" s="2307" customFormat="1" spans="1:12">
      <c r="A83" s="2688"/>
      <c r="D83" s="2983"/>
      <c r="K83" s="750"/>
      <c r="L83" s="750"/>
    </row>
    <row r="84" s="2307" customFormat="1" spans="1:12">
      <c r="A84" s="2688"/>
      <c r="D84" s="2983"/>
      <c r="K84" s="750"/>
      <c r="L84" s="750"/>
    </row>
    <row r="85" s="2307" customFormat="1" spans="1:12">
      <c r="A85" s="2688"/>
      <c r="D85" s="2983"/>
      <c r="K85" s="750"/>
      <c r="L85" s="750"/>
    </row>
    <row r="86" s="2307" customFormat="1" spans="1:12">
      <c r="A86" s="2688"/>
      <c r="D86" s="2983"/>
      <c r="K86" s="750"/>
      <c r="L86" s="750"/>
    </row>
    <row r="87" s="2307" customFormat="1" spans="1:12">
      <c r="A87" s="2688"/>
      <c r="D87" s="2983"/>
      <c r="K87" s="750"/>
      <c r="L87" s="750"/>
    </row>
    <row r="88" s="2307" customFormat="1" spans="1:12">
      <c r="A88" s="2688"/>
      <c r="D88" s="2983"/>
      <c r="K88" s="750"/>
      <c r="L88" s="750"/>
    </row>
    <row r="89" s="2307" customFormat="1" spans="1:12">
      <c r="A89" s="2688"/>
      <c r="D89" s="2983"/>
      <c r="K89" s="750"/>
      <c r="L89" s="750"/>
    </row>
    <row r="90" s="2307" customFormat="1" spans="1:12">
      <c r="A90" s="2688"/>
      <c r="D90" s="2983"/>
      <c r="K90" s="750"/>
      <c r="L90" s="750"/>
    </row>
    <row r="91" s="2307" customFormat="1" spans="1:12">
      <c r="A91" s="2688"/>
      <c r="D91" s="2983"/>
      <c r="K91" s="750"/>
      <c r="L91" s="750"/>
    </row>
    <row r="92" s="2307" customFormat="1" spans="1:12">
      <c r="A92" s="2688"/>
      <c r="D92" s="2983"/>
      <c r="K92" s="750"/>
      <c r="L92" s="750"/>
    </row>
    <row r="93" s="2307" customFormat="1" spans="1:12">
      <c r="A93" s="2688"/>
      <c r="D93" s="2983"/>
      <c r="K93" s="750"/>
      <c r="L93" s="750"/>
    </row>
    <row r="94" s="2307" customFormat="1" spans="1:12">
      <c r="A94" s="2688"/>
      <c r="D94" s="2983"/>
      <c r="K94" s="750"/>
      <c r="L94" s="750"/>
    </row>
    <row r="95" s="2307" customFormat="1" spans="1:12">
      <c r="A95" s="2688"/>
      <c r="D95" s="2983"/>
      <c r="K95" s="750"/>
      <c r="L95" s="750"/>
    </row>
    <row r="96" s="2307" customFormat="1" spans="1:12">
      <c r="A96" s="2688"/>
      <c r="D96" s="2983"/>
      <c r="K96" s="750"/>
      <c r="L96" s="750"/>
    </row>
    <row r="97" s="2307" customFormat="1" spans="1:12">
      <c r="A97" s="2688"/>
      <c r="D97" s="2983"/>
      <c r="K97" s="750"/>
      <c r="L97" s="750"/>
    </row>
    <row r="98" s="2307" customFormat="1" spans="1:12">
      <c r="A98" s="2688"/>
      <c r="D98" s="2983"/>
      <c r="K98" s="750"/>
      <c r="L98" s="750"/>
    </row>
    <row r="99" s="2307" customFormat="1" spans="1:12">
      <c r="A99" s="2688"/>
      <c r="D99" s="2983"/>
      <c r="K99" s="750"/>
      <c r="L99" s="750"/>
    </row>
    <row r="100" s="2307" customFormat="1" spans="1:12">
      <c r="A100" s="2688"/>
      <c r="D100" s="2983"/>
      <c r="K100" s="750"/>
      <c r="L100" s="750"/>
    </row>
    <row r="101" s="2307" customFormat="1" spans="1:12">
      <c r="A101" s="2688"/>
      <c r="D101" s="2983"/>
      <c r="K101" s="750"/>
      <c r="L101" s="750"/>
    </row>
    <row r="102" s="2307" customFormat="1" spans="1:12">
      <c r="A102" s="2688"/>
      <c r="D102" s="2983"/>
      <c r="K102" s="750"/>
      <c r="L102" s="750"/>
    </row>
    <row r="103" s="2307" customFormat="1" spans="1:12">
      <c r="A103" s="2688"/>
      <c r="D103" s="2983"/>
      <c r="K103" s="750"/>
      <c r="L103" s="750"/>
    </row>
    <row r="104" s="2307" customFormat="1" spans="1:12">
      <c r="A104" s="2688"/>
      <c r="D104" s="2983"/>
      <c r="K104" s="750"/>
      <c r="L104" s="750"/>
    </row>
    <row r="105" s="2307" customFormat="1" spans="1:12">
      <c r="A105" s="2688"/>
      <c r="D105" s="2983"/>
      <c r="K105" s="750"/>
      <c r="L105" s="750"/>
    </row>
    <row r="106" s="2307" customFormat="1" spans="1:12">
      <c r="A106" s="2688"/>
      <c r="D106" s="2983"/>
      <c r="K106" s="750"/>
      <c r="L106" s="750"/>
    </row>
    <row r="107" s="2307" customFormat="1" spans="1:12">
      <c r="A107" s="2688"/>
      <c r="D107" s="2983"/>
      <c r="K107" s="750"/>
      <c r="L107" s="750"/>
    </row>
    <row r="108" s="2307" customFormat="1" spans="1:12">
      <c r="A108" s="2688"/>
      <c r="D108" s="2983"/>
      <c r="K108" s="750"/>
      <c r="L108" s="750"/>
    </row>
    <row r="109" s="2307" customFormat="1" spans="1:12">
      <c r="A109" s="2688"/>
      <c r="D109" s="2983"/>
      <c r="K109" s="750"/>
      <c r="L109" s="750"/>
    </row>
    <row r="110" s="2307" customFormat="1" spans="1:12">
      <c r="A110" s="2688"/>
      <c r="D110" s="2983"/>
      <c r="K110" s="750"/>
      <c r="L110" s="750"/>
    </row>
    <row r="111" s="2307" customFormat="1" spans="1:12">
      <c r="A111" s="2688"/>
      <c r="D111" s="2983"/>
      <c r="K111" s="750"/>
      <c r="L111" s="750"/>
    </row>
    <row r="112" s="2307" customFormat="1" spans="1:12">
      <c r="A112" s="2688"/>
      <c r="D112" s="2983"/>
      <c r="K112" s="750"/>
      <c r="L112" s="750"/>
    </row>
    <row r="113" s="2307" customFormat="1" spans="1:12">
      <c r="A113" s="2688"/>
      <c r="D113" s="2983"/>
      <c r="K113" s="750"/>
      <c r="L113" s="750"/>
    </row>
    <row r="114" s="2307" customFormat="1" spans="1:12">
      <c r="A114" s="2688"/>
      <c r="D114" s="2983"/>
      <c r="K114" s="750"/>
      <c r="L114" s="750"/>
    </row>
    <row r="115" s="2307" customFormat="1" spans="1:12">
      <c r="A115" s="2688"/>
      <c r="D115" s="2983"/>
      <c r="K115" s="750"/>
      <c r="L115" s="750"/>
    </row>
    <row r="116" s="2307" customFormat="1" spans="1:12">
      <c r="A116" s="2688"/>
      <c r="D116" s="2983"/>
      <c r="K116" s="750"/>
      <c r="L116" s="750"/>
    </row>
    <row r="117" s="2307" customFormat="1" spans="1:12">
      <c r="A117" s="2688"/>
      <c r="D117" s="2983"/>
      <c r="K117" s="750"/>
      <c r="L117" s="750"/>
    </row>
    <row r="118" s="2307" customFormat="1" spans="1:12">
      <c r="A118" s="2688"/>
      <c r="D118" s="2983"/>
      <c r="K118" s="750"/>
      <c r="L118" s="750"/>
    </row>
    <row r="119" s="2307" customFormat="1" spans="1:12">
      <c r="A119" s="2688"/>
      <c r="D119" s="2983"/>
      <c r="K119" s="750"/>
      <c r="L119" s="750"/>
    </row>
    <row r="120" s="2307" customFormat="1" spans="1:12">
      <c r="A120" s="2688"/>
      <c r="D120" s="2983"/>
      <c r="K120" s="750"/>
      <c r="L120" s="750"/>
    </row>
    <row r="121" s="2307" customFormat="1" spans="1:12">
      <c r="A121" s="2688"/>
      <c r="D121" s="2983"/>
      <c r="K121" s="750"/>
      <c r="L121" s="750"/>
    </row>
    <row r="122" s="2307" customFormat="1" spans="1:12">
      <c r="A122" s="2688"/>
      <c r="D122" s="2983"/>
      <c r="K122" s="750"/>
      <c r="L122" s="750"/>
    </row>
    <row r="123" s="2307" customFormat="1" spans="1:12">
      <c r="A123" s="2688"/>
      <c r="D123" s="2983"/>
      <c r="K123" s="750"/>
      <c r="L123" s="750"/>
    </row>
    <row r="124" s="2307" customFormat="1" spans="1:12">
      <c r="A124" s="2688"/>
      <c r="D124" s="2983"/>
      <c r="K124" s="750"/>
      <c r="L124" s="750"/>
    </row>
    <row r="125" s="2307" customFormat="1" spans="1:12">
      <c r="A125" s="2688"/>
      <c r="D125" s="2983"/>
      <c r="K125" s="750"/>
      <c r="L125" s="750"/>
    </row>
    <row r="126" s="2307" customFormat="1" spans="1:12">
      <c r="A126" s="2688"/>
      <c r="D126" s="2983"/>
      <c r="K126" s="750"/>
      <c r="L126" s="750"/>
    </row>
    <row r="127" s="2307" customFormat="1" spans="1:12">
      <c r="A127" s="2688"/>
      <c r="D127" s="2983"/>
      <c r="K127" s="750"/>
      <c r="L127" s="750"/>
    </row>
    <row r="128" s="2307" customFormat="1" spans="1:12">
      <c r="A128" s="2688"/>
      <c r="D128" s="2983"/>
      <c r="K128" s="750"/>
      <c r="L128" s="750"/>
    </row>
    <row r="129" s="2307" customFormat="1" spans="1:12">
      <c r="A129" s="2688"/>
      <c r="D129" s="2983"/>
      <c r="K129" s="750"/>
      <c r="L129" s="750"/>
    </row>
    <row r="130" s="2307" customFormat="1" spans="1:12">
      <c r="A130" s="2688"/>
      <c r="D130" s="2983"/>
      <c r="K130" s="750"/>
      <c r="L130" s="750"/>
    </row>
    <row r="131" s="2307" customFormat="1" spans="1:12">
      <c r="A131" s="2688"/>
      <c r="D131" s="2983"/>
      <c r="K131" s="750"/>
      <c r="L131" s="750"/>
    </row>
    <row r="132" s="2307" customFormat="1" spans="1:12">
      <c r="A132" s="2688"/>
      <c r="D132" s="2983"/>
      <c r="K132" s="750"/>
      <c r="L132" s="750"/>
    </row>
    <row r="133" s="2307" customFormat="1" spans="1:12">
      <c r="A133" s="2688"/>
      <c r="D133" s="2983"/>
      <c r="K133" s="750"/>
      <c r="L133" s="750"/>
    </row>
    <row r="134" s="2782" customFormat="1" spans="1:12">
      <c r="A134" s="2984"/>
      <c r="D134" s="2985"/>
      <c r="K134" s="649"/>
      <c r="L134" s="649"/>
    </row>
    <row r="135" s="2782" customFormat="1" spans="1:12">
      <c r="A135" s="2984"/>
      <c r="D135" s="2985"/>
      <c r="K135" s="649"/>
      <c r="L135" s="649"/>
    </row>
    <row r="136" s="2782" customFormat="1" spans="1:12">
      <c r="A136" s="2984"/>
      <c r="D136" s="2985"/>
      <c r="K136" s="649"/>
      <c r="L136" s="649"/>
    </row>
    <row r="137" s="2782" customFormat="1" spans="1:12">
      <c r="A137" s="2984"/>
      <c r="D137" s="2985"/>
      <c r="K137" s="649"/>
      <c r="L137" s="649"/>
    </row>
    <row r="138" s="2782" customFormat="1" spans="1:12">
      <c r="A138" s="2984"/>
      <c r="D138" s="2985"/>
      <c r="K138" s="649"/>
      <c r="L138" s="649"/>
    </row>
    <row r="139" s="2782" customFormat="1" spans="1:12">
      <c r="A139" s="2984"/>
      <c r="D139" s="2985"/>
      <c r="K139" s="649"/>
      <c r="L139" s="649"/>
    </row>
    <row r="140" s="2782" customFormat="1" spans="1:12">
      <c r="A140" s="2984"/>
      <c r="D140" s="2985"/>
      <c r="K140" s="649"/>
      <c r="L140" s="649"/>
    </row>
    <row r="141" s="2782" customFormat="1" spans="1:12">
      <c r="A141" s="2984"/>
      <c r="D141" s="2985"/>
      <c r="K141" s="649"/>
      <c r="L141" s="649"/>
    </row>
    <row r="142" s="2782" customFormat="1" spans="1:12">
      <c r="A142" s="2984"/>
      <c r="D142" s="2985"/>
      <c r="K142" s="649"/>
      <c r="L142" s="649"/>
    </row>
    <row r="143" s="2782" customFormat="1" spans="1:12">
      <c r="A143" s="2984"/>
      <c r="D143" s="2985"/>
      <c r="K143" s="649"/>
      <c r="L143" s="649"/>
    </row>
    <row r="144" s="2782" customFormat="1" spans="1:12">
      <c r="A144" s="2984"/>
      <c r="D144" s="2985"/>
      <c r="K144" s="649"/>
      <c r="L144" s="649"/>
    </row>
    <row r="145" s="2782" customFormat="1" spans="1:12">
      <c r="A145" s="2984"/>
      <c r="D145" s="2985"/>
      <c r="K145" s="649"/>
      <c r="L145" s="649"/>
    </row>
    <row r="146" s="2782" customFormat="1" spans="1:12">
      <c r="A146" s="2984"/>
      <c r="D146" s="2985"/>
      <c r="K146" s="649"/>
      <c r="L146" s="649"/>
    </row>
    <row r="147" s="2782" customFormat="1" spans="1:12">
      <c r="A147" s="2984"/>
      <c r="D147" s="2985"/>
      <c r="K147" s="649"/>
      <c r="L147" s="649"/>
    </row>
    <row r="148" s="2782" customFormat="1" spans="1:12">
      <c r="A148" s="2984"/>
      <c r="D148" s="2985"/>
      <c r="K148" s="649"/>
      <c r="L148" s="649"/>
    </row>
    <row r="149" s="2782" customFormat="1" spans="1:12">
      <c r="A149" s="2984"/>
      <c r="D149" s="2985"/>
      <c r="K149" s="649"/>
      <c r="L149" s="649"/>
    </row>
    <row r="150" s="2782" customFormat="1" spans="1:12">
      <c r="A150" s="2984"/>
      <c r="D150" s="2985"/>
      <c r="K150" s="649"/>
      <c r="L150" s="649"/>
    </row>
    <row r="151" s="2782" customFormat="1" spans="1:12">
      <c r="A151" s="2984"/>
      <c r="D151" s="2985"/>
      <c r="K151" s="649"/>
      <c r="L151" s="649"/>
    </row>
    <row r="152" s="2782" customFormat="1" spans="1:12">
      <c r="A152" s="2984"/>
      <c r="D152" s="2985"/>
      <c r="K152" s="649"/>
      <c r="L152" s="649"/>
    </row>
    <row r="153" s="2782" customFormat="1" spans="1:12">
      <c r="A153" s="2984"/>
      <c r="D153" s="2985"/>
      <c r="K153" s="649"/>
      <c r="L153" s="649"/>
    </row>
    <row r="154" s="2782" customFormat="1" spans="1:12">
      <c r="A154" s="2984"/>
      <c r="D154" s="2985"/>
      <c r="K154" s="649"/>
      <c r="L154" s="649"/>
    </row>
    <row r="155" s="2782" customFormat="1" spans="1:12">
      <c r="A155" s="2984"/>
      <c r="D155" s="2985"/>
      <c r="K155" s="649"/>
      <c r="L155" s="649"/>
    </row>
    <row r="156" s="2782" customFormat="1" spans="1:12">
      <c r="A156" s="2984"/>
      <c r="D156" s="2985"/>
      <c r="K156" s="649"/>
      <c r="L156" s="649"/>
    </row>
    <row r="157" s="2782" customFormat="1" spans="1:12">
      <c r="A157" s="2984"/>
      <c r="D157" s="2985"/>
      <c r="K157" s="649"/>
      <c r="L157" s="649"/>
    </row>
    <row r="158" s="2782" customFormat="1" spans="1:12">
      <c r="A158" s="2984"/>
      <c r="D158" s="2985"/>
      <c r="K158" s="649"/>
      <c r="L158" s="649"/>
    </row>
    <row r="159" s="2782" customFormat="1" spans="1:12">
      <c r="A159" s="2984"/>
      <c r="D159" s="2985"/>
      <c r="K159" s="649"/>
      <c r="L159" s="649"/>
    </row>
    <row r="160" s="2782" customFormat="1" spans="1:12">
      <c r="A160" s="2984"/>
      <c r="D160" s="2985"/>
      <c r="K160" s="649"/>
      <c r="L160" s="649"/>
    </row>
    <row r="161" s="2782" customFormat="1" spans="1:12">
      <c r="A161" s="2984"/>
      <c r="D161" s="2985"/>
      <c r="K161" s="649"/>
      <c r="L161" s="649"/>
    </row>
    <row r="162" s="2782" customFormat="1" spans="1:12">
      <c r="A162" s="2984"/>
      <c r="D162" s="2985"/>
      <c r="K162" s="649"/>
      <c r="L162" s="649"/>
    </row>
    <row r="163" s="2782" customFormat="1" spans="1:12">
      <c r="A163" s="2984"/>
      <c r="D163" s="2985"/>
      <c r="K163" s="649"/>
      <c r="L163" s="649"/>
    </row>
    <row r="164" s="2782" customFormat="1" spans="1:12">
      <c r="A164" s="2984"/>
      <c r="D164" s="2985"/>
      <c r="K164" s="649"/>
      <c r="L164" s="649"/>
    </row>
    <row r="165" s="2782" customFormat="1" spans="1:12">
      <c r="A165" s="2984"/>
      <c r="D165" s="2985"/>
      <c r="K165" s="649"/>
      <c r="L165" s="649"/>
    </row>
    <row r="166" s="2782" customFormat="1" spans="1:12">
      <c r="A166" s="2984"/>
      <c r="D166" s="2985"/>
      <c r="K166" s="649"/>
      <c r="L166" s="649"/>
    </row>
    <row r="167" s="2782" customFormat="1" spans="1:12">
      <c r="A167" s="2984"/>
      <c r="D167" s="2985"/>
      <c r="K167" s="649"/>
      <c r="L167" s="649"/>
    </row>
    <row r="168" s="2782" customFormat="1" spans="1:12">
      <c r="A168" s="2984"/>
      <c r="D168" s="2985"/>
      <c r="K168" s="649"/>
      <c r="L168" s="649"/>
    </row>
    <row r="169" s="2782" customFormat="1" spans="1:12">
      <c r="A169" s="2984"/>
      <c r="D169" s="2985"/>
      <c r="K169" s="649"/>
      <c r="L169" s="649"/>
    </row>
    <row r="170" s="2782" customFormat="1" spans="1:12">
      <c r="A170" s="2984"/>
      <c r="D170" s="2985"/>
      <c r="K170" s="649"/>
      <c r="L170" s="649"/>
    </row>
    <row r="171" s="2782" customFormat="1" spans="1:12">
      <c r="A171" s="2984"/>
      <c r="D171" s="2985"/>
      <c r="K171" s="649"/>
      <c r="L171" s="649"/>
    </row>
    <row r="172" s="2782" customFormat="1" spans="1:12">
      <c r="A172" s="2984"/>
      <c r="D172" s="2985"/>
      <c r="K172" s="649"/>
      <c r="L172" s="649"/>
    </row>
    <row r="173" s="2782" customFormat="1" spans="1:12">
      <c r="A173" s="2984"/>
      <c r="D173" s="2985"/>
      <c r="K173" s="649"/>
      <c r="L173" s="649"/>
    </row>
    <row r="174" s="2782" customFormat="1" spans="1:12">
      <c r="A174" s="2984"/>
      <c r="D174" s="2985"/>
      <c r="K174" s="649"/>
      <c r="L174" s="649"/>
    </row>
  </sheetData>
  <sheetProtection password="CEE9" sheet="1" formatCells="0" formatColumns="0" formatRows="0" objects="1" scenarios="1"/>
  <dataValidations count="8">
    <dataValidation type="list" allowBlank="1" showInputMessage="1" showErrorMessage="1" sqref="B44">
      <formula1>"7%,5%,1%"</formula1>
    </dataValidation>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28" sqref="I28"/>
    </sheetView>
  </sheetViews>
  <sheetFormatPr defaultColWidth="9" defaultRowHeight="13.8"/>
  <cols>
    <col min="1" max="1" width="9.44444444444444" style="2708" customWidth="1"/>
    <col min="2" max="2" width="24.4444444444444" style="2709" customWidth="1"/>
    <col min="3" max="3" width="24.4444444444444" style="2710" customWidth="1"/>
    <col min="4" max="4" width="2.66666666666667" style="2710" customWidth="1"/>
    <col min="5" max="5" width="5.88888888888889" style="2710" customWidth="1"/>
    <col min="6" max="6" width="27" style="2709" customWidth="1"/>
    <col min="7" max="7" width="27" style="2711" customWidth="1"/>
    <col min="8" max="8" width="11.8888888888889" style="2712" customWidth="1"/>
    <col min="9" max="9" width="16.7777777777778" style="2713" customWidth="1"/>
    <col min="10" max="10" width="2.66666666666667" style="2712" customWidth="1"/>
    <col min="11" max="11" width="11.8888888888889" style="2712" customWidth="1"/>
    <col min="12" max="12" width="16.7777777777778" style="2713" customWidth="1"/>
    <col min="13" max="13" width="2.66666666666667" style="2712" customWidth="1"/>
    <col min="14" max="14" width="11.8888888888889" style="2712" customWidth="1"/>
    <col min="15" max="15" width="16.7777777777778" style="2713" customWidth="1"/>
    <col min="16" max="16" width="2.66666666666667" style="2712" customWidth="1"/>
    <col min="17" max="17" width="11.8888888888889" style="2712" customWidth="1"/>
    <col min="18" max="18" width="16.7777777777778" style="2714" customWidth="1"/>
    <col min="19" max="29" width="9" style="2223"/>
    <col min="30" max="16384" width="9" style="2708"/>
  </cols>
  <sheetData>
    <row r="1" s="2706" customFormat="1" ht="18.15" spans="1:29">
      <c r="A1" s="2715" t="s">
        <v>665</v>
      </c>
      <c r="B1" s="2716"/>
      <c r="C1" s="2716"/>
      <c r="D1" s="2716"/>
      <c r="E1" s="2716"/>
      <c r="F1" s="2716"/>
      <c r="G1" s="2716"/>
      <c r="H1" s="2717"/>
      <c r="I1" s="2769"/>
      <c r="J1" s="2717"/>
      <c r="K1" s="2717"/>
      <c r="L1" s="2769"/>
      <c r="M1" s="2717"/>
      <c r="N1" s="2717"/>
      <c r="O1" s="2769"/>
      <c r="P1" s="2717"/>
      <c r="Q1" s="2776"/>
      <c r="R1" s="2777"/>
      <c r="S1" s="2778"/>
      <c r="T1" s="2778"/>
      <c r="U1" s="2778"/>
      <c r="V1" s="2778"/>
      <c r="W1" s="2778"/>
      <c r="X1" s="2778"/>
      <c r="Y1" s="2778"/>
      <c r="Z1" s="2778"/>
      <c r="AA1" s="2778"/>
      <c r="AB1" s="2778"/>
      <c r="AC1" s="2778"/>
    </row>
    <row r="2" ht="14.55" spans="1:18">
      <c r="A2" s="2718"/>
      <c r="B2" s="2719"/>
      <c r="C2" s="2720" t="s">
        <v>666</v>
      </c>
      <c r="D2" s="2721"/>
      <c r="E2" s="2718"/>
      <c r="F2" s="2722"/>
      <c r="G2" s="2720" t="s">
        <v>667</v>
      </c>
      <c r="H2" s="2223"/>
      <c r="I2" s="2223"/>
      <c r="J2" s="2223"/>
      <c r="K2" s="2223"/>
      <c r="L2" s="2223"/>
      <c r="M2" s="2223"/>
      <c r="N2" s="2223"/>
      <c r="O2" s="2223"/>
      <c r="P2" s="2223"/>
      <c r="Q2" s="2223"/>
      <c r="R2" s="2223"/>
    </row>
    <row r="3" ht="48" spans="1:18">
      <c r="A3" s="2723" t="s">
        <v>668</v>
      </c>
      <c r="B3" s="2724" t="s">
        <v>669</v>
      </c>
      <c r="C3" s="2725" t="s">
        <v>670</v>
      </c>
      <c r="D3" s="2726"/>
      <c r="E3" s="2727" t="s">
        <v>668</v>
      </c>
      <c r="F3" s="2728" t="s">
        <v>671</v>
      </c>
      <c r="G3" s="2729" t="s">
        <v>672</v>
      </c>
      <c r="H3" s="2223"/>
      <c r="I3" s="2223"/>
      <c r="J3" s="2223"/>
      <c r="K3" s="2223"/>
      <c r="L3" s="2223"/>
      <c r="M3" s="2223"/>
      <c r="N3" s="2223"/>
      <c r="O3" s="2223"/>
      <c r="P3" s="2223"/>
      <c r="Q3" s="2223"/>
      <c r="R3" s="2223"/>
    </row>
    <row r="4" ht="37.2" spans="1:18">
      <c r="A4" s="2727"/>
      <c r="B4" s="2005" t="s">
        <v>673</v>
      </c>
      <c r="C4" s="2730" t="s">
        <v>674</v>
      </c>
      <c r="D4" s="2726"/>
      <c r="E4" s="2731"/>
      <c r="F4" s="2217" t="s">
        <v>675</v>
      </c>
      <c r="G4" s="2732" t="s">
        <v>676</v>
      </c>
      <c r="H4" s="2223"/>
      <c r="I4" s="2223"/>
      <c r="J4" s="2223"/>
      <c r="K4" s="2223"/>
      <c r="L4" s="2223"/>
      <c r="M4" s="2223"/>
      <c r="N4" s="2223"/>
      <c r="O4" s="2223"/>
      <c r="P4" s="2223"/>
      <c r="Q4" s="2223"/>
      <c r="R4" s="2223"/>
    </row>
    <row r="5" ht="37.2" spans="1:18">
      <c r="A5" s="2727"/>
      <c r="B5" s="2005" t="s">
        <v>677</v>
      </c>
      <c r="C5" s="2730" t="s">
        <v>678</v>
      </c>
      <c r="D5" s="2726"/>
      <c r="E5" s="2731"/>
      <c r="F5" s="2005" t="s">
        <v>456</v>
      </c>
      <c r="G5" s="2732" t="s">
        <v>679</v>
      </c>
      <c r="H5" s="2223"/>
      <c r="I5" s="2223"/>
      <c r="J5" s="2223"/>
      <c r="K5" s="2223"/>
      <c r="L5" s="2223"/>
      <c r="M5" s="2223"/>
      <c r="N5" s="2223"/>
      <c r="O5" s="2223"/>
      <c r="P5" s="2223"/>
      <c r="Q5" s="2223"/>
      <c r="R5" s="2223"/>
    </row>
    <row r="6" ht="48" spans="1:18">
      <c r="A6" s="2727"/>
      <c r="B6" s="2005" t="s">
        <v>675</v>
      </c>
      <c r="C6" s="2732" t="s">
        <v>676</v>
      </c>
      <c r="D6" s="2726"/>
      <c r="E6" s="2731"/>
      <c r="F6" s="2005" t="s">
        <v>680</v>
      </c>
      <c r="G6" s="2732" t="s">
        <v>681</v>
      </c>
      <c r="H6" s="2223"/>
      <c r="I6" s="2223"/>
      <c r="J6" s="2223"/>
      <c r="K6" s="2223"/>
      <c r="L6" s="2223"/>
      <c r="M6" s="2223"/>
      <c r="N6" s="2223"/>
      <c r="O6" s="2223"/>
      <c r="P6" s="2223"/>
      <c r="Q6" s="2223"/>
      <c r="R6" s="2223"/>
    </row>
    <row r="7" ht="36.75" spans="1:18">
      <c r="A7" s="2727"/>
      <c r="B7" s="2005" t="s">
        <v>456</v>
      </c>
      <c r="C7" s="2732" t="s">
        <v>679</v>
      </c>
      <c r="D7" s="2733"/>
      <c r="E7" s="2734"/>
      <c r="F7" s="2735" t="s">
        <v>682</v>
      </c>
      <c r="G7" s="2736" t="s">
        <v>683</v>
      </c>
      <c r="H7" s="2223"/>
      <c r="I7" s="2223"/>
      <c r="J7" s="2223"/>
      <c r="K7" s="2223"/>
      <c r="L7" s="2223"/>
      <c r="M7" s="2223"/>
      <c r="N7" s="2223"/>
      <c r="O7" s="2223"/>
      <c r="P7" s="2223"/>
      <c r="Q7" s="2223"/>
      <c r="R7" s="2223"/>
    </row>
    <row r="8" ht="24" spans="1:18">
      <c r="A8" s="2727"/>
      <c r="B8" s="2005" t="s">
        <v>680</v>
      </c>
      <c r="C8" s="2732" t="s">
        <v>681</v>
      </c>
      <c r="D8" s="2733"/>
      <c r="E8" s="2733"/>
      <c r="F8" s="2126"/>
      <c r="G8" s="2126"/>
      <c r="H8" s="2223"/>
      <c r="I8" s="2223"/>
      <c r="J8" s="2223"/>
      <c r="K8" s="2223"/>
      <c r="L8" s="2223"/>
      <c r="M8" s="2223"/>
      <c r="N8" s="2223"/>
      <c r="O8" s="2223"/>
      <c r="P8" s="2223"/>
      <c r="Q8" s="2223"/>
      <c r="R8" s="2223"/>
    </row>
    <row r="9" ht="24" spans="1:18">
      <c r="A9" s="2727"/>
      <c r="B9" s="2005" t="s">
        <v>684</v>
      </c>
      <c r="C9" s="2730" t="s">
        <v>685</v>
      </c>
      <c r="D9" s="2726"/>
      <c r="E9" s="2733"/>
      <c r="F9" s="2126"/>
      <c r="G9" s="2126"/>
      <c r="H9" s="2223"/>
      <c r="I9" s="2223"/>
      <c r="J9" s="2223"/>
      <c r="K9" s="2223"/>
      <c r="L9" s="2223"/>
      <c r="M9" s="2223"/>
      <c r="N9" s="2223"/>
      <c r="O9" s="2223"/>
      <c r="P9" s="2223"/>
      <c r="Q9" s="2223"/>
      <c r="R9" s="2223"/>
    </row>
    <row r="10" s="2707" customFormat="1" ht="14.55" spans="1:29">
      <c r="A10" s="2737"/>
      <c r="B10" s="2738" t="s">
        <v>686</v>
      </c>
      <c r="C10" s="2739"/>
      <c r="D10" s="2726"/>
      <c r="E10" s="2726"/>
      <c r="F10" s="2126"/>
      <c r="G10" s="2126"/>
      <c r="H10" s="2740"/>
      <c r="I10" s="2770"/>
      <c r="J10" s="2771"/>
      <c r="K10" s="2740"/>
      <c r="L10" s="2770"/>
      <c r="M10" s="2771"/>
      <c r="N10" s="2740"/>
      <c r="O10" s="2770"/>
      <c r="P10" s="2771"/>
      <c r="Q10" s="2740"/>
      <c r="R10" s="2770"/>
      <c r="S10" s="2223"/>
      <c r="T10" s="2223"/>
      <c r="U10" s="2223"/>
      <c r="V10" s="2223"/>
      <c r="W10" s="2223"/>
      <c r="X10" s="2223"/>
      <c r="Y10" s="2223"/>
      <c r="Z10" s="2223"/>
      <c r="AA10" s="2223"/>
      <c r="AB10" s="2223"/>
      <c r="AC10" s="2223"/>
    </row>
    <row r="11" s="2707" customFormat="1" spans="1:29">
      <c r="A11" s="2741"/>
      <c r="B11" s="2733"/>
      <c r="C11" s="2726"/>
      <c r="D11" s="2726"/>
      <c r="E11" s="2726"/>
      <c r="F11" s="2733"/>
      <c r="G11" s="2742"/>
      <c r="H11" s="2740"/>
      <c r="I11" s="2770"/>
      <c r="J11" s="2771"/>
      <c r="K11" s="2740"/>
      <c r="L11" s="2770"/>
      <c r="M11" s="2771"/>
      <c r="N11" s="2740"/>
      <c r="O11" s="2770"/>
      <c r="P11" s="2771"/>
      <c r="Q11" s="2740"/>
      <c r="R11" s="2770"/>
      <c r="S11" s="2223"/>
      <c r="T11" s="2223"/>
      <c r="U11" s="2223"/>
      <c r="V11" s="2223"/>
      <c r="W11" s="2223"/>
      <c r="X11" s="2223"/>
      <c r="Y11" s="2223"/>
      <c r="Z11" s="2223"/>
      <c r="AA11" s="2223"/>
      <c r="AB11" s="2223"/>
      <c r="AC11" s="2223"/>
    </row>
    <row r="12" s="2706" customFormat="1" ht="17.4" spans="1:29">
      <c r="A12" s="2741"/>
      <c r="B12" s="2733"/>
      <c r="C12" s="2726"/>
      <c r="D12" s="2743"/>
      <c r="E12" s="2726"/>
      <c r="F12" s="2733"/>
      <c r="G12" s="2742"/>
      <c r="H12" s="2744"/>
      <c r="I12" s="2772"/>
      <c r="J12" s="2744"/>
      <c r="K12" s="2744"/>
      <c r="L12" s="2773"/>
      <c r="M12" s="2744"/>
      <c r="N12" s="2774"/>
      <c r="O12" s="2775"/>
      <c r="P12" s="2774"/>
      <c r="Q12" s="2774"/>
      <c r="R12" s="2777"/>
      <c r="S12" s="2778"/>
      <c r="T12" s="2778"/>
      <c r="U12" s="2778"/>
      <c r="V12" s="2778"/>
      <c r="W12" s="2778"/>
      <c r="X12" s="2778"/>
      <c r="Y12" s="2778"/>
      <c r="Z12" s="2778"/>
      <c r="AA12" s="2778"/>
      <c r="AB12" s="2778"/>
      <c r="AC12" s="2778"/>
    </row>
    <row r="13" ht="15.15" spans="1:7">
      <c r="A13" s="2745" t="s">
        <v>687</v>
      </c>
      <c r="B13" s="2743"/>
      <c r="C13" s="2743"/>
      <c r="D13" s="2741"/>
      <c r="E13" s="2743"/>
      <c r="F13" s="2743"/>
      <c r="G13" s="2743"/>
    </row>
    <row r="14" ht="14.55" spans="1:7">
      <c r="A14" s="2746"/>
      <c r="B14" s="2746"/>
      <c r="C14" s="2747" t="s">
        <v>666</v>
      </c>
      <c r="D14" s="2726"/>
      <c r="E14" s="2748"/>
      <c r="F14" s="2748"/>
      <c r="G14" s="2720" t="s">
        <v>667</v>
      </c>
    </row>
    <row r="15" ht="48" spans="1:7">
      <c r="A15" s="2749" t="s">
        <v>668</v>
      </c>
      <c r="B15" s="2750" t="s">
        <v>669</v>
      </c>
      <c r="C15" s="2751" t="str">
        <f>C3</f>
        <v>估价对象周边居住用地比例、居住小区规模和社区发展完善程度，综合评价居住社区成熟度一般</v>
      </c>
      <c r="D15" s="2726"/>
      <c r="E15" s="2752" t="s">
        <v>668</v>
      </c>
      <c r="F15" s="2750" t="s">
        <v>671</v>
      </c>
      <c r="G15" s="2753" t="str">
        <f>G3</f>
        <v>估价对象位于XX开发区，园区建设成熟度XX，产业集聚程度XX</v>
      </c>
    </row>
    <row r="16" ht="37.2" spans="1:7">
      <c r="A16" s="2754"/>
      <c r="B16" s="2755" t="s">
        <v>673</v>
      </c>
      <c r="C16" s="2756" t="str">
        <f>C4</f>
        <v>估价对象位于XX商圈，周边商业氛围成熟，人流量大，商业繁华度好</v>
      </c>
      <c r="D16" s="2726"/>
      <c r="E16" s="2757"/>
      <c r="F16" s="2758" t="s">
        <v>675</v>
      </c>
      <c r="G16" s="2759" t="str">
        <f>G4</f>
        <v>估价对象周边道路状况、公共交通通达情况、停车便捷程度，综合评价交通便捷度较好</v>
      </c>
    </row>
    <row r="17" ht="37.2" spans="1:7">
      <c r="A17" s="2754"/>
      <c r="B17" s="2755" t="s">
        <v>677</v>
      </c>
      <c r="C17" s="2756" t="str">
        <f>C5</f>
        <v>估价对象位于XX商圈，周边办公楼项目较多，入驻率高，办公集聚程度较好</v>
      </c>
      <c r="D17" s="2733"/>
      <c r="E17" s="2757"/>
      <c r="F17" s="2758" t="s">
        <v>688</v>
      </c>
      <c r="G17" s="2760"/>
    </row>
    <row r="18" ht="48" spans="1:7">
      <c r="A18" s="2754"/>
      <c r="B18" s="2758" t="s">
        <v>675</v>
      </c>
      <c r="C18" s="2759" t="str">
        <f>C6</f>
        <v>估价对象周边道路状况、公共交通通达情况、停车便捷程度，综合评价交通便捷度较好</v>
      </c>
      <c r="D18" s="2733"/>
      <c r="E18" s="2757"/>
      <c r="F18" s="2758" t="s">
        <v>682</v>
      </c>
      <c r="G18" s="2759" t="str">
        <f>G7</f>
        <v>该园区内是否有污染型企业，绿化情况，卫生条件，整体环境状况判断</v>
      </c>
    </row>
    <row r="19" ht="24" spans="1:7">
      <c r="A19" s="2754"/>
      <c r="B19" s="2758" t="s">
        <v>688</v>
      </c>
      <c r="C19" s="2760"/>
      <c r="D19" s="2726"/>
      <c r="E19" s="2757"/>
      <c r="F19" s="2005" t="s">
        <v>456</v>
      </c>
      <c r="G19" s="2759" t="str">
        <f>G5</f>
        <v>估价对象所在区域公共配套设施齐备情况</v>
      </c>
    </row>
    <row r="20" ht="24" spans="1:7">
      <c r="A20" s="2754"/>
      <c r="B20" s="2758" t="s">
        <v>689</v>
      </c>
      <c r="C20" s="2756" t="str">
        <f>C9</f>
        <v>区域自然环境：；人文环境；综合评价环境状况一般</v>
      </c>
      <c r="D20" s="2733"/>
      <c r="E20" s="2757"/>
      <c r="F20" s="2005" t="s">
        <v>680</v>
      </c>
      <c r="G20" s="2759" t="str">
        <f>G6</f>
        <v>估价对象所在区域基础设施水平</v>
      </c>
    </row>
    <row r="21" ht="24" spans="1:7">
      <c r="A21" s="2754"/>
      <c r="B21" s="2005" t="s">
        <v>456</v>
      </c>
      <c r="C21" s="2759" t="str">
        <f>C7</f>
        <v>估价对象所在区域公共配套设施齐备情况</v>
      </c>
      <c r="D21" s="2726"/>
      <c r="E21" s="2757"/>
      <c r="F21" s="2758" t="s">
        <v>690</v>
      </c>
      <c r="G21" s="2761"/>
    </row>
    <row r="22" ht="13.5" customHeight="1" spans="1:7">
      <c r="A22" s="2754"/>
      <c r="B22" s="2005" t="s">
        <v>680</v>
      </c>
      <c r="C22" s="2759" t="str">
        <f>C8</f>
        <v>估价对象所在区域基础设施水平</v>
      </c>
      <c r="D22" s="2726"/>
      <c r="E22" s="2757"/>
      <c r="F22" s="2758" t="s">
        <v>686</v>
      </c>
      <c r="G22" s="2760"/>
    </row>
    <row r="23" s="2223" customFormat="1" ht="14.55" spans="1:18">
      <c r="A23" s="2754"/>
      <c r="B23" s="2758" t="s">
        <v>690</v>
      </c>
      <c r="C23" s="2761"/>
      <c r="D23" s="2688"/>
      <c r="E23" s="2762"/>
      <c r="F23" s="2763" t="s">
        <v>402</v>
      </c>
      <c r="G23" s="2764" t="s">
        <v>273</v>
      </c>
      <c r="H23" s="2712"/>
      <c r="I23" s="2713"/>
      <c r="J23" s="2712"/>
      <c r="K23" s="2712"/>
      <c r="L23" s="2713"/>
      <c r="M23" s="2712"/>
      <c r="N23" s="2712"/>
      <c r="O23" s="2713"/>
      <c r="P23" s="2712"/>
      <c r="Q23" s="2712"/>
      <c r="R23" s="2714"/>
    </row>
    <row r="24" s="2223" customFormat="1" ht="14.55" spans="1:18">
      <c r="A24" s="2765"/>
      <c r="B24" s="2763" t="s">
        <v>686</v>
      </c>
      <c r="C24" s="2766">
        <f>C10</f>
        <v>0</v>
      </c>
      <c r="D24" s="2688"/>
      <c r="E24" s="2767"/>
      <c r="F24" s="2767"/>
      <c r="G24" s="2768"/>
      <c r="H24" s="2712"/>
      <c r="I24" s="2713"/>
      <c r="J24" s="2712"/>
      <c r="K24" s="2712"/>
      <c r="L24" s="2713"/>
      <c r="M24" s="2712"/>
      <c r="N24" s="2712"/>
      <c r="O24" s="2713"/>
      <c r="P24" s="2712"/>
      <c r="Q24" s="2712"/>
      <c r="R24" s="2714"/>
    </row>
    <row r="25" s="2223" customFormat="1" spans="2:18">
      <c r="B25" s="2712"/>
      <c r="C25" s="2712"/>
      <c r="D25" s="2712"/>
      <c r="H25" s="2712"/>
      <c r="I25" s="2713"/>
      <c r="J25" s="2712"/>
      <c r="K25" s="2712"/>
      <c r="L25" s="2713"/>
      <c r="M25" s="2712"/>
      <c r="N25" s="2712"/>
      <c r="O25" s="2713"/>
      <c r="P25" s="2712"/>
      <c r="Q25" s="2712"/>
      <c r="R25" s="2714"/>
    </row>
    <row r="26" s="2223" customFormat="1" spans="2:18">
      <c r="B26" s="2712"/>
      <c r="C26" s="2712"/>
      <c r="D26" s="2712"/>
      <c r="H26" s="2712"/>
      <c r="I26" s="2713"/>
      <c r="J26" s="2712"/>
      <c r="K26" s="2712"/>
      <c r="L26" s="2713"/>
      <c r="M26" s="2712"/>
      <c r="N26" s="2712"/>
      <c r="O26" s="2713"/>
      <c r="P26" s="2712"/>
      <c r="Q26" s="2712"/>
      <c r="R26" s="2714"/>
    </row>
    <row r="27" s="2223" customFormat="1" spans="2:18">
      <c r="B27" s="2712"/>
      <c r="C27" s="2712"/>
      <c r="D27" s="2712"/>
      <c r="H27" s="2712"/>
      <c r="I27" s="2713"/>
      <c r="J27" s="2712"/>
      <c r="K27" s="2712"/>
      <c r="L27" s="2713"/>
      <c r="M27" s="2712"/>
      <c r="N27" s="2712"/>
      <c r="O27" s="2713"/>
      <c r="P27" s="2712"/>
      <c r="Q27" s="2712"/>
      <c r="R27" s="2714"/>
    </row>
    <row r="28" s="2223" customFormat="1" spans="2:18">
      <c r="B28" s="2712"/>
      <c r="C28" s="2712"/>
      <c r="D28" s="2712"/>
      <c r="H28" s="2712"/>
      <c r="I28" s="2713"/>
      <c r="J28" s="2712"/>
      <c r="K28" s="2712"/>
      <c r="L28" s="2713"/>
      <c r="M28" s="2712"/>
      <c r="N28" s="2712"/>
      <c r="O28" s="2713"/>
      <c r="P28" s="2712"/>
      <c r="Q28" s="2712"/>
      <c r="R28" s="2714"/>
    </row>
    <row r="29" s="2223" customFormat="1" spans="2:18">
      <c r="B29" s="2712"/>
      <c r="C29" s="2712"/>
      <c r="D29" s="2712"/>
      <c r="H29" s="2712"/>
      <c r="I29" s="2713"/>
      <c r="J29" s="2712"/>
      <c r="K29" s="2712"/>
      <c r="L29" s="2713"/>
      <c r="M29" s="2712"/>
      <c r="N29" s="2712"/>
      <c r="O29" s="2713"/>
      <c r="P29" s="2712"/>
      <c r="Q29" s="2712"/>
      <c r="R29" s="2714"/>
    </row>
    <row r="30" s="2223" customFormat="1" spans="2:18">
      <c r="B30" s="2712"/>
      <c r="C30" s="2712"/>
      <c r="D30" s="2712"/>
      <c r="H30" s="2712"/>
      <c r="I30" s="2713"/>
      <c r="J30" s="2712"/>
      <c r="K30" s="2712"/>
      <c r="L30" s="2713"/>
      <c r="M30" s="2712"/>
      <c r="N30" s="2712"/>
      <c r="O30" s="2713"/>
      <c r="P30" s="2712"/>
      <c r="Q30" s="2712"/>
      <c r="R30" s="2714"/>
    </row>
    <row r="31" s="2223" customFormat="1" spans="2:18">
      <c r="B31" s="2712"/>
      <c r="C31" s="2712"/>
      <c r="D31" s="2712"/>
      <c r="H31" s="2712"/>
      <c r="I31" s="2713"/>
      <c r="J31" s="2712"/>
      <c r="K31" s="2712"/>
      <c r="L31" s="2713"/>
      <c r="M31" s="2712"/>
      <c r="N31" s="2712"/>
      <c r="O31" s="2713"/>
      <c r="P31" s="2712"/>
      <c r="Q31" s="2712"/>
      <c r="R31" s="2714"/>
    </row>
    <row r="32" s="2223" customFormat="1" spans="2:18">
      <c r="B32" s="2712"/>
      <c r="C32" s="2712"/>
      <c r="D32" s="2712"/>
      <c r="H32" s="2712"/>
      <c r="I32" s="2713"/>
      <c r="J32" s="2712"/>
      <c r="K32" s="2712"/>
      <c r="L32" s="2713"/>
      <c r="M32" s="2712"/>
      <c r="N32" s="2712"/>
      <c r="O32" s="2713"/>
      <c r="P32" s="2712"/>
      <c r="Q32" s="2712"/>
      <c r="R32" s="2714"/>
    </row>
    <row r="33" s="2223" customFormat="1" spans="2:18">
      <c r="B33" s="2712"/>
      <c r="C33" s="2712"/>
      <c r="D33" s="2712"/>
      <c r="H33" s="2712"/>
      <c r="I33" s="2713"/>
      <c r="J33" s="2712"/>
      <c r="K33" s="2712"/>
      <c r="L33" s="2713"/>
      <c r="M33" s="2712"/>
      <c r="N33" s="2712"/>
      <c r="O33" s="2713"/>
      <c r="P33" s="2712"/>
      <c r="Q33" s="2712"/>
      <c r="R33" s="2714"/>
    </row>
    <row r="34" s="2223" customFormat="1" spans="2:18">
      <c r="B34" s="2712"/>
      <c r="C34" s="2712"/>
      <c r="D34" s="2712"/>
      <c r="H34" s="2712"/>
      <c r="I34" s="2713"/>
      <c r="J34" s="2712"/>
      <c r="K34" s="2712"/>
      <c r="L34" s="2713"/>
      <c r="M34" s="2712"/>
      <c r="N34" s="2712"/>
      <c r="O34" s="2713"/>
      <c r="P34" s="2712"/>
      <c r="Q34" s="2712"/>
      <c r="R34" s="2714"/>
    </row>
    <row r="35" s="2223" customFormat="1" spans="2:18">
      <c r="B35" s="2712"/>
      <c r="C35" s="2712"/>
      <c r="D35" s="2712"/>
      <c r="H35" s="2712"/>
      <c r="I35" s="2713"/>
      <c r="J35" s="2712"/>
      <c r="K35" s="2712"/>
      <c r="L35" s="2713"/>
      <c r="M35" s="2712"/>
      <c r="N35" s="2712"/>
      <c r="O35" s="2713"/>
      <c r="P35" s="2712"/>
      <c r="Q35" s="2712"/>
      <c r="R35" s="2714"/>
    </row>
    <row r="36" s="2223" customFormat="1" spans="2:18">
      <c r="B36" s="2712"/>
      <c r="C36" s="2712"/>
      <c r="D36" s="2712"/>
      <c r="H36" s="2712"/>
      <c r="I36" s="2713"/>
      <c r="J36" s="2712"/>
      <c r="K36" s="2712"/>
      <c r="L36" s="2713"/>
      <c r="M36" s="2712"/>
      <c r="N36" s="2712"/>
      <c r="O36" s="2713"/>
      <c r="P36" s="2712"/>
      <c r="Q36" s="2712"/>
      <c r="R36" s="2714"/>
    </row>
    <row r="37" s="2223" customFormat="1" spans="2:18">
      <c r="B37" s="2712"/>
      <c r="C37" s="2712"/>
      <c r="D37" s="2712"/>
      <c r="H37" s="2712"/>
      <c r="I37" s="2713"/>
      <c r="J37" s="2712"/>
      <c r="K37" s="2712"/>
      <c r="L37" s="2713"/>
      <c r="M37" s="2712"/>
      <c r="N37" s="2712"/>
      <c r="O37" s="2713"/>
      <c r="P37" s="2712"/>
      <c r="Q37" s="2712"/>
      <c r="R37" s="2714"/>
    </row>
    <row r="38" s="2223" customFormat="1" spans="2:18">
      <c r="B38" s="2712"/>
      <c r="C38" s="2712"/>
      <c r="D38" s="2712"/>
      <c r="E38" s="2712"/>
      <c r="F38" s="2712"/>
      <c r="G38" s="2713"/>
      <c r="H38" s="2712"/>
      <c r="I38" s="2713"/>
      <c r="J38" s="2712"/>
      <c r="K38" s="2712"/>
      <c r="L38" s="2713"/>
      <c r="M38" s="2712"/>
      <c r="N38" s="2712"/>
      <c r="O38" s="2713"/>
      <c r="P38" s="2712"/>
      <c r="Q38" s="2712"/>
      <c r="R38" s="2714"/>
    </row>
    <row r="39" s="2223" customFormat="1" spans="2:18">
      <c r="B39" s="2712"/>
      <c r="C39" s="2712"/>
      <c r="D39" s="2712"/>
      <c r="E39" s="2712"/>
      <c r="F39" s="2712"/>
      <c r="G39" s="2713"/>
      <c r="H39" s="2712"/>
      <c r="I39" s="2713"/>
      <c r="J39" s="2712"/>
      <c r="K39" s="2712"/>
      <c r="L39" s="2713"/>
      <c r="M39" s="2712"/>
      <c r="N39" s="2712"/>
      <c r="O39" s="2713"/>
      <c r="P39" s="2712"/>
      <c r="Q39" s="2712"/>
      <c r="R39" s="2714"/>
    </row>
    <row r="40" s="2223" customFormat="1" spans="2:18">
      <c r="B40" s="2712"/>
      <c r="C40" s="2712"/>
      <c r="D40" s="2712"/>
      <c r="E40" s="2712"/>
      <c r="F40" s="2712"/>
      <c r="G40" s="2713"/>
      <c r="H40" s="2712"/>
      <c r="I40" s="2713"/>
      <c r="J40" s="2712"/>
      <c r="K40" s="2712"/>
      <c r="L40" s="2713"/>
      <c r="M40" s="2712"/>
      <c r="N40" s="2712"/>
      <c r="O40" s="2713"/>
      <c r="P40" s="2712"/>
      <c r="Q40" s="2712"/>
      <c r="R40" s="2714"/>
    </row>
    <row r="41" s="2223" customFormat="1" spans="2:18">
      <c r="B41" s="2712"/>
      <c r="C41" s="2712"/>
      <c r="D41" s="2712"/>
      <c r="E41" s="2712"/>
      <c r="F41" s="2712"/>
      <c r="G41" s="2713"/>
      <c r="H41" s="2712"/>
      <c r="I41" s="2713"/>
      <c r="J41" s="2712"/>
      <c r="K41" s="2712"/>
      <c r="L41" s="2713"/>
      <c r="M41" s="2712"/>
      <c r="N41" s="2712"/>
      <c r="O41" s="2713"/>
      <c r="P41" s="2712"/>
      <c r="Q41" s="2712"/>
      <c r="R41" s="2714"/>
    </row>
    <row r="42" s="2223" customFormat="1" spans="2:18">
      <c r="B42" s="2712"/>
      <c r="C42" s="2712"/>
      <c r="D42" s="2712"/>
      <c r="E42" s="2712"/>
      <c r="F42" s="2712"/>
      <c r="G42" s="2713"/>
      <c r="H42" s="2712"/>
      <c r="I42" s="2713"/>
      <c r="J42" s="2712"/>
      <c r="K42" s="2712"/>
      <c r="L42" s="2713"/>
      <c r="M42" s="2712"/>
      <c r="N42" s="2712"/>
      <c r="O42" s="2713"/>
      <c r="P42" s="2712"/>
      <c r="Q42" s="2712"/>
      <c r="R42" s="2714"/>
    </row>
    <row r="43" s="2223" customFormat="1" spans="2:18">
      <c r="B43" s="2712"/>
      <c r="C43" s="2712"/>
      <c r="D43" s="2712"/>
      <c r="E43" s="2712"/>
      <c r="F43" s="2712"/>
      <c r="G43" s="2713"/>
      <c r="H43" s="2712"/>
      <c r="I43" s="2713"/>
      <c r="J43" s="2712"/>
      <c r="K43" s="2712"/>
      <c r="L43" s="2713"/>
      <c r="M43" s="2712"/>
      <c r="N43" s="2712"/>
      <c r="O43" s="2713"/>
      <c r="P43" s="2712"/>
      <c r="Q43" s="2712"/>
      <c r="R43" s="2714"/>
    </row>
    <row r="44" s="2223" customFormat="1" spans="2:18">
      <c r="B44" s="2712"/>
      <c r="C44" s="2712"/>
      <c r="D44" s="2712"/>
      <c r="E44" s="2712"/>
      <c r="F44" s="2712"/>
      <c r="G44" s="2713"/>
      <c r="H44" s="2712"/>
      <c r="I44" s="2713"/>
      <c r="J44" s="2712"/>
      <c r="K44" s="2712"/>
      <c r="L44" s="2713"/>
      <c r="M44" s="2712"/>
      <c r="N44" s="2712"/>
      <c r="O44" s="2713"/>
      <c r="P44" s="2712"/>
      <c r="Q44" s="2712"/>
      <c r="R44" s="2714"/>
    </row>
    <row r="45" s="2223" customFormat="1" spans="2:18">
      <c r="B45" s="2712"/>
      <c r="C45" s="2712"/>
      <c r="D45" s="2712"/>
      <c r="E45" s="2712"/>
      <c r="F45" s="2712"/>
      <c r="G45" s="2713"/>
      <c r="H45" s="2712"/>
      <c r="I45" s="2713"/>
      <c r="J45" s="2712"/>
      <c r="K45" s="2712"/>
      <c r="L45" s="2713"/>
      <c r="M45" s="2712"/>
      <c r="N45" s="2712"/>
      <c r="O45" s="2713"/>
      <c r="P45" s="2712"/>
      <c r="Q45" s="2712"/>
      <c r="R45" s="2714"/>
    </row>
    <row r="46" s="2223" customFormat="1" spans="2:18">
      <c r="B46" s="2712"/>
      <c r="C46" s="2712"/>
      <c r="D46" s="2712"/>
      <c r="E46" s="2712"/>
      <c r="F46" s="2712"/>
      <c r="G46" s="2713"/>
      <c r="H46" s="2712"/>
      <c r="I46" s="2713"/>
      <c r="J46" s="2712"/>
      <c r="K46" s="2712"/>
      <c r="L46" s="2713"/>
      <c r="M46" s="2712"/>
      <c r="N46" s="2712"/>
      <c r="O46" s="2713"/>
      <c r="P46" s="2712"/>
      <c r="Q46" s="2712"/>
      <c r="R46" s="2714"/>
    </row>
    <row r="47" s="2223" customFormat="1" spans="2:18">
      <c r="B47" s="2712"/>
      <c r="C47" s="2712"/>
      <c r="D47" s="2712"/>
      <c r="E47" s="2712"/>
      <c r="F47" s="2712"/>
      <c r="G47" s="2713"/>
      <c r="H47" s="2712"/>
      <c r="I47" s="2713"/>
      <c r="J47" s="2712"/>
      <c r="K47" s="2712"/>
      <c r="L47" s="2713"/>
      <c r="M47" s="2712"/>
      <c r="N47" s="2712"/>
      <c r="O47" s="2713"/>
      <c r="P47" s="2712"/>
      <c r="Q47" s="2712"/>
      <c r="R47" s="2714"/>
    </row>
    <row r="48" s="2223" customFormat="1" spans="2:18">
      <c r="B48" s="2712"/>
      <c r="C48" s="2712"/>
      <c r="D48" s="2712"/>
      <c r="E48" s="2712"/>
      <c r="F48" s="2712"/>
      <c r="G48" s="2713"/>
      <c r="H48" s="2712"/>
      <c r="I48" s="2713"/>
      <c r="J48" s="2712"/>
      <c r="K48" s="2712"/>
      <c r="L48" s="2713"/>
      <c r="M48" s="2712"/>
      <c r="N48" s="2712"/>
      <c r="O48" s="2713"/>
      <c r="P48" s="2712"/>
      <c r="Q48" s="2712"/>
      <c r="R48" s="2714"/>
    </row>
    <row r="49" s="2223" customFormat="1" spans="2:18">
      <c r="B49" s="2712"/>
      <c r="C49" s="2712"/>
      <c r="D49" s="2712"/>
      <c r="E49" s="2712"/>
      <c r="F49" s="2712"/>
      <c r="G49" s="2713"/>
      <c r="H49" s="2712"/>
      <c r="I49" s="2713"/>
      <c r="J49" s="2712"/>
      <c r="K49" s="2712"/>
      <c r="L49" s="2713"/>
      <c r="M49" s="2712"/>
      <c r="N49" s="2712"/>
      <c r="O49" s="2713"/>
      <c r="P49" s="2712"/>
      <c r="Q49" s="2712"/>
      <c r="R49" s="2714"/>
    </row>
    <row r="50" s="2223" customFormat="1" spans="2:18">
      <c r="B50" s="2712"/>
      <c r="C50" s="2712"/>
      <c r="D50" s="2712"/>
      <c r="E50" s="2712"/>
      <c r="F50" s="2712"/>
      <c r="G50" s="2713"/>
      <c r="H50" s="2712"/>
      <c r="I50" s="2713"/>
      <c r="J50" s="2712"/>
      <c r="K50" s="2712"/>
      <c r="L50" s="2713"/>
      <c r="M50" s="2712"/>
      <c r="N50" s="2712"/>
      <c r="O50" s="2713"/>
      <c r="P50" s="2712"/>
      <c r="Q50" s="2712"/>
      <c r="R50" s="2714"/>
    </row>
    <row r="51" s="2223" customFormat="1" spans="2:18">
      <c r="B51" s="2712"/>
      <c r="C51" s="2712"/>
      <c r="D51" s="2712"/>
      <c r="E51" s="2712"/>
      <c r="F51" s="2712"/>
      <c r="G51" s="2713"/>
      <c r="H51" s="2712"/>
      <c r="I51" s="2713"/>
      <c r="J51" s="2712"/>
      <c r="K51" s="2712"/>
      <c r="L51" s="2713"/>
      <c r="M51" s="2712"/>
      <c r="N51" s="2712"/>
      <c r="O51" s="2713"/>
      <c r="P51" s="2712"/>
      <c r="Q51" s="2712"/>
      <c r="R51" s="2714"/>
    </row>
    <row r="52" s="2223" customFormat="1" spans="2:18">
      <c r="B52" s="2712"/>
      <c r="C52" s="2712"/>
      <c r="D52" s="2712"/>
      <c r="E52" s="2712"/>
      <c r="F52" s="2712"/>
      <c r="G52" s="2713"/>
      <c r="H52" s="2712"/>
      <c r="I52" s="2713"/>
      <c r="J52" s="2712"/>
      <c r="K52" s="2712"/>
      <c r="L52" s="2713"/>
      <c r="M52" s="2712"/>
      <c r="N52" s="2712"/>
      <c r="O52" s="2713"/>
      <c r="P52" s="2712"/>
      <c r="Q52" s="2712"/>
      <c r="R52" s="2714"/>
    </row>
    <row r="53" s="2223" customFormat="1" spans="2:18">
      <c r="B53" s="2712"/>
      <c r="C53" s="2712"/>
      <c r="D53" s="2712"/>
      <c r="E53" s="2712"/>
      <c r="F53" s="2712"/>
      <c r="G53" s="2713"/>
      <c r="H53" s="2712"/>
      <c r="I53" s="2713"/>
      <c r="J53" s="2712"/>
      <c r="K53" s="2712"/>
      <c r="L53" s="2713"/>
      <c r="M53" s="2712"/>
      <c r="N53" s="2712"/>
      <c r="O53" s="2713"/>
      <c r="P53" s="2712"/>
      <c r="Q53" s="2712"/>
      <c r="R53" s="2714"/>
    </row>
    <row r="54" s="2223" customFormat="1" spans="2:18">
      <c r="B54" s="2712"/>
      <c r="C54" s="2712"/>
      <c r="D54" s="2712"/>
      <c r="E54" s="2712"/>
      <c r="F54" s="2712"/>
      <c r="G54" s="2713"/>
      <c r="H54" s="2712"/>
      <c r="I54" s="2713"/>
      <c r="J54" s="2712"/>
      <c r="K54" s="2712"/>
      <c r="L54" s="2713"/>
      <c r="M54" s="2712"/>
      <c r="N54" s="2712"/>
      <c r="O54" s="2713"/>
      <c r="P54" s="2712"/>
      <c r="Q54" s="2712"/>
      <c r="R54" s="2714"/>
    </row>
    <row r="55" s="2223" customFormat="1" spans="2:18">
      <c r="B55" s="2712"/>
      <c r="C55" s="2712"/>
      <c r="D55" s="2712"/>
      <c r="E55" s="2712"/>
      <c r="F55" s="2712"/>
      <c r="G55" s="2713"/>
      <c r="H55" s="2712"/>
      <c r="I55" s="2713"/>
      <c r="J55" s="2712"/>
      <c r="K55" s="2712"/>
      <c r="L55" s="2713"/>
      <c r="M55" s="2712"/>
      <c r="N55" s="2712"/>
      <c r="O55" s="2713"/>
      <c r="P55" s="2712"/>
      <c r="Q55" s="2712"/>
      <c r="R55" s="2714"/>
    </row>
    <row r="56" s="2223" customFormat="1" spans="2:18">
      <c r="B56" s="2712"/>
      <c r="C56" s="2712"/>
      <c r="D56" s="2712"/>
      <c r="E56" s="2712"/>
      <c r="F56" s="2712"/>
      <c r="G56" s="2713"/>
      <c r="H56" s="2712"/>
      <c r="I56" s="2713"/>
      <c r="J56" s="2712"/>
      <c r="K56" s="2712"/>
      <c r="L56" s="2713"/>
      <c r="M56" s="2712"/>
      <c r="N56" s="2712"/>
      <c r="O56" s="2713"/>
      <c r="P56" s="2712"/>
      <c r="Q56" s="2712"/>
      <c r="R56" s="2714"/>
    </row>
    <row r="57" s="2223" customFormat="1" spans="2:18">
      <c r="B57" s="2712"/>
      <c r="C57" s="2712"/>
      <c r="D57" s="2712"/>
      <c r="E57" s="2712"/>
      <c r="F57" s="2712"/>
      <c r="G57" s="2713"/>
      <c r="H57" s="2712"/>
      <c r="I57" s="2713"/>
      <c r="J57" s="2712"/>
      <c r="K57" s="2712"/>
      <c r="L57" s="2713"/>
      <c r="M57" s="2712"/>
      <c r="N57" s="2712"/>
      <c r="O57" s="2713"/>
      <c r="P57" s="2712"/>
      <c r="Q57" s="2712"/>
      <c r="R57" s="2714"/>
    </row>
    <row r="58" s="2223" customFormat="1" spans="2:18">
      <c r="B58" s="2712"/>
      <c r="C58" s="2712"/>
      <c r="D58" s="2712"/>
      <c r="E58" s="2712"/>
      <c r="F58" s="2712"/>
      <c r="G58" s="2713"/>
      <c r="H58" s="2712"/>
      <c r="I58" s="2713"/>
      <c r="J58" s="2712"/>
      <c r="K58" s="2712"/>
      <c r="L58" s="2713"/>
      <c r="M58" s="2712"/>
      <c r="N58" s="2712"/>
      <c r="O58" s="2713"/>
      <c r="P58" s="2712"/>
      <c r="Q58" s="2712"/>
      <c r="R58" s="2714"/>
    </row>
    <row r="59" s="2223" customFormat="1" spans="2:18">
      <c r="B59" s="2712"/>
      <c r="C59" s="2712"/>
      <c r="D59" s="2712"/>
      <c r="E59" s="2712"/>
      <c r="F59" s="2712"/>
      <c r="G59" s="2713"/>
      <c r="H59" s="2712"/>
      <c r="I59" s="2713"/>
      <c r="J59" s="2712"/>
      <c r="K59" s="2712"/>
      <c r="L59" s="2713"/>
      <c r="M59" s="2712"/>
      <c r="N59" s="2712"/>
      <c r="O59" s="2713"/>
      <c r="P59" s="2712"/>
      <c r="Q59" s="2712"/>
      <c r="R59" s="2714"/>
    </row>
    <row r="60" s="2223" customFormat="1" spans="2:18">
      <c r="B60" s="2712"/>
      <c r="C60" s="2712"/>
      <c r="D60" s="2712"/>
      <c r="E60" s="2712"/>
      <c r="F60" s="2712"/>
      <c r="G60" s="2713"/>
      <c r="H60" s="2712"/>
      <c r="I60" s="2713"/>
      <c r="J60" s="2712"/>
      <c r="K60" s="2712"/>
      <c r="L60" s="2713"/>
      <c r="M60" s="2712"/>
      <c r="N60" s="2712"/>
      <c r="O60" s="2713"/>
      <c r="P60" s="2712"/>
      <c r="Q60" s="2712"/>
      <c r="R60" s="2714"/>
    </row>
    <row r="61" s="2223" customFormat="1" spans="2:18">
      <c r="B61" s="2712"/>
      <c r="C61" s="2712"/>
      <c r="D61" s="2712"/>
      <c r="E61" s="2712"/>
      <c r="F61" s="2712"/>
      <c r="G61" s="2713"/>
      <c r="H61" s="2712"/>
      <c r="I61" s="2713"/>
      <c r="J61" s="2712"/>
      <c r="K61" s="2712"/>
      <c r="L61" s="2713"/>
      <c r="M61" s="2712"/>
      <c r="N61" s="2712"/>
      <c r="O61" s="2713"/>
      <c r="P61" s="2712"/>
      <c r="Q61" s="2712"/>
      <c r="R61" s="2714"/>
    </row>
    <row r="62" s="2223" customFormat="1" spans="2:18">
      <c r="B62" s="2712"/>
      <c r="C62" s="2712"/>
      <c r="D62" s="2712"/>
      <c r="E62" s="2712"/>
      <c r="F62" s="2712"/>
      <c r="G62" s="2713"/>
      <c r="H62" s="2712"/>
      <c r="I62" s="2713"/>
      <c r="J62" s="2712"/>
      <c r="K62" s="2712"/>
      <c r="L62" s="2713"/>
      <c r="M62" s="2712"/>
      <c r="N62" s="2712"/>
      <c r="O62" s="2713"/>
      <c r="P62" s="2712"/>
      <c r="Q62" s="2712"/>
      <c r="R62" s="2714"/>
    </row>
    <row r="63" s="2223" customFormat="1" spans="2:18">
      <c r="B63" s="2712"/>
      <c r="C63" s="2712"/>
      <c r="D63" s="2712"/>
      <c r="E63" s="2712"/>
      <c r="F63" s="2712"/>
      <c r="G63" s="2713"/>
      <c r="H63" s="2712"/>
      <c r="I63" s="2713"/>
      <c r="J63" s="2712"/>
      <c r="K63" s="2712"/>
      <c r="L63" s="2713"/>
      <c r="M63" s="2712"/>
      <c r="N63" s="2712"/>
      <c r="O63" s="2713"/>
      <c r="P63" s="2712"/>
      <c r="Q63" s="2712"/>
      <c r="R63" s="2714"/>
    </row>
    <row r="64" s="2223" customFormat="1" spans="2:18">
      <c r="B64" s="2712"/>
      <c r="C64" s="2712"/>
      <c r="D64" s="2712"/>
      <c r="E64" s="2712"/>
      <c r="F64" s="2712"/>
      <c r="G64" s="2713"/>
      <c r="H64" s="2712"/>
      <c r="I64" s="2713"/>
      <c r="J64" s="2712"/>
      <c r="K64" s="2712"/>
      <c r="L64" s="2713"/>
      <c r="M64" s="2712"/>
      <c r="N64" s="2712"/>
      <c r="O64" s="2713"/>
      <c r="P64" s="2712"/>
      <c r="Q64" s="2712"/>
      <c r="R64" s="2714"/>
    </row>
    <row r="65" s="2223" customFormat="1" spans="2:18">
      <c r="B65" s="2712"/>
      <c r="C65" s="2712"/>
      <c r="D65" s="2712"/>
      <c r="E65" s="2712"/>
      <c r="F65" s="2712"/>
      <c r="G65" s="2713"/>
      <c r="H65" s="2712"/>
      <c r="I65" s="2713"/>
      <c r="J65" s="2712"/>
      <c r="K65" s="2712"/>
      <c r="L65" s="2713"/>
      <c r="M65" s="2712"/>
      <c r="N65" s="2712"/>
      <c r="O65" s="2713"/>
      <c r="P65" s="2712"/>
      <c r="Q65" s="2712"/>
      <c r="R65" s="2714"/>
    </row>
    <row r="66" s="2223" customFormat="1" spans="2:18">
      <c r="B66" s="2712"/>
      <c r="C66" s="2712"/>
      <c r="D66" s="2712"/>
      <c r="E66" s="2712"/>
      <c r="F66" s="2712"/>
      <c r="G66" s="2713"/>
      <c r="H66" s="2712"/>
      <c r="I66" s="2713"/>
      <c r="J66" s="2712"/>
      <c r="K66" s="2712"/>
      <c r="L66" s="2713"/>
      <c r="M66" s="2712"/>
      <c r="N66" s="2712"/>
      <c r="O66" s="2713"/>
      <c r="P66" s="2712"/>
      <c r="Q66" s="2712"/>
      <c r="R66" s="2714"/>
    </row>
    <row r="67" s="2223" customFormat="1" spans="2:18">
      <c r="B67" s="2712"/>
      <c r="C67" s="2712"/>
      <c r="D67" s="2712"/>
      <c r="E67" s="2712"/>
      <c r="F67" s="2712"/>
      <c r="G67" s="2713"/>
      <c r="H67" s="2712"/>
      <c r="I67" s="2713"/>
      <c r="J67" s="2712"/>
      <c r="K67" s="2712"/>
      <c r="L67" s="2713"/>
      <c r="M67" s="2712"/>
      <c r="N67" s="2712"/>
      <c r="O67" s="2713"/>
      <c r="P67" s="2712"/>
      <c r="Q67" s="2712"/>
      <c r="R67" s="2714"/>
    </row>
    <row r="68" s="2223" customFormat="1" spans="2:18">
      <c r="B68" s="2712"/>
      <c r="C68" s="2712"/>
      <c r="D68" s="2712"/>
      <c r="E68" s="2712"/>
      <c r="F68" s="2712"/>
      <c r="G68" s="2713"/>
      <c r="H68" s="2712"/>
      <c r="I68" s="2713"/>
      <c r="J68" s="2712"/>
      <c r="K68" s="2712"/>
      <c r="L68" s="2713"/>
      <c r="M68" s="2712"/>
      <c r="N68" s="2712"/>
      <c r="O68" s="2713"/>
      <c r="P68" s="2712"/>
      <c r="Q68" s="2712"/>
      <c r="R68" s="2714"/>
    </row>
    <row r="69" s="2223" customFormat="1" spans="2:18">
      <c r="B69" s="2712"/>
      <c r="C69" s="2712"/>
      <c r="D69" s="2712"/>
      <c r="E69" s="2712"/>
      <c r="F69" s="2712"/>
      <c r="G69" s="2713"/>
      <c r="H69" s="2712"/>
      <c r="I69" s="2713"/>
      <c r="J69" s="2712"/>
      <c r="K69" s="2712"/>
      <c r="L69" s="2713"/>
      <c r="M69" s="2712"/>
      <c r="N69" s="2712"/>
      <c r="O69" s="2713"/>
      <c r="P69" s="2712"/>
      <c r="Q69" s="2712"/>
      <c r="R69" s="2714"/>
    </row>
    <row r="70" s="2223" customFormat="1" spans="2:18">
      <c r="B70" s="2712"/>
      <c r="C70" s="2712"/>
      <c r="D70" s="2712"/>
      <c r="E70" s="2712"/>
      <c r="F70" s="2712"/>
      <c r="G70" s="2713"/>
      <c r="H70" s="2712"/>
      <c r="I70" s="2713"/>
      <c r="J70" s="2712"/>
      <c r="K70" s="2712"/>
      <c r="L70" s="2713"/>
      <c r="M70" s="2712"/>
      <c r="N70" s="2712"/>
      <c r="O70" s="2713"/>
      <c r="P70" s="2712"/>
      <c r="Q70" s="2712"/>
      <c r="R70" s="2714"/>
    </row>
    <row r="71" s="2223" customFormat="1" spans="2:18">
      <c r="B71" s="2712"/>
      <c r="C71" s="2712"/>
      <c r="D71" s="2712"/>
      <c r="E71" s="2712"/>
      <c r="F71" s="2712"/>
      <c r="G71" s="2713"/>
      <c r="H71" s="2712"/>
      <c r="I71" s="2713"/>
      <c r="J71" s="2712"/>
      <c r="K71" s="2712"/>
      <c r="L71" s="2713"/>
      <c r="M71" s="2712"/>
      <c r="N71" s="2712"/>
      <c r="O71" s="2713"/>
      <c r="P71" s="2712"/>
      <c r="Q71" s="2712"/>
      <c r="R71" s="2714"/>
    </row>
    <row r="72" s="2223" customFormat="1" spans="2:18">
      <c r="B72" s="2712"/>
      <c r="C72" s="2712"/>
      <c r="D72" s="2712"/>
      <c r="E72" s="2712"/>
      <c r="F72" s="2712"/>
      <c r="G72" s="2713"/>
      <c r="H72" s="2712"/>
      <c r="I72" s="2713"/>
      <c r="J72" s="2712"/>
      <c r="K72" s="2712"/>
      <c r="L72" s="2713"/>
      <c r="M72" s="2712"/>
      <c r="N72" s="2712"/>
      <c r="O72" s="2713"/>
      <c r="P72" s="2712"/>
      <c r="Q72" s="2712"/>
      <c r="R72" s="2714"/>
    </row>
    <row r="73" s="2223" customFormat="1" spans="2:18">
      <c r="B73" s="2712"/>
      <c r="C73" s="2712"/>
      <c r="D73" s="2712"/>
      <c r="E73" s="2712"/>
      <c r="F73" s="2712"/>
      <c r="G73" s="2713"/>
      <c r="H73" s="2712"/>
      <c r="I73" s="2713"/>
      <c r="J73" s="2712"/>
      <c r="K73" s="2712"/>
      <c r="L73" s="2713"/>
      <c r="M73" s="2712"/>
      <c r="N73" s="2712"/>
      <c r="O73" s="2713"/>
      <c r="P73" s="2712"/>
      <c r="Q73" s="2712"/>
      <c r="R73" s="2714"/>
    </row>
    <row r="74" s="2223" customFormat="1" spans="2:18">
      <c r="B74" s="2712"/>
      <c r="C74" s="2712"/>
      <c r="D74" s="2712"/>
      <c r="E74" s="2712"/>
      <c r="F74" s="2712"/>
      <c r="G74" s="2713"/>
      <c r="H74" s="2712"/>
      <c r="I74" s="2713"/>
      <c r="J74" s="2712"/>
      <c r="K74" s="2712"/>
      <c r="L74" s="2713"/>
      <c r="M74" s="2712"/>
      <c r="N74" s="2712"/>
      <c r="O74" s="2713"/>
      <c r="P74" s="2712"/>
      <c r="Q74" s="2712"/>
      <c r="R74" s="2714"/>
    </row>
    <row r="75" s="2223" customFormat="1" spans="2:18">
      <c r="B75" s="2712"/>
      <c r="C75" s="2712"/>
      <c r="D75" s="2712"/>
      <c r="E75" s="2712"/>
      <c r="F75" s="2712"/>
      <c r="G75" s="2713"/>
      <c r="H75" s="2712"/>
      <c r="I75" s="2713"/>
      <c r="J75" s="2712"/>
      <c r="K75" s="2712"/>
      <c r="L75" s="2713"/>
      <c r="M75" s="2712"/>
      <c r="N75" s="2712"/>
      <c r="O75" s="2713"/>
      <c r="P75" s="2712"/>
      <c r="Q75" s="2712"/>
      <c r="R75" s="2714"/>
    </row>
    <row r="76" s="2223" customFormat="1" spans="2:18">
      <c r="B76" s="2712"/>
      <c r="C76" s="2712"/>
      <c r="D76" s="2712"/>
      <c r="E76" s="2712"/>
      <c r="F76" s="2712"/>
      <c r="G76" s="2713"/>
      <c r="H76" s="2712"/>
      <c r="I76" s="2713"/>
      <c r="J76" s="2712"/>
      <c r="K76" s="2712"/>
      <c r="L76" s="2713"/>
      <c r="M76" s="2712"/>
      <c r="N76" s="2712"/>
      <c r="O76" s="2713"/>
      <c r="P76" s="2712"/>
      <c r="Q76" s="2712"/>
      <c r="R76" s="2714"/>
    </row>
    <row r="77" s="2223" customFormat="1" spans="2:18">
      <c r="B77" s="2712"/>
      <c r="C77" s="2712"/>
      <c r="D77" s="2712"/>
      <c r="E77" s="2712"/>
      <c r="F77" s="2712"/>
      <c r="G77" s="2713"/>
      <c r="H77" s="2712"/>
      <c r="I77" s="2713"/>
      <c r="J77" s="2712"/>
      <c r="K77" s="2712"/>
      <c r="L77" s="2713"/>
      <c r="M77" s="2712"/>
      <c r="N77" s="2712"/>
      <c r="O77" s="2713"/>
      <c r="P77" s="2712"/>
      <c r="Q77" s="2712"/>
      <c r="R77" s="2714"/>
    </row>
    <row r="78" s="2223" customFormat="1" spans="2:18">
      <c r="B78" s="2712"/>
      <c r="C78" s="2712"/>
      <c r="D78" s="2712"/>
      <c r="E78" s="2712"/>
      <c r="F78" s="2712"/>
      <c r="G78" s="2713"/>
      <c r="H78" s="2712"/>
      <c r="I78" s="2713"/>
      <c r="J78" s="2712"/>
      <c r="K78" s="2712"/>
      <c r="L78" s="2713"/>
      <c r="M78" s="2712"/>
      <c r="N78" s="2712"/>
      <c r="O78" s="2713"/>
      <c r="P78" s="2712"/>
      <c r="Q78" s="2712"/>
      <c r="R78" s="2714"/>
    </row>
    <row r="79" s="2223" customFormat="1" spans="2:18">
      <c r="B79" s="2712"/>
      <c r="C79" s="2712"/>
      <c r="D79" s="2712"/>
      <c r="E79" s="2712"/>
      <c r="F79" s="2712"/>
      <c r="G79" s="2713"/>
      <c r="H79" s="2712"/>
      <c r="I79" s="2713"/>
      <c r="J79" s="2712"/>
      <c r="K79" s="2712"/>
      <c r="L79" s="2713"/>
      <c r="M79" s="2712"/>
      <c r="N79" s="2712"/>
      <c r="O79" s="2713"/>
      <c r="P79" s="2712"/>
      <c r="Q79" s="2712"/>
      <c r="R79" s="2714"/>
    </row>
    <row r="80" s="2223" customFormat="1" spans="2:18">
      <c r="B80" s="2712"/>
      <c r="C80" s="2712"/>
      <c r="D80" s="2712"/>
      <c r="E80" s="2712"/>
      <c r="F80" s="2712"/>
      <c r="G80" s="2713"/>
      <c r="H80" s="2712"/>
      <c r="I80" s="2713"/>
      <c r="J80" s="2712"/>
      <c r="K80" s="2712"/>
      <c r="L80" s="2713"/>
      <c r="M80" s="2712"/>
      <c r="N80" s="2712"/>
      <c r="O80" s="2713"/>
      <c r="P80" s="2712"/>
      <c r="Q80" s="2712"/>
      <c r="R80" s="2714"/>
    </row>
    <row r="81" s="2223" customFormat="1" spans="2:18">
      <c r="B81" s="2712"/>
      <c r="C81" s="2712"/>
      <c r="D81" s="2712"/>
      <c r="E81" s="2712"/>
      <c r="F81" s="2712"/>
      <c r="G81" s="2713"/>
      <c r="H81" s="2712"/>
      <c r="I81" s="2713"/>
      <c r="J81" s="2712"/>
      <c r="K81" s="2712"/>
      <c r="L81" s="2713"/>
      <c r="M81" s="2712"/>
      <c r="N81" s="2712"/>
      <c r="O81" s="2713"/>
      <c r="P81" s="2712"/>
      <c r="Q81" s="2712"/>
      <c r="R81" s="2714"/>
    </row>
    <row r="82" s="2223" customFormat="1" spans="2:18">
      <c r="B82" s="2712"/>
      <c r="C82" s="2712"/>
      <c r="D82" s="2712"/>
      <c r="E82" s="2712"/>
      <c r="F82" s="2712"/>
      <c r="G82" s="2713"/>
      <c r="H82" s="2712"/>
      <c r="I82" s="2713"/>
      <c r="J82" s="2712"/>
      <c r="K82" s="2712"/>
      <c r="L82" s="2713"/>
      <c r="M82" s="2712"/>
      <c r="N82" s="2712"/>
      <c r="O82" s="2713"/>
      <c r="P82" s="2712"/>
      <c r="Q82" s="2712"/>
      <c r="R82" s="2714"/>
    </row>
    <row r="83" s="2223" customFormat="1" spans="2:18">
      <c r="B83" s="2712"/>
      <c r="C83" s="2712"/>
      <c r="D83" s="2712"/>
      <c r="E83" s="2712"/>
      <c r="F83" s="2712"/>
      <c r="G83" s="2713"/>
      <c r="H83" s="2712"/>
      <c r="I83" s="2713"/>
      <c r="J83" s="2712"/>
      <c r="K83" s="2712"/>
      <c r="L83" s="2713"/>
      <c r="M83" s="2712"/>
      <c r="N83" s="2712"/>
      <c r="O83" s="2713"/>
      <c r="P83" s="2712"/>
      <c r="Q83" s="2712"/>
      <c r="R83" s="2714"/>
    </row>
    <row r="84" s="2223" customFormat="1" spans="2:18">
      <c r="B84" s="2712"/>
      <c r="C84" s="2712"/>
      <c r="D84" s="2712"/>
      <c r="E84" s="2712"/>
      <c r="F84" s="2712"/>
      <c r="G84" s="2713"/>
      <c r="H84" s="2712"/>
      <c r="I84" s="2713"/>
      <c r="J84" s="2712"/>
      <c r="K84" s="2712"/>
      <c r="L84" s="2713"/>
      <c r="M84" s="2712"/>
      <c r="N84" s="2712"/>
      <c r="O84" s="2713"/>
      <c r="P84" s="2712"/>
      <c r="Q84" s="2712"/>
      <c r="R84" s="2714"/>
    </row>
    <row r="85" s="2223" customFormat="1" spans="2:18">
      <c r="B85" s="2712"/>
      <c r="C85" s="2712"/>
      <c r="D85" s="2712"/>
      <c r="E85" s="2712"/>
      <c r="F85" s="2712"/>
      <c r="G85" s="2713"/>
      <c r="H85" s="2712"/>
      <c r="I85" s="2713"/>
      <c r="J85" s="2712"/>
      <c r="K85" s="2712"/>
      <c r="L85" s="2713"/>
      <c r="M85" s="2712"/>
      <c r="N85" s="2712"/>
      <c r="O85" s="2713"/>
      <c r="P85" s="2712"/>
      <c r="Q85" s="2712"/>
      <c r="R85" s="2714"/>
    </row>
    <row r="86" s="2223" customFormat="1" spans="2:18">
      <c r="B86" s="2712"/>
      <c r="C86" s="2712"/>
      <c r="D86" s="2712"/>
      <c r="E86" s="2712"/>
      <c r="F86" s="2712"/>
      <c r="G86" s="2713"/>
      <c r="H86" s="2712"/>
      <c r="I86" s="2713"/>
      <c r="J86" s="2712"/>
      <c r="K86" s="2712"/>
      <c r="L86" s="2713"/>
      <c r="M86" s="2712"/>
      <c r="N86" s="2712"/>
      <c r="O86" s="2713"/>
      <c r="P86" s="2712"/>
      <c r="Q86" s="2712"/>
      <c r="R86" s="2714"/>
    </row>
    <row r="87" s="2223" customFormat="1" spans="2:18">
      <c r="B87" s="2712"/>
      <c r="C87" s="2712"/>
      <c r="D87" s="2712"/>
      <c r="E87" s="2712"/>
      <c r="F87" s="2712"/>
      <c r="G87" s="2713"/>
      <c r="H87" s="2712"/>
      <c r="I87" s="2713"/>
      <c r="J87" s="2712"/>
      <c r="K87" s="2712"/>
      <c r="L87" s="2713"/>
      <c r="M87" s="2712"/>
      <c r="N87" s="2712"/>
      <c r="O87" s="2713"/>
      <c r="P87" s="2712"/>
      <c r="Q87" s="2712"/>
      <c r="R87" s="2714"/>
    </row>
    <row r="88" s="2223" customFormat="1" spans="2:18">
      <c r="B88" s="2712"/>
      <c r="C88" s="2712"/>
      <c r="D88" s="2712"/>
      <c r="E88" s="2712"/>
      <c r="F88" s="2712"/>
      <c r="G88" s="2713"/>
      <c r="H88" s="2712"/>
      <c r="I88" s="2713"/>
      <c r="J88" s="2712"/>
      <c r="K88" s="2712"/>
      <c r="L88" s="2713"/>
      <c r="M88" s="2712"/>
      <c r="N88" s="2712"/>
      <c r="O88" s="2713"/>
      <c r="P88" s="2712"/>
      <c r="Q88" s="2712"/>
      <c r="R88" s="2714"/>
    </row>
    <row r="89" s="2223" customFormat="1" spans="2:18">
      <c r="B89" s="2712"/>
      <c r="C89" s="2712"/>
      <c r="D89" s="2712"/>
      <c r="E89" s="2712"/>
      <c r="F89" s="2712"/>
      <c r="G89" s="2713"/>
      <c r="H89" s="2712"/>
      <c r="I89" s="2713"/>
      <c r="J89" s="2712"/>
      <c r="K89" s="2712"/>
      <c r="L89" s="2713"/>
      <c r="M89" s="2712"/>
      <c r="N89" s="2712"/>
      <c r="O89" s="2713"/>
      <c r="P89" s="2712"/>
      <c r="Q89" s="2712"/>
      <c r="R89" s="2714"/>
    </row>
    <row r="90" s="2223" customFormat="1" spans="2:18">
      <c r="B90" s="2712"/>
      <c r="C90" s="2712"/>
      <c r="D90" s="2712"/>
      <c r="E90" s="2712"/>
      <c r="F90" s="2712"/>
      <c r="G90" s="2713"/>
      <c r="H90" s="2712"/>
      <c r="I90" s="2713"/>
      <c r="J90" s="2712"/>
      <c r="K90" s="2712"/>
      <c r="L90" s="2713"/>
      <c r="M90" s="2712"/>
      <c r="N90" s="2712"/>
      <c r="O90" s="2713"/>
      <c r="P90" s="2712"/>
      <c r="Q90" s="2712"/>
      <c r="R90" s="2714"/>
    </row>
    <row r="91" s="2223" customFormat="1" spans="2:18">
      <c r="B91" s="2712"/>
      <c r="C91" s="2712"/>
      <c r="D91" s="2712"/>
      <c r="E91" s="2712"/>
      <c r="F91" s="2712"/>
      <c r="G91" s="2713"/>
      <c r="H91" s="2712"/>
      <c r="I91" s="2713"/>
      <c r="J91" s="2712"/>
      <c r="K91" s="2712"/>
      <c r="L91" s="2713"/>
      <c r="M91" s="2712"/>
      <c r="N91" s="2712"/>
      <c r="O91" s="2713"/>
      <c r="P91" s="2712"/>
      <c r="Q91" s="2712"/>
      <c r="R91" s="2714"/>
    </row>
    <row r="92" s="2223" customFormat="1" spans="2:18">
      <c r="B92" s="2712"/>
      <c r="C92" s="2712"/>
      <c r="D92" s="2712"/>
      <c r="E92" s="2712"/>
      <c r="F92" s="2712"/>
      <c r="G92" s="2713"/>
      <c r="H92" s="2712"/>
      <c r="I92" s="2713"/>
      <c r="J92" s="2712"/>
      <c r="K92" s="2712"/>
      <c r="L92" s="2713"/>
      <c r="M92" s="2712"/>
      <c r="N92" s="2712"/>
      <c r="O92" s="2713"/>
      <c r="P92" s="2712"/>
      <c r="Q92" s="2712"/>
      <c r="R92" s="2714"/>
    </row>
    <row r="93" s="2223" customFormat="1" spans="2:18">
      <c r="B93" s="2712"/>
      <c r="C93" s="2712"/>
      <c r="D93" s="2712"/>
      <c r="E93" s="2712"/>
      <c r="F93" s="2712"/>
      <c r="G93" s="2713"/>
      <c r="H93" s="2712"/>
      <c r="I93" s="2713"/>
      <c r="J93" s="2712"/>
      <c r="K93" s="2712"/>
      <c r="L93" s="2713"/>
      <c r="M93" s="2712"/>
      <c r="N93" s="2712"/>
      <c r="O93" s="2713"/>
      <c r="P93" s="2712"/>
      <c r="Q93" s="2712"/>
      <c r="R93" s="2714"/>
    </row>
    <row r="94" s="2223" customFormat="1" spans="2:18">
      <c r="B94" s="2712"/>
      <c r="C94" s="2712"/>
      <c r="D94" s="2712"/>
      <c r="E94" s="2712"/>
      <c r="F94" s="2712"/>
      <c r="G94" s="2713"/>
      <c r="H94" s="2712"/>
      <c r="I94" s="2713"/>
      <c r="J94" s="2712"/>
      <c r="K94" s="2712"/>
      <c r="L94" s="2713"/>
      <c r="M94" s="2712"/>
      <c r="N94" s="2712"/>
      <c r="O94" s="2713"/>
      <c r="P94" s="2712"/>
      <c r="Q94" s="2712"/>
      <c r="R94" s="2714"/>
    </row>
    <row r="95" s="2223" customFormat="1" spans="2:18">
      <c r="B95" s="2712"/>
      <c r="C95" s="2712"/>
      <c r="D95" s="2712"/>
      <c r="E95" s="2712"/>
      <c r="F95" s="2712"/>
      <c r="G95" s="2713"/>
      <c r="H95" s="2712"/>
      <c r="I95" s="2713"/>
      <c r="J95" s="2712"/>
      <c r="K95" s="2712"/>
      <c r="L95" s="2713"/>
      <c r="M95" s="2712"/>
      <c r="N95" s="2712"/>
      <c r="O95" s="2713"/>
      <c r="P95" s="2712"/>
      <c r="Q95" s="2712"/>
      <c r="R95" s="2714"/>
    </row>
    <row r="96" s="2223" customFormat="1" spans="2:18">
      <c r="B96" s="2712"/>
      <c r="C96" s="2712"/>
      <c r="D96" s="2712"/>
      <c r="E96" s="2712"/>
      <c r="F96" s="2712"/>
      <c r="G96" s="2713"/>
      <c r="H96" s="2712"/>
      <c r="I96" s="2713"/>
      <c r="J96" s="2712"/>
      <c r="K96" s="2712"/>
      <c r="L96" s="2713"/>
      <c r="M96" s="2712"/>
      <c r="N96" s="2712"/>
      <c r="O96" s="2713"/>
      <c r="P96" s="2712"/>
      <c r="Q96" s="2712"/>
      <c r="R96" s="2714"/>
    </row>
    <row r="97" s="2223" customFormat="1" spans="2:18">
      <c r="B97" s="2712"/>
      <c r="C97" s="2712"/>
      <c r="D97" s="2712"/>
      <c r="E97" s="2712"/>
      <c r="F97" s="2712"/>
      <c r="G97" s="2713"/>
      <c r="H97" s="2712"/>
      <c r="I97" s="2713"/>
      <c r="J97" s="2712"/>
      <c r="K97" s="2712"/>
      <c r="L97" s="2713"/>
      <c r="M97" s="2712"/>
      <c r="N97" s="2712"/>
      <c r="O97" s="2713"/>
      <c r="P97" s="2712"/>
      <c r="Q97" s="2712"/>
      <c r="R97" s="2714"/>
    </row>
    <row r="98" s="2223" customFormat="1" spans="2:18">
      <c r="B98" s="2712"/>
      <c r="C98" s="2712"/>
      <c r="D98" s="2712"/>
      <c r="E98" s="2712"/>
      <c r="F98" s="2712"/>
      <c r="G98" s="2713"/>
      <c r="H98" s="2712"/>
      <c r="I98" s="2713"/>
      <c r="J98" s="2712"/>
      <c r="K98" s="2712"/>
      <c r="L98" s="2713"/>
      <c r="M98" s="2712"/>
      <c r="N98" s="2712"/>
      <c r="O98" s="2713"/>
      <c r="P98" s="2712"/>
      <c r="Q98" s="2712"/>
      <c r="R98" s="2714"/>
    </row>
    <row r="99" s="2223" customFormat="1" spans="2:18">
      <c r="B99" s="2712"/>
      <c r="C99" s="2712"/>
      <c r="D99" s="2712"/>
      <c r="E99" s="2712"/>
      <c r="F99" s="2712"/>
      <c r="G99" s="2713"/>
      <c r="H99" s="2712"/>
      <c r="I99" s="2713"/>
      <c r="J99" s="2712"/>
      <c r="K99" s="2712"/>
      <c r="L99" s="2713"/>
      <c r="M99" s="2712"/>
      <c r="N99" s="2712"/>
      <c r="O99" s="2713"/>
      <c r="P99" s="2712"/>
      <c r="Q99" s="2712"/>
      <c r="R99" s="2714"/>
    </row>
    <row r="100" s="2223" customFormat="1" spans="2:18">
      <c r="B100" s="2712"/>
      <c r="C100" s="2712"/>
      <c r="D100" s="2712"/>
      <c r="E100" s="2712"/>
      <c r="F100" s="2712"/>
      <c r="G100" s="2713"/>
      <c r="H100" s="2712"/>
      <c r="I100" s="2713"/>
      <c r="J100" s="2712"/>
      <c r="K100" s="2712"/>
      <c r="L100" s="2713"/>
      <c r="M100" s="2712"/>
      <c r="N100" s="2712"/>
      <c r="O100" s="2713"/>
      <c r="P100" s="2712"/>
      <c r="Q100" s="2712"/>
      <c r="R100" s="2714"/>
    </row>
    <row r="101" s="2223" customFormat="1" spans="2:18">
      <c r="B101" s="2712"/>
      <c r="C101" s="2712"/>
      <c r="D101" s="2712"/>
      <c r="E101" s="2712"/>
      <c r="F101" s="2712"/>
      <c r="G101" s="2713"/>
      <c r="H101" s="2712"/>
      <c r="I101" s="2713"/>
      <c r="J101" s="2712"/>
      <c r="K101" s="2712"/>
      <c r="L101" s="2713"/>
      <c r="M101" s="2712"/>
      <c r="N101" s="2712"/>
      <c r="O101" s="2713"/>
      <c r="P101" s="2712"/>
      <c r="Q101" s="2712"/>
      <c r="R101" s="2714"/>
    </row>
    <row r="102" s="2223" customFormat="1" spans="2:18">
      <c r="B102" s="2712"/>
      <c r="C102" s="2712"/>
      <c r="D102" s="2712"/>
      <c r="E102" s="2712"/>
      <c r="F102" s="2712"/>
      <c r="G102" s="2713"/>
      <c r="H102" s="2712"/>
      <c r="I102" s="2713"/>
      <c r="J102" s="2712"/>
      <c r="K102" s="2712"/>
      <c r="L102" s="2713"/>
      <c r="M102" s="2712"/>
      <c r="N102" s="2712"/>
      <c r="O102" s="2713"/>
      <c r="P102" s="2712"/>
      <c r="Q102" s="2712"/>
      <c r="R102" s="2714"/>
    </row>
    <row r="103" s="2223" customFormat="1" spans="2:18">
      <c r="B103" s="2712"/>
      <c r="C103" s="2712"/>
      <c r="D103" s="2712"/>
      <c r="E103" s="2712"/>
      <c r="F103" s="2712"/>
      <c r="G103" s="2713"/>
      <c r="H103" s="2712"/>
      <c r="I103" s="2713"/>
      <c r="J103" s="2712"/>
      <c r="K103" s="2712"/>
      <c r="L103" s="2713"/>
      <c r="M103" s="2712"/>
      <c r="N103" s="2712"/>
      <c r="O103" s="2713"/>
      <c r="P103" s="2712"/>
      <c r="Q103" s="2712"/>
      <c r="R103" s="2714"/>
    </row>
    <row r="104" s="2223" customFormat="1" spans="2:18">
      <c r="B104" s="2712"/>
      <c r="C104" s="2712"/>
      <c r="D104" s="2712"/>
      <c r="E104" s="2712"/>
      <c r="F104" s="2712"/>
      <c r="G104" s="2713"/>
      <c r="H104" s="2712"/>
      <c r="I104" s="2713"/>
      <c r="J104" s="2712"/>
      <c r="K104" s="2712"/>
      <c r="L104" s="2713"/>
      <c r="M104" s="2712"/>
      <c r="N104" s="2712"/>
      <c r="O104" s="2713"/>
      <c r="P104" s="2712"/>
      <c r="Q104" s="2712"/>
      <c r="R104" s="2714"/>
    </row>
    <row r="105" s="2223" customFormat="1" spans="2:18">
      <c r="B105" s="2712"/>
      <c r="C105" s="2712"/>
      <c r="D105" s="2712"/>
      <c r="E105" s="2712"/>
      <c r="F105" s="2712"/>
      <c r="G105" s="2713"/>
      <c r="H105" s="2712"/>
      <c r="I105" s="2713"/>
      <c r="J105" s="2712"/>
      <c r="K105" s="2712"/>
      <c r="L105" s="2713"/>
      <c r="M105" s="2712"/>
      <c r="N105" s="2712"/>
      <c r="O105" s="2713"/>
      <c r="P105" s="2712"/>
      <c r="Q105" s="2712"/>
      <c r="R105" s="2714"/>
    </row>
    <row r="106" s="2223" customFormat="1" spans="2:18">
      <c r="B106" s="2712"/>
      <c r="C106" s="2712"/>
      <c r="D106" s="2712"/>
      <c r="E106" s="2712"/>
      <c r="F106" s="2712"/>
      <c r="G106" s="2713"/>
      <c r="H106" s="2712"/>
      <c r="I106" s="2713"/>
      <c r="J106" s="2712"/>
      <c r="K106" s="2712"/>
      <c r="L106" s="2713"/>
      <c r="M106" s="2712"/>
      <c r="N106" s="2712"/>
      <c r="O106" s="2713"/>
      <c r="P106" s="2712"/>
      <c r="Q106" s="2712"/>
      <c r="R106" s="2714"/>
    </row>
    <row r="107" s="2223" customFormat="1" spans="2:18">
      <c r="B107" s="2712"/>
      <c r="C107" s="2712"/>
      <c r="D107" s="2712"/>
      <c r="E107" s="2712"/>
      <c r="F107" s="2712"/>
      <c r="G107" s="2713"/>
      <c r="H107" s="2712"/>
      <c r="I107" s="2713"/>
      <c r="J107" s="2712"/>
      <c r="K107" s="2712"/>
      <c r="L107" s="2713"/>
      <c r="M107" s="2712"/>
      <c r="N107" s="2712"/>
      <c r="O107" s="2713"/>
      <c r="P107" s="2712"/>
      <c r="Q107" s="2712"/>
      <c r="R107" s="2714"/>
    </row>
    <row r="108" s="2223" customFormat="1" spans="2:18">
      <c r="B108" s="2712"/>
      <c r="C108" s="2712"/>
      <c r="D108" s="2712"/>
      <c r="E108" s="2712"/>
      <c r="F108" s="2712"/>
      <c r="G108" s="2713"/>
      <c r="H108" s="2712"/>
      <c r="I108" s="2713"/>
      <c r="J108" s="2712"/>
      <c r="K108" s="2712"/>
      <c r="L108" s="2713"/>
      <c r="M108" s="2712"/>
      <c r="N108" s="2712"/>
      <c r="O108" s="2713"/>
      <c r="P108" s="2712"/>
      <c r="Q108" s="2712"/>
      <c r="R108" s="2714"/>
    </row>
    <row r="109" s="2223" customFormat="1" spans="2:18">
      <c r="B109" s="2712"/>
      <c r="C109" s="2712"/>
      <c r="D109" s="2712"/>
      <c r="E109" s="2712"/>
      <c r="F109" s="2712"/>
      <c r="G109" s="2713"/>
      <c r="H109" s="2712"/>
      <c r="I109" s="2713"/>
      <c r="J109" s="2712"/>
      <c r="K109" s="2712"/>
      <c r="L109" s="2713"/>
      <c r="M109" s="2712"/>
      <c r="N109" s="2712"/>
      <c r="O109" s="2713"/>
      <c r="P109" s="2712"/>
      <c r="Q109" s="2712"/>
      <c r="R109" s="2714"/>
    </row>
    <row r="110" s="2223" customFormat="1" spans="2:18">
      <c r="B110" s="2712"/>
      <c r="C110" s="2712"/>
      <c r="D110" s="2712"/>
      <c r="E110" s="2712"/>
      <c r="F110" s="2712"/>
      <c r="G110" s="2713"/>
      <c r="H110" s="2712"/>
      <c r="I110" s="2713"/>
      <c r="J110" s="2712"/>
      <c r="K110" s="2712"/>
      <c r="L110" s="2713"/>
      <c r="M110" s="2712"/>
      <c r="N110" s="2712"/>
      <c r="O110" s="2713"/>
      <c r="P110" s="2712"/>
      <c r="Q110" s="2712"/>
      <c r="R110" s="2714"/>
    </row>
    <row r="111" s="2223" customFormat="1" spans="2:18">
      <c r="B111" s="2712"/>
      <c r="C111" s="2712"/>
      <c r="D111" s="2712"/>
      <c r="E111" s="2712"/>
      <c r="F111" s="2712"/>
      <c r="G111" s="2713"/>
      <c r="H111" s="2712"/>
      <c r="I111" s="2713"/>
      <c r="J111" s="2712"/>
      <c r="K111" s="2712"/>
      <c r="L111" s="2713"/>
      <c r="M111" s="2712"/>
      <c r="N111" s="2712"/>
      <c r="O111" s="2713"/>
      <c r="P111" s="2712"/>
      <c r="Q111" s="2712"/>
      <c r="R111" s="2714"/>
    </row>
    <row r="112" s="2223" customFormat="1" spans="2:18">
      <c r="B112" s="2712"/>
      <c r="C112" s="2712"/>
      <c r="D112" s="2712"/>
      <c r="E112" s="2712"/>
      <c r="F112" s="2712"/>
      <c r="G112" s="2713"/>
      <c r="H112" s="2712"/>
      <c r="I112" s="2713"/>
      <c r="J112" s="2712"/>
      <c r="K112" s="2712"/>
      <c r="L112" s="2713"/>
      <c r="M112" s="2712"/>
      <c r="N112" s="2712"/>
      <c r="O112" s="2713"/>
      <c r="P112" s="2712"/>
      <c r="Q112" s="2712"/>
      <c r="R112" s="2714"/>
    </row>
    <row r="113" s="2223" customFormat="1" spans="2:18">
      <c r="B113" s="2712"/>
      <c r="C113" s="2712"/>
      <c r="D113" s="2712"/>
      <c r="E113" s="2712"/>
      <c r="F113" s="2712"/>
      <c r="G113" s="2713"/>
      <c r="H113" s="2712"/>
      <c r="I113" s="2713"/>
      <c r="J113" s="2712"/>
      <c r="K113" s="2712"/>
      <c r="L113" s="2713"/>
      <c r="M113" s="2712"/>
      <c r="N113" s="2712"/>
      <c r="O113" s="2713"/>
      <c r="P113" s="2712"/>
      <c r="Q113" s="2712"/>
      <c r="R113" s="2714"/>
    </row>
    <row r="114" s="2223" customFormat="1" spans="2:18">
      <c r="B114" s="2712"/>
      <c r="C114" s="2712"/>
      <c r="D114" s="2712"/>
      <c r="E114" s="2712"/>
      <c r="F114" s="2712"/>
      <c r="G114" s="2713"/>
      <c r="H114" s="2712"/>
      <c r="I114" s="2713"/>
      <c r="J114" s="2712"/>
      <c r="K114" s="2712"/>
      <c r="L114" s="2713"/>
      <c r="M114" s="2712"/>
      <c r="N114" s="2712"/>
      <c r="O114" s="2713"/>
      <c r="P114" s="2712"/>
      <c r="Q114" s="2712"/>
      <c r="R114" s="2714"/>
    </row>
    <row r="115" s="2223" customFormat="1" spans="2:18">
      <c r="B115" s="2712"/>
      <c r="C115" s="2712"/>
      <c r="D115" s="2712"/>
      <c r="E115" s="2712"/>
      <c r="F115" s="2712"/>
      <c r="G115" s="2713"/>
      <c r="H115" s="2712"/>
      <c r="I115" s="2713"/>
      <c r="J115" s="2712"/>
      <c r="K115" s="2712"/>
      <c r="L115" s="2713"/>
      <c r="M115" s="2712"/>
      <c r="N115" s="2712"/>
      <c r="O115" s="2713"/>
      <c r="P115" s="2712"/>
      <c r="Q115" s="2712"/>
      <c r="R115" s="2714"/>
    </row>
    <row r="116" s="2223" customFormat="1" spans="2:18">
      <c r="B116" s="2712"/>
      <c r="C116" s="2712"/>
      <c r="D116" s="2712"/>
      <c r="E116" s="2712"/>
      <c r="F116" s="2712"/>
      <c r="G116" s="2713"/>
      <c r="H116" s="2712"/>
      <c r="I116" s="2713"/>
      <c r="J116" s="2712"/>
      <c r="K116" s="2712"/>
      <c r="L116" s="2713"/>
      <c r="M116" s="2712"/>
      <c r="N116" s="2712"/>
      <c r="O116" s="2713"/>
      <c r="P116" s="2712"/>
      <c r="Q116" s="2712"/>
      <c r="R116" s="2714"/>
    </row>
    <row r="117" s="2223" customFormat="1" spans="2:18">
      <c r="B117" s="2712"/>
      <c r="C117" s="2712"/>
      <c r="D117" s="2712"/>
      <c r="E117" s="2712"/>
      <c r="F117" s="2712"/>
      <c r="G117" s="2713"/>
      <c r="H117" s="2712"/>
      <c r="I117" s="2713"/>
      <c r="J117" s="2712"/>
      <c r="K117" s="2712"/>
      <c r="L117" s="2713"/>
      <c r="M117" s="2712"/>
      <c r="N117" s="2712"/>
      <c r="O117" s="2713"/>
      <c r="P117" s="2712"/>
      <c r="Q117" s="2712"/>
      <c r="R117" s="2714"/>
    </row>
    <row r="118" s="2223" customFormat="1" spans="2:18">
      <c r="B118" s="2712"/>
      <c r="C118" s="2712"/>
      <c r="D118" s="2712"/>
      <c r="E118" s="2712"/>
      <c r="F118" s="2712"/>
      <c r="G118" s="2713"/>
      <c r="H118" s="2712"/>
      <c r="I118" s="2713"/>
      <c r="J118" s="2712"/>
      <c r="K118" s="2712"/>
      <c r="L118" s="2713"/>
      <c r="M118" s="2712"/>
      <c r="N118" s="2712"/>
      <c r="O118" s="2713"/>
      <c r="P118" s="2712"/>
      <c r="Q118" s="2712"/>
      <c r="R118" s="2714"/>
    </row>
    <row r="119" s="2223" customFormat="1" spans="2:18">
      <c r="B119" s="2712"/>
      <c r="C119" s="2712"/>
      <c r="D119" s="2712"/>
      <c r="E119" s="2712"/>
      <c r="F119" s="2712"/>
      <c r="G119" s="2713"/>
      <c r="H119" s="2712"/>
      <c r="I119" s="2713"/>
      <c r="J119" s="2712"/>
      <c r="K119" s="2712"/>
      <c r="L119" s="2713"/>
      <c r="M119" s="2712"/>
      <c r="N119" s="2712"/>
      <c r="O119" s="2713"/>
      <c r="P119" s="2712"/>
      <c r="Q119" s="2712"/>
      <c r="R119" s="2714"/>
    </row>
    <row r="120" s="2223" customFormat="1" spans="2:18">
      <c r="B120" s="2712"/>
      <c r="C120" s="2712"/>
      <c r="D120" s="2712"/>
      <c r="E120" s="2712"/>
      <c r="F120" s="2712"/>
      <c r="G120" s="2713"/>
      <c r="H120" s="2712"/>
      <c r="I120" s="2713"/>
      <c r="J120" s="2712"/>
      <c r="K120" s="2712"/>
      <c r="L120" s="2713"/>
      <c r="M120" s="2712"/>
      <c r="N120" s="2712"/>
      <c r="O120" s="2713"/>
      <c r="P120" s="2712"/>
      <c r="Q120" s="2712"/>
      <c r="R120" s="2714"/>
    </row>
    <row r="121" s="2223" customFormat="1" spans="2:18">
      <c r="B121" s="2712"/>
      <c r="C121" s="2712"/>
      <c r="D121" s="2712"/>
      <c r="E121" s="2712"/>
      <c r="F121" s="2712"/>
      <c r="G121" s="2713"/>
      <c r="H121" s="2712"/>
      <c r="I121" s="2713"/>
      <c r="J121" s="2712"/>
      <c r="K121" s="2712"/>
      <c r="L121" s="2713"/>
      <c r="M121" s="2712"/>
      <c r="N121" s="2712"/>
      <c r="O121" s="2713"/>
      <c r="P121" s="2712"/>
      <c r="Q121" s="2712"/>
      <c r="R121" s="2714"/>
    </row>
    <row r="122" s="2223" customFormat="1" spans="2:18">
      <c r="B122" s="2712"/>
      <c r="C122" s="2712"/>
      <c r="D122" s="2712"/>
      <c r="E122" s="2712"/>
      <c r="F122" s="2712"/>
      <c r="G122" s="2713"/>
      <c r="H122" s="2712"/>
      <c r="I122" s="2713"/>
      <c r="J122" s="2712"/>
      <c r="K122" s="2712"/>
      <c r="L122" s="2713"/>
      <c r="M122" s="2712"/>
      <c r="N122" s="2712"/>
      <c r="O122" s="2713"/>
      <c r="P122" s="2712"/>
      <c r="Q122" s="2712"/>
      <c r="R122" s="2714"/>
    </row>
    <row r="123" s="2223" customFormat="1" spans="2:18">
      <c r="B123" s="2712"/>
      <c r="C123" s="2712"/>
      <c r="D123" s="2712"/>
      <c r="E123" s="2712"/>
      <c r="F123" s="2712"/>
      <c r="G123" s="2713"/>
      <c r="H123" s="2712"/>
      <c r="I123" s="2713"/>
      <c r="J123" s="2712"/>
      <c r="K123" s="2712"/>
      <c r="L123" s="2713"/>
      <c r="M123" s="2712"/>
      <c r="N123" s="2712"/>
      <c r="O123" s="2713"/>
      <c r="P123" s="2712"/>
      <c r="Q123" s="2712"/>
      <c r="R123" s="2714"/>
    </row>
    <row r="124" s="2223" customFormat="1" spans="2:18">
      <c r="B124" s="2712"/>
      <c r="C124" s="2712"/>
      <c r="D124" s="2712"/>
      <c r="E124" s="2712"/>
      <c r="F124" s="2712"/>
      <c r="G124" s="2713"/>
      <c r="H124" s="2712"/>
      <c r="I124" s="2713"/>
      <c r="J124" s="2712"/>
      <c r="K124" s="2712"/>
      <c r="L124" s="2713"/>
      <c r="M124" s="2712"/>
      <c r="N124" s="2712"/>
      <c r="O124" s="2713"/>
      <c r="P124" s="2712"/>
      <c r="Q124" s="2712"/>
      <c r="R124" s="2714"/>
    </row>
    <row r="125" s="2223" customFormat="1" spans="2:18">
      <c r="B125" s="2712"/>
      <c r="C125" s="2712"/>
      <c r="D125" s="2712"/>
      <c r="E125" s="2712"/>
      <c r="F125" s="2712"/>
      <c r="G125" s="2713"/>
      <c r="H125" s="2712"/>
      <c r="I125" s="2713"/>
      <c r="J125" s="2712"/>
      <c r="K125" s="2712"/>
      <c r="L125" s="2713"/>
      <c r="M125" s="2712"/>
      <c r="N125" s="2712"/>
      <c r="O125" s="2713"/>
      <c r="P125" s="2712"/>
      <c r="Q125" s="2712"/>
      <c r="R125" s="2714"/>
    </row>
    <row r="126" s="2223" customFormat="1" spans="2:18">
      <c r="B126" s="2712"/>
      <c r="C126" s="2712"/>
      <c r="D126" s="2712"/>
      <c r="E126" s="2712"/>
      <c r="F126" s="2712"/>
      <c r="G126" s="2713"/>
      <c r="H126" s="2712"/>
      <c r="I126" s="2713"/>
      <c r="J126" s="2712"/>
      <c r="K126" s="2712"/>
      <c r="L126" s="2713"/>
      <c r="M126" s="2712"/>
      <c r="N126" s="2712"/>
      <c r="O126" s="2713"/>
      <c r="P126" s="2712"/>
      <c r="Q126" s="2712"/>
      <c r="R126" s="2714"/>
    </row>
    <row r="127" s="2223" customFormat="1" spans="2:18">
      <c r="B127" s="2712"/>
      <c r="C127" s="2712"/>
      <c r="D127" s="2712"/>
      <c r="E127" s="2712"/>
      <c r="F127" s="2712"/>
      <c r="G127" s="2713"/>
      <c r="H127" s="2712"/>
      <c r="I127" s="2713"/>
      <c r="J127" s="2712"/>
      <c r="K127" s="2712"/>
      <c r="L127" s="2713"/>
      <c r="M127" s="2712"/>
      <c r="N127" s="2712"/>
      <c r="O127" s="2713"/>
      <c r="P127" s="2712"/>
      <c r="Q127" s="2712"/>
      <c r="R127" s="2714"/>
    </row>
    <row r="128" s="2223" customFormat="1" spans="2:18">
      <c r="B128" s="2712"/>
      <c r="C128" s="2712"/>
      <c r="D128" s="2712"/>
      <c r="E128" s="2712"/>
      <c r="F128" s="2712"/>
      <c r="G128" s="2713"/>
      <c r="H128" s="2712"/>
      <c r="I128" s="2713"/>
      <c r="J128" s="2712"/>
      <c r="K128" s="2712"/>
      <c r="L128" s="2713"/>
      <c r="M128" s="2712"/>
      <c r="N128" s="2712"/>
      <c r="O128" s="2713"/>
      <c r="P128" s="2712"/>
      <c r="Q128" s="2712"/>
      <c r="R128" s="2714"/>
    </row>
    <row r="129" s="2223" customFormat="1" spans="2:18">
      <c r="B129" s="2712"/>
      <c r="C129" s="2712"/>
      <c r="D129" s="2712"/>
      <c r="E129" s="2712"/>
      <c r="F129" s="2712"/>
      <c r="G129" s="2713"/>
      <c r="H129" s="2712"/>
      <c r="I129" s="2713"/>
      <c r="J129" s="2712"/>
      <c r="K129" s="2712"/>
      <c r="L129" s="2713"/>
      <c r="M129" s="2712"/>
      <c r="N129" s="2712"/>
      <c r="O129" s="2713"/>
      <c r="P129" s="2712"/>
      <c r="Q129" s="2712"/>
      <c r="R129" s="2714"/>
    </row>
    <row r="130" s="2223" customFormat="1" spans="2:18">
      <c r="B130" s="2712"/>
      <c r="C130" s="2712"/>
      <c r="D130" s="2712"/>
      <c r="E130" s="2712"/>
      <c r="F130" s="2712"/>
      <c r="G130" s="2713"/>
      <c r="H130" s="2712"/>
      <c r="I130" s="2713"/>
      <c r="J130" s="2712"/>
      <c r="K130" s="2712"/>
      <c r="L130" s="2713"/>
      <c r="M130" s="2712"/>
      <c r="N130" s="2712"/>
      <c r="O130" s="2713"/>
      <c r="P130" s="2712"/>
      <c r="Q130" s="2712"/>
      <c r="R130" s="2714"/>
    </row>
    <row r="131" s="2223" customFormat="1" spans="2:18">
      <c r="B131" s="2712"/>
      <c r="C131" s="2712"/>
      <c r="D131" s="2712"/>
      <c r="E131" s="2712"/>
      <c r="F131" s="2712"/>
      <c r="G131" s="2713"/>
      <c r="H131" s="2712"/>
      <c r="I131" s="2713"/>
      <c r="J131" s="2712"/>
      <c r="K131" s="2712"/>
      <c r="L131" s="2713"/>
      <c r="M131" s="2712"/>
      <c r="N131" s="2712"/>
      <c r="O131" s="2713"/>
      <c r="P131" s="2712"/>
      <c r="Q131" s="2712"/>
      <c r="R131" s="2714"/>
    </row>
    <row r="132" s="2223" customFormat="1" spans="2:18">
      <c r="B132" s="2712"/>
      <c r="C132" s="2712"/>
      <c r="D132" s="2712"/>
      <c r="E132" s="2712"/>
      <c r="F132" s="2712"/>
      <c r="G132" s="2713"/>
      <c r="H132" s="2712"/>
      <c r="I132" s="2713"/>
      <c r="J132" s="2712"/>
      <c r="K132" s="2712"/>
      <c r="L132" s="2713"/>
      <c r="M132" s="2712"/>
      <c r="N132" s="2712"/>
      <c r="O132" s="2713"/>
      <c r="P132" s="2712"/>
      <c r="Q132" s="2712"/>
      <c r="R132" s="2714"/>
    </row>
    <row r="133" s="2223" customFormat="1" spans="2:18">
      <c r="B133" s="2712"/>
      <c r="C133" s="2712"/>
      <c r="D133" s="2712"/>
      <c r="E133" s="2712"/>
      <c r="F133" s="2712"/>
      <c r="G133" s="2713"/>
      <c r="H133" s="2712"/>
      <c r="I133" s="2713"/>
      <c r="J133" s="2712"/>
      <c r="K133" s="2712"/>
      <c r="L133" s="2713"/>
      <c r="M133" s="2712"/>
      <c r="N133" s="2712"/>
      <c r="O133" s="2713"/>
      <c r="P133" s="2712"/>
      <c r="Q133" s="2712"/>
      <c r="R133" s="2714"/>
    </row>
    <row r="134" s="2223" customFormat="1" spans="2:18">
      <c r="B134" s="2712"/>
      <c r="C134" s="2712"/>
      <c r="D134" s="2712"/>
      <c r="E134" s="2712"/>
      <c r="F134" s="2712"/>
      <c r="G134" s="2713"/>
      <c r="H134" s="2712"/>
      <c r="I134" s="2713"/>
      <c r="J134" s="2712"/>
      <c r="K134" s="2712"/>
      <c r="L134" s="2713"/>
      <c r="M134" s="2712"/>
      <c r="N134" s="2712"/>
      <c r="O134" s="2713"/>
      <c r="P134" s="2712"/>
      <c r="Q134" s="2712"/>
      <c r="R134" s="2714"/>
    </row>
    <row r="135" s="2223" customFormat="1" spans="2:18">
      <c r="B135" s="2712"/>
      <c r="C135" s="2712"/>
      <c r="D135" s="2712"/>
      <c r="E135" s="2712"/>
      <c r="F135" s="2712"/>
      <c r="G135" s="2713"/>
      <c r="H135" s="2712"/>
      <c r="I135" s="2713"/>
      <c r="J135" s="2712"/>
      <c r="K135" s="2712"/>
      <c r="L135" s="2713"/>
      <c r="M135" s="2712"/>
      <c r="N135" s="2712"/>
      <c r="O135" s="2713"/>
      <c r="P135" s="2712"/>
      <c r="Q135" s="2712"/>
      <c r="R135" s="2714"/>
    </row>
    <row r="136" s="2223" customFormat="1" spans="2:18">
      <c r="B136" s="2712"/>
      <c r="C136" s="2712"/>
      <c r="D136" s="2712"/>
      <c r="E136" s="2712"/>
      <c r="F136" s="2712"/>
      <c r="G136" s="2713"/>
      <c r="H136" s="2712"/>
      <c r="I136" s="2713"/>
      <c r="J136" s="2712"/>
      <c r="K136" s="2712"/>
      <c r="L136" s="2713"/>
      <c r="M136" s="2712"/>
      <c r="N136" s="2712"/>
      <c r="O136" s="2713"/>
      <c r="P136" s="2712"/>
      <c r="Q136" s="2712"/>
      <c r="R136" s="2714"/>
    </row>
    <row r="137" s="2223" customFormat="1" spans="2:18">
      <c r="B137" s="2712"/>
      <c r="C137" s="2712"/>
      <c r="D137" s="2712"/>
      <c r="E137" s="2712"/>
      <c r="F137" s="2712"/>
      <c r="G137" s="2713"/>
      <c r="H137" s="2712"/>
      <c r="I137" s="2713"/>
      <c r="J137" s="2712"/>
      <c r="K137" s="2712"/>
      <c r="L137" s="2713"/>
      <c r="M137" s="2712"/>
      <c r="N137" s="2712"/>
      <c r="O137" s="2713"/>
      <c r="P137" s="2712"/>
      <c r="Q137" s="2712"/>
      <c r="R137" s="2714"/>
    </row>
    <row r="138" s="2223" customFormat="1" spans="2:18">
      <c r="B138" s="2712"/>
      <c r="C138" s="2712"/>
      <c r="D138" s="2712"/>
      <c r="E138" s="2712"/>
      <c r="F138" s="2712"/>
      <c r="G138" s="2713"/>
      <c r="H138" s="2712"/>
      <c r="I138" s="2713"/>
      <c r="J138" s="2712"/>
      <c r="K138" s="2712"/>
      <c r="L138" s="2713"/>
      <c r="M138" s="2712"/>
      <c r="N138" s="2712"/>
      <c r="O138" s="2713"/>
      <c r="P138" s="2712"/>
      <c r="Q138" s="2712"/>
      <c r="R138" s="2714"/>
    </row>
    <row r="139" s="2223" customFormat="1" spans="2:18">
      <c r="B139" s="2712"/>
      <c r="C139" s="2712"/>
      <c r="D139" s="2712"/>
      <c r="E139" s="2712"/>
      <c r="F139" s="2712"/>
      <c r="G139" s="2713"/>
      <c r="H139" s="2712"/>
      <c r="I139" s="2713"/>
      <c r="J139" s="2712"/>
      <c r="K139" s="2712"/>
      <c r="L139" s="2713"/>
      <c r="M139" s="2712"/>
      <c r="N139" s="2712"/>
      <c r="O139" s="2713"/>
      <c r="P139" s="2712"/>
      <c r="Q139" s="2712"/>
      <c r="R139" s="2714"/>
    </row>
    <row r="140" s="2223" customFormat="1" spans="2:18">
      <c r="B140" s="2712"/>
      <c r="C140" s="2712"/>
      <c r="D140" s="2712"/>
      <c r="E140" s="2712"/>
      <c r="F140" s="2712"/>
      <c r="G140" s="2713"/>
      <c r="H140" s="2712"/>
      <c r="I140" s="2713"/>
      <c r="J140" s="2712"/>
      <c r="K140" s="2712"/>
      <c r="L140" s="2713"/>
      <c r="M140" s="2712"/>
      <c r="N140" s="2712"/>
      <c r="O140" s="2713"/>
      <c r="P140" s="2712"/>
      <c r="Q140" s="2712"/>
      <c r="R140" s="2714"/>
    </row>
    <row r="141" s="2223" customFormat="1" spans="2:18">
      <c r="B141" s="2712"/>
      <c r="C141" s="2712"/>
      <c r="D141" s="2712"/>
      <c r="E141" s="2712"/>
      <c r="F141" s="2712"/>
      <c r="G141" s="2713"/>
      <c r="H141" s="2712"/>
      <c r="I141" s="2713"/>
      <c r="J141" s="2712"/>
      <c r="K141" s="2712"/>
      <c r="L141" s="2713"/>
      <c r="M141" s="2712"/>
      <c r="N141" s="2712"/>
      <c r="O141" s="2713"/>
      <c r="P141" s="2712"/>
      <c r="Q141" s="2712"/>
      <c r="R141" s="2714"/>
    </row>
    <row r="142" s="2223" customFormat="1" spans="2:18">
      <c r="B142" s="2712"/>
      <c r="C142" s="2712"/>
      <c r="D142" s="2712"/>
      <c r="E142" s="2712"/>
      <c r="F142" s="2712"/>
      <c r="G142" s="2713"/>
      <c r="H142" s="2712"/>
      <c r="I142" s="2713"/>
      <c r="J142" s="2712"/>
      <c r="K142" s="2712"/>
      <c r="L142" s="2713"/>
      <c r="M142" s="2712"/>
      <c r="N142" s="2712"/>
      <c r="O142" s="2713"/>
      <c r="P142" s="2712"/>
      <c r="Q142" s="2712"/>
      <c r="R142" s="2714"/>
    </row>
    <row r="143" s="2223" customFormat="1" spans="2:18">
      <c r="B143" s="2712"/>
      <c r="C143" s="2712"/>
      <c r="D143" s="2712"/>
      <c r="E143" s="2712"/>
      <c r="F143" s="2712"/>
      <c r="G143" s="2713"/>
      <c r="H143" s="2712"/>
      <c r="I143" s="2713"/>
      <c r="J143" s="2712"/>
      <c r="K143" s="2712"/>
      <c r="L143" s="2713"/>
      <c r="M143" s="2712"/>
      <c r="N143" s="2712"/>
      <c r="O143" s="2713"/>
      <c r="P143" s="2712"/>
      <c r="Q143" s="2712"/>
      <c r="R143" s="2714"/>
    </row>
    <row r="144" s="2223" customFormat="1" spans="2:18">
      <c r="B144" s="2712"/>
      <c r="C144" s="2712"/>
      <c r="D144" s="2712"/>
      <c r="E144" s="2712"/>
      <c r="F144" s="2712"/>
      <c r="G144" s="2713"/>
      <c r="H144" s="2712"/>
      <c r="I144" s="2713"/>
      <c r="J144" s="2712"/>
      <c r="K144" s="2712"/>
      <c r="L144" s="2713"/>
      <c r="M144" s="2712"/>
      <c r="N144" s="2712"/>
      <c r="O144" s="2713"/>
      <c r="P144" s="2712"/>
      <c r="Q144" s="2712"/>
      <c r="R144" s="2714"/>
    </row>
    <row r="145" s="2223" customFormat="1" spans="2:18">
      <c r="B145" s="2712"/>
      <c r="C145" s="2712"/>
      <c r="D145" s="2712"/>
      <c r="E145" s="2712"/>
      <c r="F145" s="2712"/>
      <c r="G145" s="2713"/>
      <c r="H145" s="2712"/>
      <c r="I145" s="2713"/>
      <c r="J145" s="2712"/>
      <c r="K145" s="2712"/>
      <c r="L145" s="2713"/>
      <c r="M145" s="2712"/>
      <c r="N145" s="2712"/>
      <c r="O145" s="2713"/>
      <c r="P145" s="2712"/>
      <c r="Q145" s="2712"/>
      <c r="R145" s="2714"/>
    </row>
    <row r="146" s="2223" customFormat="1" spans="2:18">
      <c r="B146" s="2712"/>
      <c r="C146" s="2712"/>
      <c r="D146" s="2712"/>
      <c r="E146" s="2712"/>
      <c r="F146" s="2712"/>
      <c r="G146" s="2713"/>
      <c r="H146" s="2712"/>
      <c r="I146" s="2713"/>
      <c r="J146" s="2712"/>
      <c r="K146" s="2712"/>
      <c r="L146" s="2713"/>
      <c r="M146" s="2712"/>
      <c r="N146" s="2712"/>
      <c r="O146" s="2713"/>
      <c r="P146" s="2712"/>
      <c r="Q146" s="2712"/>
      <c r="R146" s="2714"/>
    </row>
    <row r="147" s="2223" customFormat="1" spans="2:18">
      <c r="B147" s="2712"/>
      <c r="C147" s="2712"/>
      <c r="D147" s="2712"/>
      <c r="E147" s="2712"/>
      <c r="F147" s="2712"/>
      <c r="G147" s="2713"/>
      <c r="H147" s="2712"/>
      <c r="I147" s="2713"/>
      <c r="J147" s="2712"/>
      <c r="K147" s="2712"/>
      <c r="L147" s="2713"/>
      <c r="M147" s="2712"/>
      <c r="N147" s="2712"/>
      <c r="O147" s="2713"/>
      <c r="P147" s="2712"/>
      <c r="Q147" s="2712"/>
      <c r="R147" s="2714"/>
    </row>
    <row r="148" s="2223" customFormat="1" spans="2:18">
      <c r="B148" s="2712"/>
      <c r="C148" s="2712"/>
      <c r="D148" s="2712"/>
      <c r="E148" s="2712"/>
      <c r="F148" s="2712"/>
      <c r="G148" s="2713"/>
      <c r="H148" s="2712"/>
      <c r="I148" s="2713"/>
      <c r="J148" s="2712"/>
      <c r="K148" s="2712"/>
      <c r="L148" s="2713"/>
      <c r="M148" s="2712"/>
      <c r="N148" s="2712"/>
      <c r="O148" s="2713"/>
      <c r="P148" s="2712"/>
      <c r="Q148" s="2712"/>
      <c r="R148" s="2714"/>
    </row>
    <row r="149" s="2223" customFormat="1" spans="2:18">
      <c r="B149" s="2712"/>
      <c r="C149" s="2712"/>
      <c r="D149" s="2712"/>
      <c r="E149" s="2712"/>
      <c r="F149" s="2712"/>
      <c r="G149" s="2713"/>
      <c r="H149" s="2712"/>
      <c r="I149" s="2713"/>
      <c r="J149" s="2712"/>
      <c r="K149" s="2712"/>
      <c r="L149" s="2713"/>
      <c r="M149" s="2712"/>
      <c r="N149" s="2712"/>
      <c r="O149" s="2713"/>
      <c r="P149" s="2712"/>
      <c r="Q149" s="2712"/>
      <c r="R149" s="2714"/>
    </row>
    <row r="150" s="2223" customFormat="1" spans="2:18">
      <c r="B150" s="2712"/>
      <c r="C150" s="2712"/>
      <c r="D150" s="2712"/>
      <c r="E150" s="2712"/>
      <c r="F150" s="2712"/>
      <c r="G150" s="2713"/>
      <c r="H150" s="2712"/>
      <c r="I150" s="2713"/>
      <c r="J150" s="2712"/>
      <c r="K150" s="2712"/>
      <c r="L150" s="2713"/>
      <c r="M150" s="2712"/>
      <c r="N150" s="2712"/>
      <c r="O150" s="2713"/>
      <c r="P150" s="2712"/>
      <c r="Q150" s="2712"/>
      <c r="R150" s="2714"/>
    </row>
    <row r="151" s="2223" customFormat="1" spans="2:18">
      <c r="B151" s="2712"/>
      <c r="C151" s="2712"/>
      <c r="D151" s="2712"/>
      <c r="E151" s="2712"/>
      <c r="F151" s="2712"/>
      <c r="G151" s="2713"/>
      <c r="H151" s="2712"/>
      <c r="I151" s="2713"/>
      <c r="J151" s="2712"/>
      <c r="K151" s="2712"/>
      <c r="L151" s="2713"/>
      <c r="M151" s="2712"/>
      <c r="N151" s="2712"/>
      <c r="O151" s="2713"/>
      <c r="P151" s="2712"/>
      <c r="Q151" s="2712"/>
      <c r="R151" s="2714"/>
    </row>
    <row r="152" s="2223" customFormat="1" spans="2:18">
      <c r="B152" s="2712"/>
      <c r="C152" s="2712"/>
      <c r="D152" s="2712"/>
      <c r="E152" s="2712"/>
      <c r="F152" s="2712"/>
      <c r="G152" s="2713"/>
      <c r="H152" s="2712"/>
      <c r="I152" s="2713"/>
      <c r="J152" s="2712"/>
      <c r="K152" s="2712"/>
      <c r="L152" s="2713"/>
      <c r="M152" s="2712"/>
      <c r="N152" s="2712"/>
      <c r="O152" s="2713"/>
      <c r="P152" s="2712"/>
      <c r="Q152" s="2712"/>
      <c r="R152" s="2714"/>
    </row>
    <row r="153" s="2223" customFormat="1" spans="2:18">
      <c r="B153" s="2712"/>
      <c r="C153" s="2712"/>
      <c r="D153" s="2712"/>
      <c r="E153" s="2712"/>
      <c r="F153" s="2712"/>
      <c r="G153" s="2713"/>
      <c r="H153" s="2712"/>
      <c r="I153" s="2713"/>
      <c r="J153" s="2712"/>
      <c r="K153" s="2712"/>
      <c r="L153" s="2713"/>
      <c r="M153" s="2712"/>
      <c r="N153" s="2712"/>
      <c r="O153" s="2713"/>
      <c r="P153" s="2712"/>
      <c r="Q153" s="2712"/>
      <c r="R153" s="2714"/>
    </row>
    <row r="154" s="2223" customFormat="1" spans="2:18">
      <c r="B154" s="2712"/>
      <c r="C154" s="2712"/>
      <c r="D154" s="2712"/>
      <c r="E154" s="2712"/>
      <c r="F154" s="2712"/>
      <c r="G154" s="2713"/>
      <c r="H154" s="2712"/>
      <c r="I154" s="2713"/>
      <c r="J154" s="2712"/>
      <c r="K154" s="2712"/>
      <c r="L154" s="2713"/>
      <c r="M154" s="2712"/>
      <c r="N154" s="2712"/>
      <c r="O154" s="2713"/>
      <c r="P154" s="2712"/>
      <c r="Q154" s="2712"/>
      <c r="R154" s="2714"/>
    </row>
    <row r="155" s="2223" customFormat="1" spans="2:18">
      <c r="B155" s="2712"/>
      <c r="C155" s="2712"/>
      <c r="D155" s="2712"/>
      <c r="E155" s="2712"/>
      <c r="F155" s="2712"/>
      <c r="G155" s="2713"/>
      <c r="H155" s="2712"/>
      <c r="I155" s="2713"/>
      <c r="J155" s="2712"/>
      <c r="K155" s="2712"/>
      <c r="L155" s="2713"/>
      <c r="M155" s="2712"/>
      <c r="N155" s="2712"/>
      <c r="O155" s="2713"/>
      <c r="P155" s="2712"/>
      <c r="Q155" s="2712"/>
      <c r="R155" s="2714"/>
    </row>
    <row r="156" s="2223" customFormat="1" spans="2:18">
      <c r="B156" s="2712"/>
      <c r="C156" s="2712"/>
      <c r="D156" s="2712"/>
      <c r="E156" s="2712"/>
      <c r="F156" s="2712"/>
      <c r="G156" s="2713"/>
      <c r="H156" s="2712"/>
      <c r="I156" s="2713"/>
      <c r="J156" s="2712"/>
      <c r="K156" s="2712"/>
      <c r="L156" s="2713"/>
      <c r="M156" s="2712"/>
      <c r="N156" s="2712"/>
      <c r="O156" s="2713"/>
      <c r="P156" s="2712"/>
      <c r="Q156" s="2712"/>
      <c r="R156" s="2714"/>
    </row>
    <row r="157" s="2223" customFormat="1" spans="2:18">
      <c r="B157" s="2712"/>
      <c r="C157" s="2712"/>
      <c r="D157" s="2712"/>
      <c r="E157" s="2712"/>
      <c r="F157" s="2712"/>
      <c r="G157" s="2713"/>
      <c r="H157" s="2712"/>
      <c r="I157" s="2713"/>
      <c r="J157" s="2712"/>
      <c r="K157" s="2712"/>
      <c r="L157" s="2713"/>
      <c r="M157" s="2712"/>
      <c r="N157" s="2712"/>
      <c r="O157" s="2713"/>
      <c r="P157" s="2712"/>
      <c r="Q157" s="2712"/>
      <c r="R157" s="2714"/>
    </row>
    <row r="158" s="2223" customFormat="1" spans="2:18">
      <c r="B158" s="2712"/>
      <c r="C158" s="2712"/>
      <c r="D158" s="2712"/>
      <c r="E158" s="2712"/>
      <c r="F158" s="2712"/>
      <c r="G158" s="2713"/>
      <c r="H158" s="2712"/>
      <c r="I158" s="2713"/>
      <c r="J158" s="2712"/>
      <c r="K158" s="2712"/>
      <c r="L158" s="2713"/>
      <c r="M158" s="2712"/>
      <c r="N158" s="2712"/>
      <c r="O158" s="2713"/>
      <c r="P158" s="2712"/>
      <c r="Q158" s="2712"/>
      <c r="R158" s="2714"/>
    </row>
    <row r="159" s="2223" customFormat="1" spans="2:18">
      <c r="B159" s="2712"/>
      <c r="C159" s="2712"/>
      <c r="D159" s="2712"/>
      <c r="E159" s="2712"/>
      <c r="F159" s="2712"/>
      <c r="G159" s="2713"/>
      <c r="H159" s="2712"/>
      <c r="I159" s="2713"/>
      <c r="J159" s="2712"/>
      <c r="K159" s="2712"/>
      <c r="L159" s="2713"/>
      <c r="M159" s="2712"/>
      <c r="N159" s="2712"/>
      <c r="O159" s="2713"/>
      <c r="P159" s="2712"/>
      <c r="Q159" s="2712"/>
      <c r="R159" s="2714"/>
    </row>
    <row r="160" s="2223" customFormat="1" spans="2:18">
      <c r="B160" s="2712"/>
      <c r="C160" s="2712"/>
      <c r="D160" s="2712"/>
      <c r="E160" s="2712"/>
      <c r="F160" s="2712"/>
      <c r="G160" s="2713"/>
      <c r="H160" s="2712"/>
      <c r="I160" s="2713"/>
      <c r="J160" s="2712"/>
      <c r="K160" s="2712"/>
      <c r="L160" s="2713"/>
      <c r="M160" s="2712"/>
      <c r="N160" s="2712"/>
      <c r="O160" s="2713"/>
      <c r="P160" s="2712"/>
      <c r="Q160" s="2712"/>
      <c r="R160" s="2714"/>
    </row>
    <row r="161" s="2223" customFormat="1" spans="2:18">
      <c r="B161" s="2712"/>
      <c r="C161" s="2712"/>
      <c r="D161" s="2712"/>
      <c r="E161" s="2712"/>
      <c r="F161" s="2712"/>
      <c r="G161" s="2713"/>
      <c r="H161" s="2712"/>
      <c r="I161" s="2713"/>
      <c r="J161" s="2712"/>
      <c r="K161" s="2712"/>
      <c r="L161" s="2713"/>
      <c r="M161" s="2712"/>
      <c r="N161" s="2712"/>
      <c r="O161" s="2713"/>
      <c r="P161" s="2712"/>
      <c r="Q161" s="2712"/>
      <c r="R161" s="2714"/>
    </row>
    <row r="162" s="2223" customFormat="1" spans="2:18">
      <c r="B162" s="2712"/>
      <c r="C162" s="2712"/>
      <c r="D162" s="2712"/>
      <c r="E162" s="2712"/>
      <c r="F162" s="2712"/>
      <c r="G162" s="2713"/>
      <c r="H162" s="2712"/>
      <c r="I162" s="2713"/>
      <c r="J162" s="2712"/>
      <c r="K162" s="2712"/>
      <c r="L162" s="2713"/>
      <c r="M162" s="2712"/>
      <c r="N162" s="2712"/>
      <c r="O162" s="2713"/>
      <c r="P162" s="2712"/>
      <c r="Q162" s="2712"/>
      <c r="R162" s="2714"/>
    </row>
    <row r="163" s="2223" customFormat="1" spans="2:18">
      <c r="B163" s="2712"/>
      <c r="C163" s="2712"/>
      <c r="D163" s="2712"/>
      <c r="E163" s="2712"/>
      <c r="F163" s="2712"/>
      <c r="G163" s="2713"/>
      <c r="H163" s="2712"/>
      <c r="I163" s="2713"/>
      <c r="J163" s="2712"/>
      <c r="K163" s="2712"/>
      <c r="L163" s="2713"/>
      <c r="M163" s="2712"/>
      <c r="N163" s="2712"/>
      <c r="O163" s="2713"/>
      <c r="P163" s="2712"/>
      <c r="Q163" s="2712"/>
      <c r="R163" s="2714"/>
    </row>
    <row r="164" s="2223" customFormat="1" spans="2:18">
      <c r="B164" s="2712"/>
      <c r="C164" s="2712"/>
      <c r="D164" s="2712"/>
      <c r="E164" s="2712"/>
      <c r="F164" s="2712"/>
      <c r="G164" s="2713"/>
      <c r="H164" s="2712"/>
      <c r="I164" s="2713"/>
      <c r="J164" s="2712"/>
      <c r="K164" s="2712"/>
      <c r="L164" s="2713"/>
      <c r="M164" s="2712"/>
      <c r="N164" s="2712"/>
      <c r="O164" s="2713"/>
      <c r="P164" s="2712"/>
      <c r="Q164" s="2712"/>
      <c r="R164" s="2714"/>
    </row>
    <row r="165" s="2223" customFormat="1" spans="2:18">
      <c r="B165" s="2712"/>
      <c r="C165" s="2712"/>
      <c r="D165" s="2712"/>
      <c r="E165" s="2712"/>
      <c r="F165" s="2712"/>
      <c r="G165" s="2713"/>
      <c r="H165" s="2712"/>
      <c r="I165" s="2713"/>
      <c r="J165" s="2712"/>
      <c r="K165" s="2712"/>
      <c r="L165" s="2713"/>
      <c r="M165" s="2712"/>
      <c r="N165" s="2712"/>
      <c r="O165" s="2713"/>
      <c r="P165" s="2712"/>
      <c r="Q165" s="2712"/>
      <c r="R165" s="2714"/>
    </row>
    <row r="166" s="2223" customFormat="1" spans="2:18">
      <c r="B166" s="2712"/>
      <c r="C166" s="2712"/>
      <c r="D166" s="2712"/>
      <c r="E166" s="2712"/>
      <c r="F166" s="2712"/>
      <c r="G166" s="2713"/>
      <c r="H166" s="2712"/>
      <c r="I166" s="2713"/>
      <c r="J166" s="2712"/>
      <c r="K166" s="2712"/>
      <c r="L166" s="2713"/>
      <c r="M166" s="2712"/>
      <c r="N166" s="2712"/>
      <c r="O166" s="2713"/>
      <c r="P166" s="2712"/>
      <c r="Q166" s="2712"/>
      <c r="R166" s="2714"/>
    </row>
    <row r="167" s="2223" customFormat="1" spans="2:18">
      <c r="B167" s="2712"/>
      <c r="C167" s="2712"/>
      <c r="D167" s="2712"/>
      <c r="E167" s="2712"/>
      <c r="F167" s="2712"/>
      <c r="G167" s="2713"/>
      <c r="H167" s="2712"/>
      <c r="I167" s="2713"/>
      <c r="J167" s="2712"/>
      <c r="K167" s="2712"/>
      <c r="L167" s="2713"/>
      <c r="M167" s="2712"/>
      <c r="N167" s="2712"/>
      <c r="O167" s="2713"/>
      <c r="P167" s="2712"/>
      <c r="Q167" s="2712"/>
      <c r="R167" s="2714"/>
    </row>
    <row r="168" s="2223" customFormat="1" spans="2:18">
      <c r="B168" s="2712"/>
      <c r="C168" s="2712"/>
      <c r="D168" s="2712"/>
      <c r="E168" s="2712"/>
      <c r="F168" s="2712"/>
      <c r="G168" s="2713"/>
      <c r="H168" s="2712"/>
      <c r="I168" s="2713"/>
      <c r="J168" s="2712"/>
      <c r="K168" s="2712"/>
      <c r="L168" s="2713"/>
      <c r="M168" s="2712"/>
      <c r="N168" s="2712"/>
      <c r="O168" s="2713"/>
      <c r="P168" s="2712"/>
      <c r="Q168" s="2712"/>
      <c r="R168" s="2714"/>
    </row>
    <row r="169" s="2223" customFormat="1" spans="2:18">
      <c r="B169" s="2712"/>
      <c r="C169" s="2712"/>
      <c r="D169" s="2712"/>
      <c r="E169" s="2712"/>
      <c r="F169" s="2712"/>
      <c r="G169" s="2713"/>
      <c r="H169" s="2712"/>
      <c r="I169" s="2713"/>
      <c r="J169" s="2712"/>
      <c r="K169" s="2712"/>
      <c r="L169" s="2713"/>
      <c r="M169" s="2712"/>
      <c r="N169" s="2712"/>
      <c r="O169" s="2713"/>
      <c r="P169" s="2712"/>
      <c r="Q169" s="2712"/>
      <c r="R169" s="2714"/>
    </row>
    <row r="170" s="2223" customFormat="1" spans="2:18">
      <c r="B170" s="2712"/>
      <c r="C170" s="2712"/>
      <c r="D170" s="2712"/>
      <c r="E170" s="2712"/>
      <c r="F170" s="2712"/>
      <c r="G170" s="2713"/>
      <c r="H170" s="2712"/>
      <c r="I170" s="2713"/>
      <c r="J170" s="2712"/>
      <c r="K170" s="2712"/>
      <c r="L170" s="2713"/>
      <c r="M170" s="2712"/>
      <c r="N170" s="2712"/>
      <c r="O170" s="2713"/>
      <c r="P170" s="2712"/>
      <c r="Q170" s="2712"/>
      <c r="R170" s="2714"/>
    </row>
    <row r="171" s="2223" customFormat="1" spans="2:18">
      <c r="B171" s="2712"/>
      <c r="C171" s="2712"/>
      <c r="D171" s="2712"/>
      <c r="E171" s="2712"/>
      <c r="F171" s="2712"/>
      <c r="G171" s="2713"/>
      <c r="H171" s="2712"/>
      <c r="I171" s="2713"/>
      <c r="J171" s="2712"/>
      <c r="K171" s="2712"/>
      <c r="L171" s="2713"/>
      <c r="M171" s="2712"/>
      <c r="N171" s="2712"/>
      <c r="O171" s="2713"/>
      <c r="P171" s="2712"/>
      <c r="Q171" s="2712"/>
      <c r="R171" s="2714"/>
    </row>
    <row r="172" s="2223" customFormat="1" spans="2:18">
      <c r="B172" s="2712"/>
      <c r="C172" s="2712"/>
      <c r="D172" s="2712"/>
      <c r="E172" s="2712"/>
      <c r="F172" s="2712"/>
      <c r="G172" s="2713"/>
      <c r="H172" s="2712"/>
      <c r="I172" s="2713"/>
      <c r="J172" s="2712"/>
      <c r="K172" s="2712"/>
      <c r="L172" s="2713"/>
      <c r="M172" s="2712"/>
      <c r="N172" s="2712"/>
      <c r="O172" s="2713"/>
      <c r="P172" s="2712"/>
      <c r="Q172" s="2712"/>
      <c r="R172" s="2714"/>
    </row>
    <row r="173" s="2223" customFormat="1" spans="2:18">
      <c r="B173" s="2712"/>
      <c r="C173" s="2712"/>
      <c r="D173" s="2712"/>
      <c r="E173" s="2712"/>
      <c r="F173" s="2712"/>
      <c r="G173" s="2713"/>
      <c r="H173" s="2712"/>
      <c r="I173" s="2713"/>
      <c r="J173" s="2712"/>
      <c r="K173" s="2712"/>
      <c r="L173" s="2713"/>
      <c r="M173" s="2712"/>
      <c r="N173" s="2712"/>
      <c r="O173" s="2713"/>
      <c r="P173" s="2712"/>
      <c r="Q173" s="2712"/>
      <c r="R173" s="2714"/>
    </row>
    <row r="174" s="2223" customFormat="1" spans="2:18">
      <c r="B174" s="2712"/>
      <c r="C174" s="2712"/>
      <c r="D174" s="2712"/>
      <c r="E174" s="2712"/>
      <c r="F174" s="2712"/>
      <c r="G174" s="2713"/>
      <c r="H174" s="2712"/>
      <c r="I174" s="2713"/>
      <c r="J174" s="2712"/>
      <c r="K174" s="2712"/>
      <c r="L174" s="2713"/>
      <c r="M174" s="2712"/>
      <c r="N174" s="2712"/>
      <c r="O174" s="2713"/>
      <c r="P174" s="2712"/>
      <c r="Q174" s="2712"/>
      <c r="R174" s="2714"/>
    </row>
    <row r="175" s="2223" customFormat="1" spans="2:18">
      <c r="B175" s="2712"/>
      <c r="C175" s="2712"/>
      <c r="D175" s="2712"/>
      <c r="E175" s="2712"/>
      <c r="F175" s="2712"/>
      <c r="G175" s="2713"/>
      <c r="H175" s="2712"/>
      <c r="I175" s="2713"/>
      <c r="J175" s="2712"/>
      <c r="K175" s="2712"/>
      <c r="L175" s="2713"/>
      <c r="M175" s="2712"/>
      <c r="N175" s="2712"/>
      <c r="O175" s="2713"/>
      <c r="P175" s="2712"/>
      <c r="Q175" s="2712"/>
      <c r="R175" s="2714"/>
    </row>
    <row r="176" s="2223" customFormat="1" spans="2:18">
      <c r="B176" s="2712"/>
      <c r="C176" s="2712"/>
      <c r="D176" s="2712"/>
      <c r="E176" s="2712"/>
      <c r="F176" s="2712"/>
      <c r="G176" s="2713"/>
      <c r="H176" s="2712"/>
      <c r="I176" s="2713"/>
      <c r="J176" s="2712"/>
      <c r="K176" s="2712"/>
      <c r="L176" s="2713"/>
      <c r="M176" s="2712"/>
      <c r="N176" s="2712"/>
      <c r="O176" s="2713"/>
      <c r="P176" s="2712"/>
      <c r="Q176" s="2712"/>
      <c r="R176" s="2714"/>
    </row>
    <row r="177" s="2223" customFormat="1" spans="2:18">
      <c r="B177" s="2712"/>
      <c r="C177" s="2712"/>
      <c r="D177" s="2712"/>
      <c r="E177" s="2712"/>
      <c r="F177" s="2712"/>
      <c r="G177" s="2713"/>
      <c r="H177" s="2712"/>
      <c r="I177" s="2713"/>
      <c r="J177" s="2712"/>
      <c r="K177" s="2712"/>
      <c r="L177" s="2713"/>
      <c r="M177" s="2712"/>
      <c r="N177" s="2712"/>
      <c r="O177" s="2713"/>
      <c r="P177" s="2712"/>
      <c r="Q177" s="2712"/>
      <c r="R177" s="2714"/>
    </row>
    <row r="178" s="2223" customFormat="1" spans="2:18">
      <c r="B178" s="2712"/>
      <c r="C178" s="2712"/>
      <c r="D178" s="2712"/>
      <c r="E178" s="2712"/>
      <c r="F178" s="2712"/>
      <c r="G178" s="2713"/>
      <c r="H178" s="2712"/>
      <c r="I178" s="2713"/>
      <c r="J178" s="2712"/>
      <c r="K178" s="2712"/>
      <c r="L178" s="2713"/>
      <c r="M178" s="2712"/>
      <c r="N178" s="2712"/>
      <c r="O178" s="2713"/>
      <c r="P178" s="2712"/>
      <c r="Q178" s="2712"/>
      <c r="R178" s="2714"/>
    </row>
    <row r="179" s="2223" customFormat="1" spans="2:18">
      <c r="B179" s="2712"/>
      <c r="C179" s="2712"/>
      <c r="D179" s="2712"/>
      <c r="E179" s="2712"/>
      <c r="F179" s="2712"/>
      <c r="G179" s="2713"/>
      <c r="H179" s="2712"/>
      <c r="I179" s="2713"/>
      <c r="J179" s="2712"/>
      <c r="K179" s="2712"/>
      <c r="L179" s="2713"/>
      <c r="M179" s="2712"/>
      <c r="N179" s="2712"/>
      <c r="O179" s="2713"/>
      <c r="P179" s="2712"/>
      <c r="Q179" s="2712"/>
      <c r="R179" s="2714"/>
    </row>
    <row r="180" s="2223" customFormat="1" spans="2:18">
      <c r="B180" s="2712"/>
      <c r="C180" s="2712"/>
      <c r="D180" s="2712"/>
      <c r="E180" s="2712"/>
      <c r="F180" s="2712"/>
      <c r="G180" s="2713"/>
      <c r="H180" s="2712"/>
      <c r="I180" s="2713"/>
      <c r="J180" s="2712"/>
      <c r="K180" s="2712"/>
      <c r="L180" s="2713"/>
      <c r="M180" s="2712"/>
      <c r="N180" s="2712"/>
      <c r="O180" s="2713"/>
      <c r="P180" s="2712"/>
      <c r="Q180" s="2712"/>
      <c r="R180" s="2714"/>
    </row>
    <row r="181" s="2223" customFormat="1" spans="2:18">
      <c r="B181" s="2712"/>
      <c r="C181" s="2712"/>
      <c r="D181" s="2712"/>
      <c r="E181" s="2712"/>
      <c r="F181" s="2712"/>
      <c r="G181" s="2713"/>
      <c r="H181" s="2712"/>
      <c r="I181" s="2713"/>
      <c r="J181" s="2712"/>
      <c r="K181" s="2712"/>
      <c r="L181" s="2713"/>
      <c r="M181" s="2712"/>
      <c r="N181" s="2712"/>
      <c r="O181" s="2713"/>
      <c r="P181" s="2712"/>
      <c r="Q181" s="2712"/>
      <c r="R181" s="2714"/>
    </row>
    <row r="182" s="2223" customFormat="1" spans="2:18">
      <c r="B182" s="2712"/>
      <c r="C182" s="2712"/>
      <c r="D182" s="2712"/>
      <c r="E182" s="2712"/>
      <c r="F182" s="2712"/>
      <c r="G182" s="2713"/>
      <c r="H182" s="2712"/>
      <c r="I182" s="2713"/>
      <c r="J182" s="2712"/>
      <c r="K182" s="2712"/>
      <c r="L182" s="2713"/>
      <c r="M182" s="2712"/>
      <c r="N182" s="2712"/>
      <c r="O182" s="2713"/>
      <c r="P182" s="2712"/>
      <c r="Q182" s="2712"/>
      <c r="R182" s="2714"/>
    </row>
    <row r="183" s="2223" customFormat="1" spans="2:18">
      <c r="B183" s="2712"/>
      <c r="C183" s="2712"/>
      <c r="D183" s="2712"/>
      <c r="E183" s="2712"/>
      <c r="F183" s="2712"/>
      <c r="G183" s="2713"/>
      <c r="H183" s="2712"/>
      <c r="I183" s="2713"/>
      <c r="J183" s="2712"/>
      <c r="K183" s="2712"/>
      <c r="L183" s="2713"/>
      <c r="M183" s="2712"/>
      <c r="N183" s="2712"/>
      <c r="O183" s="2713"/>
      <c r="P183" s="2712"/>
      <c r="Q183" s="2712"/>
      <c r="R183" s="2714"/>
    </row>
    <row r="184" s="2223" customFormat="1" spans="2:18">
      <c r="B184" s="2712"/>
      <c r="C184" s="2712"/>
      <c r="D184" s="2712"/>
      <c r="E184" s="2712"/>
      <c r="F184" s="2712"/>
      <c r="G184" s="2713"/>
      <c r="H184" s="2712"/>
      <c r="I184" s="2713"/>
      <c r="J184" s="2712"/>
      <c r="K184" s="2712"/>
      <c r="L184" s="2713"/>
      <c r="M184" s="2712"/>
      <c r="N184" s="2712"/>
      <c r="O184" s="2713"/>
      <c r="P184" s="2712"/>
      <c r="Q184" s="2712"/>
      <c r="R184" s="2714"/>
    </row>
    <row r="185" s="2223" customFormat="1" spans="2:18">
      <c r="B185" s="2712"/>
      <c r="C185" s="2712"/>
      <c r="D185" s="2712"/>
      <c r="E185" s="2712"/>
      <c r="F185" s="2712"/>
      <c r="G185" s="2713"/>
      <c r="H185" s="2712"/>
      <c r="I185" s="2713"/>
      <c r="J185" s="2712"/>
      <c r="K185" s="2712"/>
      <c r="L185" s="2713"/>
      <c r="M185" s="2712"/>
      <c r="N185" s="2712"/>
      <c r="O185" s="2713"/>
      <c r="P185" s="2712"/>
      <c r="Q185" s="2712"/>
      <c r="R185" s="2714"/>
    </row>
    <row r="186" spans="1:7">
      <c r="A186" s="2223"/>
      <c r="B186" s="2712"/>
      <c r="C186" s="2712"/>
      <c r="E186" s="2712"/>
      <c r="F186" s="2712"/>
      <c r="G186" s="2713"/>
    </row>
    <row r="187" spans="1:7">
      <c r="A187" s="2223"/>
      <c r="B187" s="2712"/>
      <c r="C187" s="2712"/>
      <c r="E187" s="2712"/>
      <c r="F187" s="2712"/>
      <c r="G187" s="2713"/>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F42" sqref="F42"/>
    </sheetView>
  </sheetViews>
  <sheetFormatPr defaultColWidth="9" defaultRowHeight="14.4"/>
  <cols>
    <col min="1" max="1" width="25" style="2693" customWidth="1"/>
    <col min="2" max="9" width="15.7777777777778" style="2693" customWidth="1"/>
    <col min="10" max="16384" width="9" style="2693"/>
  </cols>
  <sheetData>
    <row r="1" ht="16.2" spans="1:11">
      <c r="A1" s="2694" t="s">
        <v>691</v>
      </c>
      <c r="B1" s="2694">
        <f>SUM(B14:B23)</f>
        <v>18907.05</v>
      </c>
      <c r="C1" s="2695"/>
      <c r="D1" s="2695"/>
      <c r="E1" s="2695"/>
      <c r="F1" s="2695"/>
      <c r="G1" s="2696"/>
      <c r="H1" s="2697"/>
      <c r="I1" s="2697"/>
      <c r="J1" s="2697"/>
      <c r="K1" s="2697"/>
    </row>
    <row r="2" ht="16.2" spans="1:11">
      <c r="A2" s="2694" t="s">
        <v>692</v>
      </c>
      <c r="B2" s="2694">
        <f>SUM(C14:C23)</f>
        <v>15415.9</v>
      </c>
      <c r="C2" s="2695"/>
      <c r="D2" s="2695"/>
      <c r="E2" s="2695"/>
      <c r="F2" s="2695"/>
      <c r="G2" s="2696"/>
      <c r="H2" s="2697"/>
      <c r="I2" s="2697"/>
      <c r="J2" s="2697"/>
      <c r="K2" s="2697"/>
    </row>
    <row r="3" ht="15.6" spans="1:11">
      <c r="A3" s="2694" t="s">
        <v>693</v>
      </c>
      <c r="B3" s="2698">
        <f>项目基本情况!D3</f>
        <v>44802</v>
      </c>
      <c r="C3" s="2695"/>
      <c r="D3" s="2695"/>
      <c r="E3" s="2695"/>
      <c r="F3" s="2695"/>
      <c r="G3" s="2696"/>
      <c r="H3" s="2697"/>
      <c r="I3" s="2697"/>
      <c r="J3" s="2697"/>
      <c r="K3" s="2697"/>
    </row>
    <row r="4" ht="31.2" spans="1:11">
      <c r="A4" s="2694" t="s">
        <v>694</v>
      </c>
      <c r="B4" s="2694" t="s">
        <v>695</v>
      </c>
      <c r="C4" s="2694" t="s">
        <v>696</v>
      </c>
      <c r="D4" s="2694" t="s">
        <v>697</v>
      </c>
      <c r="E4" s="2695"/>
      <c r="F4" s="2696"/>
      <c r="G4" s="2696"/>
      <c r="H4" s="2697"/>
      <c r="I4" s="2697"/>
      <c r="J4" s="2697"/>
      <c r="K4" s="2697"/>
    </row>
    <row r="5" ht="15.6" spans="1:11">
      <c r="A5" s="2694" t="s">
        <v>698</v>
      </c>
      <c r="B5" s="2694">
        <f ca="1">SUM(D14:D23)</f>
        <v>15532</v>
      </c>
      <c r="C5" s="2694">
        <f ca="1">ROUND(B5*10000/$B$1,0)</f>
        <v>8215</v>
      </c>
      <c r="D5" s="2694">
        <f ca="1">ROUND(B5*10000/$B$2,0)</f>
        <v>10075</v>
      </c>
      <c r="E5" s="2695"/>
      <c r="F5" s="2696"/>
      <c r="G5" s="2696"/>
      <c r="H5" s="2697"/>
      <c r="I5" s="2697"/>
      <c r="J5" s="2697"/>
      <c r="K5" s="2697"/>
    </row>
    <row r="6" ht="15.6" spans="1:11">
      <c r="A6" s="2694" t="s">
        <v>699</v>
      </c>
      <c r="B6" s="2694">
        <f ca="1">SUM(G14:G23)</f>
        <v>15532</v>
      </c>
      <c r="C6" s="2694">
        <f ca="1">ROUND(B6*10000/$B$1,0)</f>
        <v>8215</v>
      </c>
      <c r="D6" s="2694">
        <f ca="1">ROUND(B6*10000/$B$2,0)</f>
        <v>10075</v>
      </c>
      <c r="E6" s="2695"/>
      <c r="F6" s="2696"/>
      <c r="G6" s="2696"/>
      <c r="H6" s="2697"/>
      <c r="I6" s="2697"/>
      <c r="J6" s="2697"/>
      <c r="K6" s="2697"/>
    </row>
    <row r="7" ht="15.6" spans="1:11">
      <c r="A7" s="2694" t="s">
        <v>700</v>
      </c>
      <c r="B7" s="2694">
        <f ca="1">SUM(H14:H23)</f>
        <v>0</v>
      </c>
      <c r="C7" s="2694">
        <f ca="1">ROUND(B7*10000/$B$1,0)</f>
        <v>0</v>
      </c>
      <c r="D7" s="2694">
        <f ca="1">ROUND(B7*10000/$B$2,0)</f>
        <v>0</v>
      </c>
      <c r="E7" s="2695"/>
      <c r="F7" s="2696"/>
      <c r="G7" s="2696"/>
      <c r="H7" s="2697"/>
      <c r="I7" s="2697"/>
      <c r="J7" s="2697"/>
      <c r="K7" s="2697"/>
    </row>
    <row r="8" ht="15.6" spans="1:11">
      <c r="A8" s="2694" t="s">
        <v>328</v>
      </c>
      <c r="B8" s="2694">
        <f ca="1">SUM(I14:I23)</f>
        <v>0</v>
      </c>
      <c r="C8" s="2694">
        <f ca="1">ROUND(B8*10000/$B$1,0)</f>
        <v>0</v>
      </c>
      <c r="D8" s="2694">
        <f ca="1">ROUND(B8*10000/$B$2,0)</f>
        <v>0</v>
      </c>
      <c r="E8" s="2695"/>
      <c r="F8" s="2696"/>
      <c r="G8" s="2696"/>
      <c r="H8" s="2697"/>
      <c r="I8" s="2697"/>
      <c r="J8" s="2697"/>
      <c r="K8" s="2697"/>
    </row>
    <row r="9" ht="15.6" spans="1:11">
      <c r="A9" s="2694" t="s">
        <v>701</v>
      </c>
      <c r="B9" s="2699"/>
      <c r="C9" s="2695"/>
      <c r="D9" s="2695"/>
      <c r="E9" s="2695"/>
      <c r="F9" s="2696"/>
      <c r="G9" s="2696"/>
      <c r="H9" s="2697"/>
      <c r="I9" s="2697"/>
      <c r="J9" s="2697"/>
      <c r="K9" s="2697"/>
    </row>
    <row r="10" ht="15.6" spans="1:11">
      <c r="A10" s="2694" t="s">
        <v>702</v>
      </c>
      <c r="B10" s="2699"/>
      <c r="C10" s="2695"/>
      <c r="D10" s="2695"/>
      <c r="E10" s="2695"/>
      <c r="F10" s="2696"/>
      <c r="G10" s="2696"/>
      <c r="H10" s="2697"/>
      <c r="I10" s="2697"/>
      <c r="J10" s="2697"/>
      <c r="K10" s="2697"/>
    </row>
    <row r="11" ht="15.6" spans="1:11">
      <c r="A11" s="2694" t="s">
        <v>703</v>
      </c>
      <c r="B11" s="2699"/>
      <c r="C11" s="2695"/>
      <c r="D11" s="2695"/>
      <c r="E11" s="2695"/>
      <c r="F11" s="2696"/>
      <c r="G11" s="2696"/>
      <c r="H11" s="2697"/>
      <c r="I11" s="2697"/>
      <c r="J11" s="2697"/>
      <c r="K11" s="2697"/>
    </row>
    <row r="12" ht="15.6" spans="1:11">
      <c r="A12" s="2695"/>
      <c r="B12" s="2695"/>
      <c r="C12" s="2695"/>
      <c r="D12" s="2695"/>
      <c r="E12" s="2695"/>
      <c r="F12" s="2696"/>
      <c r="G12" s="2696"/>
      <c r="H12" s="2697"/>
      <c r="I12" s="2697"/>
      <c r="J12" s="2697"/>
      <c r="K12" s="2697"/>
    </row>
    <row r="13" ht="31.8" spans="1:11">
      <c r="A13" s="2700" t="s">
        <v>704</v>
      </c>
      <c r="B13" s="2701" t="s">
        <v>691</v>
      </c>
      <c r="C13" s="2701" t="s">
        <v>692</v>
      </c>
      <c r="D13" s="2701" t="s">
        <v>705</v>
      </c>
      <c r="E13" s="2694" t="s">
        <v>696</v>
      </c>
      <c r="F13" s="2694" t="s">
        <v>697</v>
      </c>
      <c r="G13" s="2701" t="s">
        <v>706</v>
      </c>
      <c r="H13" s="2701" t="s">
        <v>707</v>
      </c>
      <c r="I13" s="2701" t="s">
        <v>708</v>
      </c>
      <c r="J13" s="2696"/>
      <c r="K13" s="2697"/>
    </row>
    <row r="14" ht="15.6" spans="1:11">
      <c r="A14" s="2702" t="s">
        <v>709</v>
      </c>
      <c r="B14" s="2703">
        <f>结果表!B118</f>
        <v>18907.05</v>
      </c>
      <c r="C14" s="2703">
        <f>结果表!C118</f>
        <v>15415.9</v>
      </c>
      <c r="D14" s="2703">
        <f ca="1">结果表!H118</f>
        <v>15532</v>
      </c>
      <c r="E14" s="2703">
        <f ca="1">ROUND(D14*10000/B14,0)</f>
        <v>8215</v>
      </c>
      <c r="F14" s="2703">
        <f ca="1">ROUND(D14*10000/C14,0)</f>
        <v>10075</v>
      </c>
      <c r="G14" s="2703">
        <f ca="1">结果表!D122</f>
        <v>15532</v>
      </c>
      <c r="H14" s="2703" t="str">
        <f ca="1">结果表!D124</f>
        <v>——</v>
      </c>
      <c r="I14" s="2703" t="str">
        <f ca="1">结果表!D126</f>
        <v>——</v>
      </c>
      <c r="J14" s="2696"/>
      <c r="K14" s="2697"/>
    </row>
    <row r="15" ht="15.6" spans="1:11">
      <c r="A15" s="2702" t="s">
        <v>710</v>
      </c>
      <c r="B15" s="2704"/>
      <c r="C15" s="2704"/>
      <c r="D15" s="2704"/>
      <c r="E15" s="2703" t="e">
        <f t="shared" ref="E15:E23" si="0">ROUND(D15*10000/B15,0)</f>
        <v>#DIV/0!</v>
      </c>
      <c r="F15" s="2703" t="e">
        <f t="shared" ref="F15:F23" si="1">ROUND(D15*10000/C15,0)</f>
        <v>#DIV/0!</v>
      </c>
      <c r="G15" s="2705"/>
      <c r="H15" s="2705"/>
      <c r="I15" s="2704"/>
      <c r="J15" s="2696"/>
      <c r="K15" s="2697"/>
    </row>
    <row r="16" ht="15.6" spans="1:11">
      <c r="A16" s="2702" t="s">
        <v>711</v>
      </c>
      <c r="B16" s="2704"/>
      <c r="C16" s="2704"/>
      <c r="D16" s="2704"/>
      <c r="E16" s="2703" t="e">
        <f t="shared" si="0"/>
        <v>#DIV/0!</v>
      </c>
      <c r="F16" s="2703" t="e">
        <f t="shared" si="1"/>
        <v>#DIV/0!</v>
      </c>
      <c r="G16" s="2705"/>
      <c r="H16" s="2705"/>
      <c r="I16" s="2704"/>
      <c r="J16" s="2697"/>
      <c r="K16" s="2697"/>
    </row>
    <row r="17" ht="15.6" spans="1:11">
      <c r="A17" s="2702" t="s">
        <v>712</v>
      </c>
      <c r="B17" s="2704"/>
      <c r="C17" s="2704"/>
      <c r="D17" s="2704"/>
      <c r="E17" s="2703" t="e">
        <f t="shared" si="0"/>
        <v>#DIV/0!</v>
      </c>
      <c r="F17" s="2703" t="e">
        <f t="shared" si="1"/>
        <v>#DIV/0!</v>
      </c>
      <c r="G17" s="2705"/>
      <c r="H17" s="2705"/>
      <c r="I17" s="2704"/>
      <c r="J17" s="2697"/>
      <c r="K17" s="2697"/>
    </row>
    <row r="18" ht="15.6" spans="1:11">
      <c r="A18" s="2702" t="s">
        <v>713</v>
      </c>
      <c r="B18" s="2704"/>
      <c r="C18" s="2704"/>
      <c r="D18" s="2704"/>
      <c r="E18" s="2703" t="e">
        <f t="shared" si="0"/>
        <v>#DIV/0!</v>
      </c>
      <c r="F18" s="2703" t="e">
        <f t="shared" si="1"/>
        <v>#DIV/0!</v>
      </c>
      <c r="G18" s="2704"/>
      <c r="H18" s="2704"/>
      <c r="I18" s="2704"/>
      <c r="J18" s="2697"/>
      <c r="K18" s="2697"/>
    </row>
    <row r="19" ht="15.6" spans="1:11">
      <c r="A19" s="2702" t="s">
        <v>714</v>
      </c>
      <c r="B19" s="2704"/>
      <c r="C19" s="2704"/>
      <c r="D19" s="2704"/>
      <c r="E19" s="2703" t="e">
        <f t="shared" si="0"/>
        <v>#DIV/0!</v>
      </c>
      <c r="F19" s="2703" t="e">
        <f t="shared" si="1"/>
        <v>#DIV/0!</v>
      </c>
      <c r="G19" s="2704"/>
      <c r="H19" s="2704"/>
      <c r="I19" s="2704"/>
      <c r="J19" s="2697"/>
      <c r="K19" s="2697"/>
    </row>
    <row r="20" ht="15.6" spans="1:11">
      <c r="A20" s="2702" t="s">
        <v>715</v>
      </c>
      <c r="B20" s="2704"/>
      <c r="C20" s="2704"/>
      <c r="D20" s="2704"/>
      <c r="E20" s="2703" t="e">
        <f t="shared" si="0"/>
        <v>#DIV/0!</v>
      </c>
      <c r="F20" s="2703" t="e">
        <f t="shared" si="1"/>
        <v>#DIV/0!</v>
      </c>
      <c r="G20" s="2704"/>
      <c r="H20" s="2704"/>
      <c r="I20" s="2704"/>
      <c r="J20" s="2697"/>
      <c r="K20" s="2697"/>
    </row>
    <row r="21" ht="15.6" spans="1:11">
      <c r="A21" s="2702" t="s">
        <v>716</v>
      </c>
      <c r="B21" s="2704"/>
      <c r="C21" s="2704"/>
      <c r="D21" s="2704"/>
      <c r="E21" s="2703" t="e">
        <f t="shared" si="0"/>
        <v>#DIV/0!</v>
      </c>
      <c r="F21" s="2703" t="e">
        <f t="shared" si="1"/>
        <v>#DIV/0!</v>
      </c>
      <c r="G21" s="2704"/>
      <c r="H21" s="2704"/>
      <c r="I21" s="2704"/>
      <c r="J21" s="2697"/>
      <c r="K21" s="2697"/>
    </row>
    <row r="22" ht="15.6" spans="1:11">
      <c r="A22" s="2702" t="s">
        <v>717</v>
      </c>
      <c r="B22" s="2704"/>
      <c r="C22" s="2704"/>
      <c r="D22" s="2704"/>
      <c r="E22" s="2703" t="e">
        <f t="shared" si="0"/>
        <v>#DIV/0!</v>
      </c>
      <c r="F22" s="2703" t="e">
        <f t="shared" si="1"/>
        <v>#DIV/0!</v>
      </c>
      <c r="G22" s="2704"/>
      <c r="H22" s="2704"/>
      <c r="I22" s="2704"/>
      <c r="J22" s="2697"/>
      <c r="K22" s="2697"/>
    </row>
    <row r="23" ht="15.6" spans="1:11">
      <c r="A23" s="2702" t="s">
        <v>718</v>
      </c>
      <c r="B23" s="2704"/>
      <c r="C23" s="2704"/>
      <c r="D23" s="2704"/>
      <c r="E23" s="2699" t="e">
        <f t="shared" si="0"/>
        <v>#DIV/0!</v>
      </c>
      <c r="F23" s="2699" t="e">
        <f t="shared" si="1"/>
        <v>#DIV/0!</v>
      </c>
      <c r="G23" s="2704"/>
      <c r="H23" s="2704"/>
      <c r="I23" s="2704"/>
      <c r="J23" s="2697"/>
      <c r="K23" s="2697"/>
    </row>
    <row r="24" spans="1:11">
      <c r="A24" s="2697"/>
      <c r="B24" s="2697"/>
      <c r="C24" s="2697"/>
      <c r="D24" s="2697"/>
      <c r="E24" s="2697"/>
      <c r="F24" s="2697"/>
      <c r="G24" s="2697"/>
      <c r="H24" s="2697"/>
      <c r="I24" s="2697"/>
      <c r="J24" s="2697"/>
      <c r="K24" s="2697"/>
    </row>
    <row r="25" spans="1:11">
      <c r="A25" s="2697"/>
      <c r="B25" s="2697"/>
      <c r="C25" s="2697"/>
      <c r="D25" s="2697"/>
      <c r="E25" s="2697"/>
      <c r="F25" s="2697"/>
      <c r="G25" s="2697"/>
      <c r="H25" s="2697"/>
      <c r="I25" s="2697"/>
      <c r="J25" s="2697"/>
      <c r="K25" s="2697"/>
    </row>
    <row r="26" spans="1:11">
      <c r="A26" s="2697"/>
      <c r="B26" s="2697"/>
      <c r="C26" s="2697"/>
      <c r="D26" s="2697"/>
      <c r="E26" s="2697"/>
      <c r="F26" s="2697"/>
      <c r="G26" s="2697"/>
      <c r="H26" s="2697"/>
      <c r="I26" s="2697"/>
      <c r="J26" s="2697"/>
      <c r="K26" s="2697"/>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PageLayoutView="80" zoomScaleNormal="100" workbookViewId="0">
      <selection activeCell="B118" sqref="B118:I118"/>
    </sheetView>
  </sheetViews>
  <sheetFormatPr defaultColWidth="12.6666666666667" defaultRowHeight="21.75" customHeight="1"/>
  <cols>
    <col min="1" max="2" width="12.6666666666667" style="2337"/>
    <col min="3" max="4" width="12.6666666666667" style="2337" customWidth="1"/>
    <col min="5" max="9" width="12.6666666666667" style="2337"/>
    <col min="10" max="11" width="12.6666666666667" style="651" customWidth="1"/>
    <col min="12" max="12" width="12.6666666666667" style="651"/>
    <col min="13" max="13" width="14.1111111111111" style="651" customWidth="1"/>
    <col min="14" max="26" width="12.6666666666667" style="651"/>
    <col min="27" max="35" width="12.6666666666667" style="2336"/>
    <col min="36" max="16384" width="12.6666666666667" style="2337"/>
  </cols>
  <sheetData>
    <row r="1" customHeight="1" spans="1:9">
      <c r="A1" s="2338" t="s">
        <v>719</v>
      </c>
      <c r="B1" s="2339"/>
      <c r="C1" s="2340"/>
      <c r="D1" s="2339"/>
      <c r="E1" s="2339"/>
      <c r="F1" s="2341" t="s">
        <v>720</v>
      </c>
      <c r="G1" s="2342"/>
      <c r="H1" s="2343" t="str">
        <f>IF(G1="现房","——","估价对象范围")</f>
        <v>估价对象范围</v>
      </c>
      <c r="I1" s="2504"/>
    </row>
    <row r="2" customHeight="1" spans="1:9">
      <c r="A2" s="2344" t="str">
        <f>项目基本情况!S2</f>
        <v>北京市房地产</v>
      </c>
      <c r="B2" s="2345"/>
      <c r="C2" s="2345"/>
      <c r="D2" s="2345"/>
      <c r="E2" s="2345"/>
      <c r="F2" s="2345"/>
      <c r="G2" s="2345"/>
      <c r="H2" s="2345"/>
      <c r="I2" s="2505"/>
    </row>
    <row r="3" ht="14.4" spans="1:9">
      <c r="A3" s="2346" t="s">
        <v>721</v>
      </c>
      <c r="B3" s="2015"/>
      <c r="C3" s="2015"/>
      <c r="D3" s="2015"/>
      <c r="E3" s="2015"/>
      <c r="F3" s="2015"/>
      <c r="G3" s="2015"/>
      <c r="H3" s="2015"/>
      <c r="I3" s="2015"/>
    </row>
    <row r="4" ht="14.4" spans="1:12">
      <c r="A4" s="2347" t="s">
        <v>722</v>
      </c>
      <c r="B4" s="2348" t="s">
        <v>723</v>
      </c>
      <c r="C4" s="2349" t="s">
        <v>724</v>
      </c>
      <c r="D4" s="2349" t="s">
        <v>725</v>
      </c>
      <c r="E4" s="2350" t="s">
        <v>726</v>
      </c>
      <c r="F4" s="2351"/>
      <c r="G4" s="2351"/>
      <c r="H4" s="2351"/>
      <c r="I4" s="2506"/>
      <c r="K4" s="652" t="str">
        <f>IF(ISNUMBER(FIND("比较法",结果表!C4)),"比较法",IF(ISNUMBER(FIND("成本法",结果表!C4)),"成本法",IF(ISNUMBER(FIND("假设开发法",结果表!C4)),"假设开发法",IF(ISNUMBER(FIND("收益法",结果表!C4)),"收益法","基准地价系数修正法"))))</f>
        <v>成本法</v>
      </c>
      <c r="L4" s="652" t="str">
        <f>IF(ISNUMBER(FIND("比较法",结果表!D4)),"比较法",IF(ISNUMBER(FIND("成本法",结果表!D4)),"成本法",IF(ISNUMBER(FIND("假设开发法",结果表!D4)),"假设开发法",IF(ISNUMBER(FIND("收益法",结果表!D4)),"收益法","基准地价系数修正法"))))</f>
        <v>假设开发法</v>
      </c>
    </row>
    <row r="5" ht="14.4" spans="1:9">
      <c r="A5" s="2352" t="s">
        <v>727</v>
      </c>
      <c r="B5" s="270">
        <v>25</v>
      </c>
      <c r="C5" s="2353"/>
      <c r="D5" s="2354"/>
      <c r="E5" s="2004" t="s">
        <v>728</v>
      </c>
      <c r="F5" s="2355"/>
      <c r="G5" s="2355"/>
      <c r="H5" s="2355"/>
      <c r="I5" s="2217"/>
    </row>
    <row r="6" ht="14.4" spans="1:9">
      <c r="A6" s="2352"/>
      <c r="B6" s="270"/>
      <c r="C6" s="2356"/>
      <c r="D6" s="2354"/>
      <c r="E6" s="2004" t="s">
        <v>729</v>
      </c>
      <c r="F6" s="2355"/>
      <c r="G6" s="2355"/>
      <c r="H6" s="2355"/>
      <c r="I6" s="2217"/>
    </row>
    <row r="7" ht="14.4" spans="1:9">
      <c r="A7" s="2352"/>
      <c r="B7" s="270"/>
      <c r="C7" s="2357"/>
      <c r="D7" s="2354"/>
      <c r="E7" s="2004" t="s">
        <v>730</v>
      </c>
      <c r="F7" s="2355"/>
      <c r="G7" s="2355"/>
      <c r="H7" s="2355"/>
      <c r="I7" s="2217"/>
    </row>
    <row r="8" ht="14.4" spans="1:9">
      <c r="A8" s="2352" t="s">
        <v>731</v>
      </c>
      <c r="B8" s="270">
        <v>15</v>
      </c>
      <c r="C8" s="2353"/>
      <c r="D8" s="2354"/>
      <c r="E8" s="2004" t="s">
        <v>732</v>
      </c>
      <c r="F8" s="2355"/>
      <c r="G8" s="2355"/>
      <c r="H8" s="2355"/>
      <c r="I8" s="2217"/>
    </row>
    <row r="9" ht="14.4" spans="1:9">
      <c r="A9" s="2352"/>
      <c r="B9" s="270"/>
      <c r="C9" s="2357"/>
      <c r="D9" s="2354"/>
      <c r="E9" s="2004" t="s">
        <v>733</v>
      </c>
      <c r="F9" s="2355"/>
      <c r="G9" s="2355"/>
      <c r="H9" s="2355"/>
      <c r="I9" s="2217"/>
    </row>
    <row r="10" ht="14.4" spans="1:9">
      <c r="A10" s="2352" t="s">
        <v>734</v>
      </c>
      <c r="B10" s="270">
        <v>15</v>
      </c>
      <c r="C10" s="2353"/>
      <c r="D10" s="2354"/>
      <c r="E10" s="2004" t="s">
        <v>735</v>
      </c>
      <c r="F10" s="2355"/>
      <c r="G10" s="2355"/>
      <c r="H10" s="2355"/>
      <c r="I10" s="2217"/>
    </row>
    <row r="11" ht="14.4" spans="1:9">
      <c r="A11" s="2352"/>
      <c r="B11" s="270"/>
      <c r="C11" s="2357"/>
      <c r="D11" s="2354"/>
      <c r="E11" s="2004" t="s">
        <v>736</v>
      </c>
      <c r="F11" s="2355"/>
      <c r="G11" s="2355"/>
      <c r="H11" s="2355"/>
      <c r="I11" s="2217"/>
    </row>
    <row r="12" ht="14.4" spans="1:9">
      <c r="A12" s="2352" t="s">
        <v>737</v>
      </c>
      <c r="B12" s="270">
        <v>15</v>
      </c>
      <c r="C12" s="2353"/>
      <c r="D12" s="2354"/>
      <c r="E12" s="2004" t="s">
        <v>738</v>
      </c>
      <c r="F12" s="2355"/>
      <c r="G12" s="2355"/>
      <c r="H12" s="2355"/>
      <c r="I12" s="2217"/>
    </row>
    <row r="13" ht="14.4" spans="1:9">
      <c r="A13" s="2352"/>
      <c r="B13" s="270"/>
      <c r="C13" s="2357"/>
      <c r="D13" s="2354"/>
      <c r="E13" s="2004" t="s">
        <v>739</v>
      </c>
      <c r="F13" s="2355"/>
      <c r="G13" s="2355"/>
      <c r="H13" s="2355"/>
      <c r="I13" s="2217"/>
    </row>
    <row r="14" ht="14.4" spans="1:9">
      <c r="A14" s="2352" t="s">
        <v>740</v>
      </c>
      <c r="B14" s="270">
        <v>30</v>
      </c>
      <c r="C14" s="2353">
        <v>5</v>
      </c>
      <c r="D14" s="2354">
        <v>5</v>
      </c>
      <c r="E14" s="2004" t="s">
        <v>741</v>
      </c>
      <c r="F14" s="2355"/>
      <c r="G14" s="2355"/>
      <c r="H14" s="2355"/>
      <c r="I14" s="2217"/>
    </row>
    <row r="15" ht="14.4" spans="1:9">
      <c r="A15" s="2352"/>
      <c r="B15" s="270"/>
      <c r="C15" s="2356"/>
      <c r="D15" s="2354"/>
      <c r="E15" s="2004" t="s">
        <v>742</v>
      </c>
      <c r="F15" s="2355"/>
      <c r="G15" s="2355"/>
      <c r="H15" s="2355"/>
      <c r="I15" s="2217"/>
    </row>
    <row r="16" ht="14.4" spans="1:9">
      <c r="A16" s="2352"/>
      <c r="B16" s="270"/>
      <c r="C16" s="2357"/>
      <c r="D16" s="2354"/>
      <c r="E16" s="2004" t="s">
        <v>743</v>
      </c>
      <c r="F16" s="2355"/>
      <c r="G16" s="2355"/>
      <c r="H16" s="2355"/>
      <c r="I16" s="2217"/>
    </row>
    <row r="17" ht="14.4" spans="1:13">
      <c r="A17" s="2358" t="s">
        <v>744</v>
      </c>
      <c r="B17" s="2359"/>
      <c r="C17" s="2360">
        <f>SUM(C5:C16)</f>
        <v>5</v>
      </c>
      <c r="D17" s="2360">
        <f>SUM(D5:D16)</f>
        <v>5</v>
      </c>
      <c r="E17" s="696"/>
      <c r="F17" s="696"/>
      <c r="G17" s="696"/>
      <c r="H17" s="696"/>
      <c r="I17" s="696"/>
      <c r="K17" s="1962"/>
      <c r="L17" s="1962" t="s">
        <v>745</v>
      </c>
      <c r="M17" s="1962" t="s">
        <v>746</v>
      </c>
    </row>
    <row r="18" ht="31.95" customHeight="1" spans="1:13">
      <c r="A18" s="2361" t="s">
        <v>747</v>
      </c>
      <c r="B18" s="2362"/>
      <c r="C18" s="2363">
        <f>ROUND(C17/SUM(C17:D17),2)</f>
        <v>0.5</v>
      </c>
      <c r="D18" s="2363">
        <f>1-C18</f>
        <v>0.5</v>
      </c>
      <c r="E18" s="2364" t="s">
        <v>748</v>
      </c>
      <c r="F18" s="2365"/>
      <c r="G18" s="2365"/>
      <c r="H18" s="2365"/>
      <c r="I18" s="2365"/>
      <c r="K18" s="1962" t="s">
        <v>361</v>
      </c>
      <c r="L18" s="1962">
        <f>IF(C1="",'数据-汇总表'!E3,SUMIF(项目类型,C1,'数据-汇总表'!E17:E26)+SUMIF(项目类型,C1,'数据-汇总表'!I17:I26))</f>
        <v>18907.05</v>
      </c>
      <c r="M18" s="1962">
        <f>IF(C1="",'数据-汇总表'!E3,SUMIF(项目类型,C1,'数据-汇总表'!E17:E26))</f>
        <v>18907.05</v>
      </c>
    </row>
    <row r="19" ht="14.4" spans="1:13">
      <c r="A19" s="2366" t="s">
        <v>749</v>
      </c>
      <c r="B19" s="2367" t="s">
        <v>750</v>
      </c>
      <c r="C19" s="2368">
        <f ca="1">SUMIF(INDIRECT("'"&amp;C4&amp;"'"&amp;"!A:A"),结果表!B19,INDIRECT("'"&amp;C4&amp;"'"&amp;"!B:B"))</f>
        <v>17753</v>
      </c>
      <c r="D19" s="1375">
        <f ca="1">SUMIF(INDIRECT("'"&amp;D4&amp;"'"&amp;"!A:A"),结果表!B19,INDIRECT("'"&amp;D4&amp;"'"&amp;"!B:B"))</f>
        <v>13310</v>
      </c>
      <c r="E19" s="2366" t="s">
        <v>751</v>
      </c>
      <c r="F19" s="2367" t="s">
        <v>750</v>
      </c>
      <c r="G19" s="2369">
        <f ca="1">ROUND(C19*$C$18+D19*$D$18,0)</f>
        <v>15532</v>
      </c>
      <c r="H19" s="2370" t="s">
        <v>752</v>
      </c>
      <c r="I19" s="696"/>
      <c r="K19" s="1962" t="s">
        <v>365</v>
      </c>
      <c r="L19" s="1962">
        <f>IF(C1="",'数据-汇总表'!D3,SUMIF(项目类型,C1,'数据-汇总表'!D17:D26)+SUMIF(项目类型,C1,'数据-汇总表'!H17:H27))</f>
        <v>15415.9</v>
      </c>
      <c r="M19" s="1962">
        <f>IF(C1="",'数据-汇总表'!D3,SUMIF(项目类型,C1,'数据-汇总表'!D17:D26))</f>
        <v>15415.9</v>
      </c>
    </row>
    <row r="20" ht="14.4" spans="1:9">
      <c r="A20" s="2371"/>
      <c r="B20" s="2372" t="s">
        <v>753</v>
      </c>
      <c r="C20" s="1681">
        <f ca="1">SUMIF(INDIRECT("'"&amp;C4&amp;"'"&amp;"!A:A"),结果表!B20,INDIRECT("'"&amp;C4&amp;"'"&amp;"!B:B"))</f>
        <v>9390</v>
      </c>
      <c r="D20" s="1684">
        <f ca="1">SUMIF(INDIRECT("'"&amp;D4&amp;"'"&amp;"!A:A"),结果表!B20,INDIRECT("'"&amp;D4&amp;"'"&amp;"!B:B"))</f>
        <v>7040</v>
      </c>
      <c r="E20" s="2371"/>
      <c r="F20" s="2372" t="s">
        <v>753</v>
      </c>
      <c r="G20" s="2373">
        <f ca="1">ROUND(C20*$C$18+D20*$D$18,0)</f>
        <v>8215</v>
      </c>
      <c r="H20" s="2119" t="s">
        <v>754</v>
      </c>
      <c r="I20" s="696"/>
    </row>
    <row r="21" ht="15" customHeight="1" spans="1:9">
      <c r="A21" s="2299"/>
      <c r="B21" s="2374" t="s">
        <v>755</v>
      </c>
      <c r="C21" s="2375">
        <f ca="1">ROUND(C19*10000/L19,0)</f>
        <v>11516</v>
      </c>
      <c r="D21" s="2376">
        <f ca="1">ROUND(D19*10000/L19,0)</f>
        <v>8634</v>
      </c>
      <c r="E21" s="2299"/>
      <c r="F21" s="2374" t="s">
        <v>755</v>
      </c>
      <c r="G21" s="2377">
        <f ca="1">ROUND(G19*10000/L19,0)</f>
        <v>10075</v>
      </c>
      <c r="H21" s="2378" t="s">
        <v>754</v>
      </c>
      <c r="I21" s="696"/>
    </row>
    <row r="22" ht="15.15" spans="1:9">
      <c r="A22" s="2379" t="s">
        <v>756</v>
      </c>
      <c r="B22" s="2380"/>
      <c r="C22" s="2381"/>
      <c r="D22" s="2382">
        <f ca="1">IF(C19&lt;D19,D19/C19-1,C19/D19-1)</f>
        <v>0.333809166040571</v>
      </c>
      <c r="E22" s="696"/>
      <c r="F22" s="2383"/>
      <c r="G22" s="696"/>
      <c r="H22" s="696"/>
      <c r="I22" s="696"/>
    </row>
    <row r="23" ht="15.15" spans="1:9">
      <c r="A23" s="2339"/>
      <c r="B23" s="2339"/>
      <c r="C23" s="2339"/>
      <c r="D23" s="2339"/>
      <c r="E23" s="696"/>
      <c r="F23" s="696"/>
      <c r="G23" s="696"/>
      <c r="H23" s="696"/>
      <c r="I23" s="696"/>
    </row>
    <row r="24" ht="14.4" spans="1:9">
      <c r="A24" s="2384" t="s">
        <v>757</v>
      </c>
      <c r="B24" s="2367" t="s">
        <v>750</v>
      </c>
      <c r="C24" s="2369">
        <f>IF(B30=0,0,D30)</f>
        <v>0</v>
      </c>
      <c r="D24" s="2385"/>
      <c r="E24" s="696"/>
      <c r="F24" s="696"/>
      <c r="G24" s="696"/>
      <c r="H24" s="696"/>
      <c r="I24" s="696"/>
    </row>
    <row r="25" ht="14.4" spans="1:9">
      <c r="A25" s="2386"/>
      <c r="B25" s="2372" t="s">
        <v>753</v>
      </c>
      <c r="C25" s="2387">
        <f>IF(B30=0,0,C30)</f>
        <v>0</v>
      </c>
      <c r="D25" s="2388"/>
      <c r="E25" s="696"/>
      <c r="F25" s="696"/>
      <c r="G25" s="696"/>
      <c r="H25" s="696"/>
      <c r="I25" s="696"/>
    </row>
    <row r="26" ht="13.5" customHeight="1" spans="1:9">
      <c r="A26" s="2389" t="s">
        <v>758</v>
      </c>
      <c r="B26" s="2390" t="s">
        <v>759</v>
      </c>
      <c r="C26" s="2390" t="s">
        <v>760</v>
      </c>
      <c r="D26" s="2391" t="s">
        <v>761</v>
      </c>
      <c r="E26" s="696"/>
      <c r="F26" s="696"/>
      <c r="G26" s="696"/>
      <c r="H26" s="696"/>
      <c r="I26" s="696"/>
    </row>
    <row r="27" ht="14.4" spans="1:9">
      <c r="A27" s="2389"/>
      <c r="B27" s="2390">
        <v>0</v>
      </c>
      <c r="C27" s="2390">
        <v>0</v>
      </c>
      <c r="D27" s="2391">
        <f>ROUND(C27*B27/10000,0)</f>
        <v>0</v>
      </c>
      <c r="E27" s="696"/>
      <c r="F27" s="696"/>
      <c r="G27" s="696"/>
      <c r="H27" s="696"/>
      <c r="I27" s="696"/>
    </row>
    <row r="28" ht="14.4" spans="1:9">
      <c r="A28" s="2389"/>
      <c r="B28" s="2390"/>
      <c r="C28" s="2390"/>
      <c r="D28" s="2391"/>
      <c r="E28" s="696"/>
      <c r="F28" s="696"/>
      <c r="G28" s="696"/>
      <c r="H28" s="696"/>
      <c r="I28" s="696"/>
    </row>
    <row r="29" ht="14.4" spans="1:9">
      <c r="A29" s="2389"/>
      <c r="B29" s="2390"/>
      <c r="C29" s="2390"/>
      <c r="D29" s="2391"/>
      <c r="E29" s="696"/>
      <c r="F29" s="696"/>
      <c r="G29" s="696"/>
      <c r="H29" s="696"/>
      <c r="I29" s="696"/>
    </row>
    <row r="30" ht="15.15" spans="1:9">
      <c r="A30" s="2390" t="s">
        <v>762</v>
      </c>
      <c r="B30" s="2390"/>
      <c r="C30" s="2390"/>
      <c r="D30" s="2390"/>
      <c r="E30" s="2392" t="s">
        <v>763</v>
      </c>
      <c r="F30" s="696"/>
      <c r="G30" s="696"/>
      <c r="H30" s="696"/>
      <c r="I30" s="696"/>
    </row>
    <row r="31" s="2333" customFormat="1" ht="26.4" customHeight="1" spans="1:36">
      <c r="A31" s="2393"/>
      <c r="B31" s="2394"/>
      <c r="C31" s="2394"/>
      <c r="D31" s="2394"/>
      <c r="E31" s="2394"/>
      <c r="F31" s="2394"/>
      <c r="G31" s="2394"/>
      <c r="H31" s="2394"/>
      <c r="I31" s="2507" t="s">
        <v>764</v>
      </c>
      <c r="J31" s="2508"/>
      <c r="K31" s="2509"/>
      <c r="L31" s="2509"/>
      <c r="M31" s="2509"/>
      <c r="N31" s="2509"/>
      <c r="O31" s="2509"/>
      <c r="P31" s="2509"/>
      <c r="Q31" s="2509"/>
      <c r="R31" s="2509"/>
      <c r="S31" s="2509"/>
      <c r="T31" s="2509"/>
      <c r="U31" s="2509"/>
      <c r="V31" s="2509"/>
      <c r="W31" s="2509"/>
      <c r="X31" s="2509"/>
      <c r="Y31" s="2509"/>
      <c r="Z31" s="2509"/>
      <c r="AA31" s="2509"/>
      <c r="AB31" s="2544"/>
      <c r="AC31" s="2544"/>
      <c r="AD31" s="2544"/>
      <c r="AE31" s="2544"/>
      <c r="AF31" s="2544"/>
      <c r="AG31" s="2544"/>
      <c r="AH31" s="2544"/>
      <c r="AI31" s="2544"/>
      <c r="AJ31" s="2544"/>
    </row>
    <row r="32" ht="15.9" spans="1:9">
      <c r="A32" s="2395" t="s">
        <v>765</v>
      </c>
      <c r="B32" s="2396"/>
      <c r="C32" s="2397">
        <f ca="1">IF(D32="总价",G19-C24,G20-C25)</f>
        <v>15532</v>
      </c>
      <c r="D32" s="2398" t="s">
        <v>766</v>
      </c>
      <c r="E32" s="696"/>
      <c r="F32" s="696"/>
      <c r="G32" s="696"/>
      <c r="H32" s="696"/>
      <c r="I32" s="696"/>
    </row>
    <row r="33" ht="14.4" spans="1:9">
      <c r="A33" s="2239" t="s">
        <v>767</v>
      </c>
      <c r="B33" s="2399"/>
      <c r="C33" s="2400" t="s">
        <v>768</v>
      </c>
      <c r="D33" s="2401" t="s">
        <v>724</v>
      </c>
      <c r="E33" s="2402" t="s">
        <v>769</v>
      </c>
      <c r="F33" s="2403" t="str">
        <f>IF(D32="楼面单价","取值（单价）","取值（总价）")</f>
        <v>取值（总价）</v>
      </c>
      <c r="G33" s="696"/>
      <c r="H33" s="696"/>
      <c r="I33" s="696"/>
    </row>
    <row r="34" ht="14.4" spans="1:9">
      <c r="A34" s="2404"/>
      <c r="B34" s="2405" t="s">
        <v>770</v>
      </c>
      <c r="C34" s="2406">
        <f ca="1">IF(C33="自定义",F34,C32-C35)</f>
        <v>6648</v>
      </c>
      <c r="D34" s="2407">
        <f ca="1">IF(C33="自定义",ROUND(C34/C32,3),IF(C33="收益比率",SUMIF(INDIRECT("'"&amp;D33&amp;"'"&amp;"!b:b"),"土地收益比率",INDIRECT("'"&amp;D33&amp;"'"&amp;"!c:c")),SUMIF(INDIRECT("'"&amp;D33&amp;"'"&amp;"!b:b"),"土地成本比率",INDIRECT("'"&amp;D33&amp;"'"&amp;"!c:c"))))</f>
        <v>0.428</v>
      </c>
      <c r="E34" s="2408" t="s">
        <v>771</v>
      </c>
      <c r="F34" s="2409"/>
      <c r="G34" s="696"/>
      <c r="H34" s="696"/>
      <c r="I34" s="696"/>
    </row>
    <row r="35" ht="15.15" spans="1:9">
      <c r="A35" s="2410"/>
      <c r="B35" s="2411" t="s">
        <v>772</v>
      </c>
      <c r="C35" s="2412">
        <f ca="1">IF(C33="自定义",F35,ROUND(C32*D35,0))</f>
        <v>8884</v>
      </c>
      <c r="D35" s="2413">
        <f ca="1">IF(C33="自定义",ROUND(C35/C32,3),IF(C33="收益比率",SUMIF(INDIRECT("'"&amp;D33&amp;"'"&amp;"!b:b"),"建筑物收益比率",INDIRECT("'"&amp;D33&amp;"'"&amp;"!c:c")),SUMIF(INDIRECT("'"&amp;D33&amp;"'"&amp;"!b:b"),"建筑物成本比率",INDIRECT("'"&amp;D33&amp;"'"&amp;"!c:c"))))</f>
        <v>0.572</v>
      </c>
      <c r="E35" s="2414" t="s">
        <v>773</v>
      </c>
      <c r="F35" s="2415"/>
      <c r="G35" s="696"/>
      <c r="H35" s="696"/>
      <c r="I35" s="696"/>
    </row>
    <row r="36" ht="15.15" spans="1:9">
      <c r="A36" s="2416" t="s">
        <v>774</v>
      </c>
      <c r="B36" s="2417" t="s">
        <v>775</v>
      </c>
      <c r="C36" s="2418"/>
      <c r="D36" s="2419"/>
      <c r="E36" s="2420"/>
      <c r="F36" s="2421"/>
      <c r="G36" s="696"/>
      <c r="H36" s="696"/>
      <c r="I36" s="696"/>
    </row>
    <row r="37" ht="15.15" spans="1:9">
      <c r="A37" s="2422"/>
      <c r="B37" s="2423" t="s">
        <v>776</v>
      </c>
      <c r="C37" s="2424"/>
      <c r="D37" s="2425"/>
      <c r="E37" s="2425"/>
      <c r="F37" s="2421"/>
      <c r="G37" s="696"/>
      <c r="H37" s="696"/>
      <c r="I37" s="696"/>
    </row>
    <row r="38" ht="15.15" spans="1:13">
      <c r="A38" s="2426"/>
      <c r="B38" s="2427" t="s">
        <v>777</v>
      </c>
      <c r="C38" s="2428"/>
      <c r="D38" s="2429" t="s">
        <v>778</v>
      </c>
      <c r="E38" s="2425"/>
      <c r="F38" s="2421"/>
      <c r="G38" s="696"/>
      <c r="H38" s="696"/>
      <c r="I38" s="696"/>
      <c r="M38" s="651" t="s">
        <v>779</v>
      </c>
    </row>
    <row r="39" ht="14.4" spans="1:9">
      <c r="A39" s="2371" t="s">
        <v>780</v>
      </c>
      <c r="B39" s="2430" t="s">
        <v>759</v>
      </c>
      <c r="C39" s="2431" t="s">
        <v>760</v>
      </c>
      <c r="D39" s="2431" t="s">
        <v>781</v>
      </c>
      <c r="E39" s="2432" t="s">
        <v>761</v>
      </c>
      <c r="F39" s="2421"/>
      <c r="G39" s="696"/>
      <c r="H39" s="696"/>
      <c r="I39" s="696"/>
    </row>
    <row r="40" ht="14.4" spans="1:9">
      <c r="A40" s="2433" t="s">
        <v>782</v>
      </c>
      <c r="B40" s="2434"/>
      <c r="C40" s="714"/>
      <c r="D40" s="714"/>
      <c r="E40" s="2435"/>
      <c r="F40" s="2421"/>
      <c r="G40" s="696"/>
      <c r="H40" s="696"/>
      <c r="I40" s="696"/>
    </row>
    <row r="41" ht="14.4" spans="1:9">
      <c r="A41" s="2433" t="s">
        <v>783</v>
      </c>
      <c r="B41" s="2434"/>
      <c r="C41" s="714"/>
      <c r="D41" s="714"/>
      <c r="E41" s="2435"/>
      <c r="F41" s="2421"/>
      <c r="G41" s="696"/>
      <c r="H41" s="696"/>
      <c r="I41" s="696"/>
    </row>
    <row r="42" ht="15.15" spans="1:9">
      <c r="A42" s="2436"/>
      <c r="B42" s="2437"/>
      <c r="C42" s="2438"/>
      <c r="D42" s="2438"/>
      <c r="E42" s="2415"/>
      <c r="F42" s="2421"/>
      <c r="G42" s="696"/>
      <c r="H42" s="696"/>
      <c r="I42" s="696"/>
    </row>
    <row r="43" ht="14.4" spans="1:9">
      <c r="A43" s="2439"/>
      <c r="B43" s="2439"/>
      <c r="C43" s="2439"/>
      <c r="D43" s="2439"/>
      <c r="E43" s="2439"/>
      <c r="F43" s="2440"/>
      <c r="G43" s="2440"/>
      <c r="H43" s="2440"/>
      <c r="I43" s="2510"/>
    </row>
    <row r="44" ht="17.4" spans="1:15">
      <c r="A44" s="2441" t="s">
        <v>784</v>
      </c>
      <c r="B44" s="2442"/>
      <c r="C44" s="2442"/>
      <c r="D44" s="2443"/>
      <c r="E44" s="2443"/>
      <c r="F44" s="2444"/>
      <c r="G44" s="2444"/>
      <c r="H44" s="2444"/>
      <c r="I44" s="2444"/>
      <c r="J44" s="2511" t="s">
        <v>785</v>
      </c>
      <c r="K44" s="2512"/>
      <c r="L44" s="2512"/>
      <c r="M44" s="2512"/>
      <c r="N44" s="2512"/>
      <c r="O44" s="2512"/>
    </row>
    <row r="45" ht="14.25" customHeight="1" spans="1:15">
      <c r="A45" s="2445" t="s">
        <v>786</v>
      </c>
      <c r="B45" s="2446"/>
      <c r="C45" s="2447"/>
      <c r="D45" s="1961">
        <f ca="1">ROUND(H101*F45,0)</f>
        <v>15532</v>
      </c>
      <c r="E45" s="2448" t="s">
        <v>787</v>
      </c>
      <c r="F45" s="2449">
        <v>1</v>
      </c>
      <c r="G45" s="2450" t="s">
        <v>788</v>
      </c>
      <c r="H45" s="696"/>
      <c r="I45" s="696"/>
      <c r="J45" s="2513" t="s">
        <v>789</v>
      </c>
      <c r="K45" s="2513"/>
      <c r="L45" s="2513"/>
      <c r="M45" s="2513"/>
      <c r="N45" s="2513"/>
      <c r="O45" s="2513"/>
    </row>
    <row r="46" ht="14.25" customHeight="1" spans="1:15">
      <c r="A46" s="2451" t="s">
        <v>790</v>
      </c>
      <c r="B46" s="2452"/>
      <c r="C46" s="2452"/>
      <c r="D46" s="2452"/>
      <c r="E46" s="2452"/>
      <c r="F46" s="2452"/>
      <c r="G46" s="2453"/>
      <c r="H46" s="2454"/>
      <c r="I46" s="697"/>
      <c r="J46" s="2514">
        <v>1</v>
      </c>
      <c r="K46" s="2515" t="s">
        <v>791</v>
      </c>
      <c r="L46" s="2515"/>
      <c r="M46" s="2516"/>
      <c r="N46" s="2516"/>
      <c r="O46" s="2516"/>
    </row>
    <row r="47" ht="12" customHeight="1" spans="1:15">
      <c r="A47" s="2455" t="s">
        <v>792</v>
      </c>
      <c r="B47" s="2456"/>
      <c r="C47" s="2457"/>
      <c r="D47" s="2014" t="s">
        <v>793</v>
      </c>
      <c r="E47" s="1962" t="s">
        <v>794</v>
      </c>
      <c r="F47" s="2458" t="s">
        <v>795</v>
      </c>
      <c r="G47" s="2459" t="s">
        <v>796</v>
      </c>
      <c r="H47" s="2460"/>
      <c r="I47" s="697"/>
      <c r="J47" s="2514">
        <v>2</v>
      </c>
      <c r="K47" s="2515" t="s">
        <v>797</v>
      </c>
      <c r="L47" s="2515"/>
      <c r="M47" s="2517">
        <f>'数据-取费表'!B2</f>
        <v>44802</v>
      </c>
      <c r="N47" s="2517"/>
      <c r="O47" s="2517"/>
    </row>
    <row r="48" ht="25.2" spans="1:15">
      <c r="A48" s="2461" t="s">
        <v>798</v>
      </c>
      <c r="B48" s="2018"/>
      <c r="C48" s="2018"/>
      <c r="D48" s="2117" t="b">
        <f ca="1">IF(H48="情况1",0,IF(H48="情况2",D52,IF(H48="情况3",D53,IF(H48="情况4",D54))))</f>
        <v>0</v>
      </c>
      <c r="E48" s="2018" t="str">
        <f>IF(H48="情况4","(销售额-原购置价)×税（费）率","销售额×税（费）率")</f>
        <v>销售额×税（费）率</v>
      </c>
      <c r="F48" s="2462">
        <f>IF(H48="情况1","免征",'数据-取费表'!B41)</f>
        <v>0.055</v>
      </c>
      <c r="G48" s="2463" t="s">
        <v>799</v>
      </c>
      <c r="H48" s="2464"/>
      <c r="I48" s="2454"/>
      <c r="J48" s="2514">
        <v>3</v>
      </c>
      <c r="K48" s="2515" t="s">
        <v>800</v>
      </c>
      <c r="L48" s="2515"/>
      <c r="M48" s="2518">
        <f ca="1">H101</f>
        <v>15532</v>
      </c>
      <c r="N48" s="2518"/>
      <c r="O48" s="2518"/>
    </row>
    <row r="49" ht="25.5" customHeight="1" spans="1:15">
      <c r="A49" s="2461" t="s">
        <v>801</v>
      </c>
      <c r="B49" s="1996" t="s">
        <v>802</v>
      </c>
      <c r="C49" s="1996"/>
      <c r="D49" s="2465">
        <v>0</v>
      </c>
      <c r="E49" s="2024" t="s">
        <v>803</v>
      </c>
      <c r="F49" s="2466" t="s">
        <v>124</v>
      </c>
      <c r="G49" s="2467"/>
      <c r="H49" s="2468" t="s">
        <v>804</v>
      </c>
      <c r="I49" s="2519"/>
      <c r="J49" s="2514">
        <v>4</v>
      </c>
      <c r="K49" s="2515" t="str">
        <f>IF(项目基本情况!E8="房地产抵押价值","房地产抵押价值","抵押担保权已注销时的房地产抵押价值")</f>
        <v>抵押担保权已注销时的房地产抵押价值</v>
      </c>
      <c r="L49" s="2515"/>
      <c r="M49" s="2518" t="str">
        <f ca="1">IF(项目基本情况!E8="房地产抵押价值",H107,H109)</f>
        <v>——</v>
      </c>
      <c r="N49" s="2518"/>
      <c r="O49" s="2518"/>
    </row>
    <row r="50" ht="25.5" customHeight="1" spans="1:15">
      <c r="A50" s="2469"/>
      <c r="B50" s="1996" t="s">
        <v>805</v>
      </c>
      <c r="C50" s="1996"/>
      <c r="D50" s="2470"/>
      <c r="E50" s="2039"/>
      <c r="F50" s="2466"/>
      <c r="G50" s="2471"/>
      <c r="H50" s="2472" t="s">
        <v>806</v>
      </c>
      <c r="I50" s="2519"/>
      <c r="J50" s="2513" t="s">
        <v>807</v>
      </c>
      <c r="K50" s="2513"/>
      <c r="L50" s="2513"/>
      <c r="M50" s="2513"/>
      <c r="N50" s="2513"/>
      <c r="O50" s="2513"/>
    </row>
    <row r="51" ht="20.4" customHeight="1" spans="1:15">
      <c r="A51" s="2473"/>
      <c r="B51" s="1996" t="s">
        <v>808</v>
      </c>
      <c r="C51" s="1996"/>
      <c r="D51" s="2014"/>
      <c r="E51" s="2028"/>
      <c r="F51" s="2466"/>
      <c r="G51" s="2474"/>
      <c r="H51" s="2472" t="s">
        <v>809</v>
      </c>
      <c r="I51" s="2519"/>
      <c r="J51" s="2515" t="s">
        <v>810</v>
      </c>
      <c r="K51" s="2515" t="s">
        <v>811</v>
      </c>
      <c r="L51" s="2515"/>
      <c r="M51" s="2515" t="s">
        <v>812</v>
      </c>
      <c r="N51" s="2515" t="s">
        <v>813</v>
      </c>
      <c r="O51" s="2515" t="s">
        <v>814</v>
      </c>
    </row>
    <row r="52" ht="24" customHeight="1" spans="1:15">
      <c r="A52" s="2475" t="s">
        <v>815</v>
      </c>
      <c r="B52" s="1996" t="s">
        <v>816</v>
      </c>
      <c r="C52" s="1996"/>
      <c r="D52" s="2014">
        <f ca="1">ROUND(D45*'数据-取费表'!B41/(1+'数据-取费表'!C42),0)</f>
        <v>814</v>
      </c>
      <c r="E52" s="2018" t="s">
        <v>817</v>
      </c>
      <c r="F52" s="2476">
        <f>'数据-取费表'!B41</f>
        <v>0.055</v>
      </c>
      <c r="G52" s="2477"/>
      <c r="H52" s="2132"/>
      <c r="I52" s="2520"/>
      <c r="J52" s="2514">
        <v>1</v>
      </c>
      <c r="K52" s="2514" t="s">
        <v>818</v>
      </c>
      <c r="L52" s="2514"/>
      <c r="M52" s="2521" t="b">
        <f ca="1">D48</f>
        <v>0</v>
      </c>
      <c r="N52" s="2514" t="str">
        <f>E48</f>
        <v>销售额×税（费）率</v>
      </c>
      <c r="O52" s="2522">
        <f>F48</f>
        <v>0.055</v>
      </c>
    </row>
    <row r="53" ht="12" customHeight="1" spans="1:15">
      <c r="A53" s="2475" t="s">
        <v>819</v>
      </c>
      <c r="B53" s="1995" t="s">
        <v>820</v>
      </c>
      <c r="C53" s="2478"/>
      <c r="D53" s="2014">
        <f ca="1">ROUND(D45*'数据-取费表'!B41/(1+'数据-取费表'!C42),0)</f>
        <v>814</v>
      </c>
      <c r="E53" s="2018" t="s">
        <v>817</v>
      </c>
      <c r="F53" s="2476">
        <f>'数据-取费表'!B41</f>
        <v>0.055</v>
      </c>
      <c r="G53" s="2477"/>
      <c r="H53" s="2132"/>
      <c r="I53" s="2520"/>
      <c r="J53" s="2514">
        <v>2</v>
      </c>
      <c r="K53" s="2514" t="s">
        <v>821</v>
      </c>
      <c r="L53" s="2514"/>
      <c r="M53" s="2521">
        <f ca="1" t="shared" ref="M53:O54" si="0">D55</f>
        <v>8</v>
      </c>
      <c r="N53" s="2514" t="str">
        <f t="shared" si="0"/>
        <v>销售额×税（费）率</v>
      </c>
      <c r="O53" s="2522" t="str">
        <f t="shared" si="0"/>
        <v>免征</v>
      </c>
    </row>
    <row r="54" ht="12" customHeight="1" spans="1:15">
      <c r="A54" s="2475" t="s">
        <v>822</v>
      </c>
      <c r="B54" s="1995" t="s">
        <v>823</v>
      </c>
      <c r="C54" s="2478"/>
      <c r="D54" s="2014">
        <f ca="1">C68</f>
        <v>814</v>
      </c>
      <c r="E54" s="2028" t="s">
        <v>824</v>
      </c>
      <c r="F54" s="2476">
        <f>'数据-取费表'!B41</f>
        <v>0.055</v>
      </c>
      <c r="G54" s="2477"/>
      <c r="H54" s="2479"/>
      <c r="I54" s="2520"/>
      <c r="J54" s="2514">
        <v>3</v>
      </c>
      <c r="K54" s="2514" t="s">
        <v>825</v>
      </c>
      <c r="L54" s="2514"/>
      <c r="M54" s="2521">
        <f ca="1" t="shared" si="0"/>
        <v>8805</v>
      </c>
      <c r="N54" s="2514" t="str">
        <f t="shared" si="0"/>
        <v>增值额×税（费）率</v>
      </c>
      <c r="O54" s="2523" t="str">
        <f t="shared" si="0"/>
        <v>免征</v>
      </c>
    </row>
    <row r="55" ht="24" customHeight="1" spans="1:15">
      <c r="A55" s="2475" t="s">
        <v>826</v>
      </c>
      <c r="B55" s="2018"/>
      <c r="C55" s="2018"/>
      <c r="D55" s="2117">
        <f ca="1">IF(H55="个人住宅",0,ROUND(D45*I55,0))</f>
        <v>8</v>
      </c>
      <c r="E55" s="2018" t="s">
        <v>827</v>
      </c>
      <c r="F55" s="2476" t="str">
        <f>IF(H55="正常",I55,"免征")</f>
        <v>免征</v>
      </c>
      <c r="G55" s="2477"/>
      <c r="H55" s="2464"/>
      <c r="I55" s="2524">
        <f>'数据-取费表'!B49</f>
        <v>0.0005</v>
      </c>
      <c r="J55" s="2514">
        <f>IF(H59="非个人房产","",4)</f>
        <v>4</v>
      </c>
      <c r="K55" s="2514" t="str">
        <f>IF(H59="非个人房产","——","个人所得税")</f>
        <v>个人所得税</v>
      </c>
      <c r="L55" s="2514"/>
      <c r="M55" s="2525">
        <f ca="1">D59</f>
        <v>148</v>
      </c>
      <c r="N55" s="1075" t="str">
        <f>E59</f>
        <v>差额计税</v>
      </c>
      <c r="O55" s="2526">
        <f>F59</f>
        <v>0.01</v>
      </c>
    </row>
    <row r="56" ht="25.2" spans="1:15">
      <c r="A56" s="2475" t="s">
        <v>828</v>
      </c>
      <c r="B56" s="2018"/>
      <c r="C56" s="2018"/>
      <c r="D56" s="2117">
        <f ca="1">IF(H56="个人住宅",D57,D58)</f>
        <v>8805</v>
      </c>
      <c r="E56" s="2018" t="s">
        <v>829</v>
      </c>
      <c r="F56" s="2476" t="str">
        <f>IF(H56="正常",F58,"免征")</f>
        <v>免征</v>
      </c>
      <c r="G56" s="2480" t="s">
        <v>830</v>
      </c>
      <c r="H56" s="2481"/>
      <c r="I56" s="2492"/>
      <c r="J56" s="2514" t="str">
        <f>IF(项目基本情况!K6="上海银行",IF(J55="",4,J55+1),"")</f>
        <v/>
      </c>
      <c r="K56" s="2117" t="str">
        <f>IF(项目基本情况!K6="上海银行","其他处置费用","")</f>
        <v/>
      </c>
      <c r="L56" s="2267"/>
      <c r="M56" s="2521" t="str">
        <f ca="1">IF(项目基本情况!K6="上海银行",M69,"")</f>
        <v/>
      </c>
      <c r="N56" s="2117" t="str">
        <f>IF(项目基本情况!K6="上海银行","包含处置中涉及的律师、诉讼、拍卖、评估等费用","")</f>
        <v/>
      </c>
      <c r="O56" s="1968"/>
    </row>
    <row r="57" ht="14.4" spans="1:16">
      <c r="A57" s="2475" t="s">
        <v>801</v>
      </c>
      <c r="B57" s="1995" t="s">
        <v>831</v>
      </c>
      <c r="C57" s="2478"/>
      <c r="D57" s="2465">
        <v>0</v>
      </c>
      <c r="E57" s="2024" t="s">
        <v>803</v>
      </c>
      <c r="F57" s="1962"/>
      <c r="G57" s="2477"/>
      <c r="H57" s="2482"/>
      <c r="I57" s="2492"/>
      <c r="J57" s="2514">
        <f>IF(AND(J55="",J56=""),4,IF(项目基本情况!K6="上海银行",结果表!J56+1,结果表!J55+1))</f>
        <v>5</v>
      </c>
      <c r="K57" s="2514" t="s">
        <v>832</v>
      </c>
      <c r="L57" s="2527" t="s">
        <v>833</v>
      </c>
      <c r="M57" s="2528"/>
      <c r="N57" s="2529">
        <f ca="1">SUMIF(M52:M56,"&lt;9e307")</f>
        <v>8961</v>
      </c>
      <c r="O57" s="2530"/>
      <c r="P57" s="2531" t="e">
        <f ca="1">N57/M49</f>
        <v>#VALUE!</v>
      </c>
    </row>
    <row r="58" ht="25.2" spans="1:15">
      <c r="A58" s="2475" t="s">
        <v>815</v>
      </c>
      <c r="B58" s="1995" t="s">
        <v>834</v>
      </c>
      <c r="C58" s="1996"/>
      <c r="D58" s="2117">
        <f ca="1">IF(H58="转让取得",C81,C97)</f>
        <v>8805</v>
      </c>
      <c r="E58" s="2018" t="s">
        <v>829</v>
      </c>
      <c r="F58" s="1962" t="s">
        <v>124</v>
      </c>
      <c r="G58" s="2477"/>
      <c r="H58" s="2481"/>
      <c r="I58" s="2492"/>
      <c r="J58" s="2514"/>
      <c r="K58" s="2514"/>
      <c r="L58" s="2527" t="s">
        <v>835</v>
      </c>
      <c r="M58" s="2532"/>
      <c r="N58" s="2533" t="str">
        <f ca="1">NUMBERSTRING(INT(N57*10000),2)&amp;"元整"</f>
        <v>捌仟玖佰陆拾壹万元整</v>
      </c>
      <c r="O58" s="2534"/>
    </row>
    <row r="59" ht="24.75" spans="1:15">
      <c r="A59" s="2483" t="s">
        <v>836</v>
      </c>
      <c r="B59" s="2484"/>
      <c r="C59" s="2484"/>
      <c r="D59" s="2485">
        <f ca="1">IF(H59="非个人房产","——",IF(H59="个人住宅（满五唯一有凭证）",0,IF(H59="个人其他（无凭证）",ROUND(D45*F59,0),ROUND(C67*F59,0))))</f>
        <v>148</v>
      </c>
      <c r="E59" s="2486" t="str">
        <f>IF(H59="非个人房产","——",IF(H59="个人其他（无凭证）","销售额×税（费）率",IF(H59="个人住宅（满五唯一有凭证）","免征","差额计税")))</f>
        <v>差额计税</v>
      </c>
      <c r="F59" s="2487">
        <f>IF(OR(H59="非个人房产",H59="个人住宅（满五唯一有凭证）"),"——",IF(H59="个人其他（有凭证）",20%,1%))</f>
        <v>0.01</v>
      </c>
      <c r="G59" s="2488" t="s">
        <v>830</v>
      </c>
      <c r="H59" s="2489"/>
      <c r="I59" s="2535" t="s">
        <v>837</v>
      </c>
      <c r="J59" s="1075">
        <f>J57+1</f>
        <v>6</v>
      </c>
      <c r="K59" s="2514" t="s">
        <v>838</v>
      </c>
      <c r="L59" s="2514" t="s">
        <v>833</v>
      </c>
      <c r="M59" s="2536"/>
      <c r="N59" s="2537" t="e">
        <f ca="1">M49-N57</f>
        <v>#VALUE!</v>
      </c>
      <c r="O59" s="2538"/>
    </row>
    <row r="60" ht="12" customHeight="1" spans="1:15">
      <c r="A60" s="2490"/>
      <c r="B60" s="2339"/>
      <c r="C60" s="2339"/>
      <c r="D60" s="2339"/>
      <c r="E60" s="2491"/>
      <c r="F60" s="2492"/>
      <c r="G60" s="2492"/>
      <c r="H60" s="2493"/>
      <c r="I60" s="696"/>
      <c r="J60" s="1080"/>
      <c r="K60" s="2514"/>
      <c r="L60" s="2527" t="s">
        <v>835</v>
      </c>
      <c r="M60" s="2532"/>
      <c r="N60" s="2533" t="e">
        <f ca="1">NUMBERSTRING(INT(N59*10000),2)&amp;"元整"</f>
        <v>#VALUE!</v>
      </c>
      <c r="O60" s="2534"/>
    </row>
    <row r="61" ht="15.15" spans="1:15">
      <c r="A61" s="2494" t="s">
        <v>839</v>
      </c>
      <c r="B61" s="2494"/>
      <c r="C61" s="2494"/>
      <c r="D61" s="2494"/>
      <c r="E61" s="2494"/>
      <c r="F61" s="2492"/>
      <c r="G61" s="2492"/>
      <c r="H61" s="2493"/>
      <c r="I61" s="696"/>
      <c r="J61" s="2514">
        <f>J59+1</f>
        <v>7</v>
      </c>
      <c r="K61" s="2514" t="s">
        <v>840</v>
      </c>
      <c r="L61" s="2514"/>
      <c r="M61" s="2539"/>
      <c r="N61" s="2540" t="e">
        <f ca="1">ROUND(N59*10000/'数据-汇总表'!E3,0)</f>
        <v>#VALUE!</v>
      </c>
      <c r="O61" s="2541"/>
    </row>
    <row r="62" ht="14.4" spans="1:9">
      <c r="A62" s="2495" t="s">
        <v>841</v>
      </c>
      <c r="B62" s="1053"/>
      <c r="C62" s="1053"/>
      <c r="D62" s="1053" t="s">
        <v>842</v>
      </c>
      <c r="E62" s="2496" t="s">
        <v>796</v>
      </c>
      <c r="F62" s="2492"/>
      <c r="G62" s="2492"/>
      <c r="H62" s="2493"/>
      <c r="I62" s="696"/>
    </row>
    <row r="63" ht="14.4" spans="1:35">
      <c r="A63" s="2497" t="s">
        <v>843</v>
      </c>
      <c r="B63" s="2498" t="s">
        <v>844</v>
      </c>
      <c r="C63" s="2499">
        <f ca="1">ROUND((C64+C65)/(1+'数据-取费表'!C42),0)</f>
        <v>14792</v>
      </c>
      <c r="D63" s="2498"/>
      <c r="E63" s="2500"/>
      <c r="F63" s="2492"/>
      <c r="G63" s="2492"/>
      <c r="H63" s="2493"/>
      <c r="I63" s="696"/>
      <c r="J63" s="2542" t="s">
        <v>845</v>
      </c>
      <c r="K63" s="2542" t="s">
        <v>846</v>
      </c>
      <c r="L63" s="2542" t="e">
        <f ca="1">IF(M49&gt;10000,M49*0.5%,IF(AND(M49&gt;1000,M49&lt;=10000),M49*1%,IF(AND(M49&gt;100,M49&lt;=1000),M49*3%,IF(AND(M49&gt;10,M49&lt;=100),M49*5%,M49*8%))))</f>
        <v>#VALUE!</v>
      </c>
      <c r="M63" s="1962" t="e">
        <f ca="1">ROUND(L63,1)</f>
        <v>#VALUE!</v>
      </c>
      <c r="N63" s="2543"/>
      <c r="Z63" s="2336"/>
      <c r="AI63" s="2337"/>
    </row>
    <row r="64" ht="14.25" customHeight="1" spans="1:35">
      <c r="A64" s="2501" t="s">
        <v>847</v>
      </c>
      <c r="B64" s="1036" t="s">
        <v>848</v>
      </c>
      <c r="C64" s="2502">
        <f ca="1">D45</f>
        <v>15532</v>
      </c>
      <c r="D64" s="1036" t="s">
        <v>124</v>
      </c>
      <c r="E64" s="2503"/>
      <c r="F64" s="2492"/>
      <c r="G64" s="2492"/>
      <c r="H64" s="2493"/>
      <c r="I64" s="696"/>
      <c r="J64" s="2542"/>
      <c r="K64" s="2542" t="s">
        <v>849</v>
      </c>
      <c r="L64" s="2542" t="e">
        <f ca="1">IF(M49&gt;2000,M49*0.5%,IF(AND(M49&gt;1000,M49&lt;=2000),M49*0.6%,IF(AND(M49&gt;500,M49&lt;=1000),M49*0.7%,IF(AND(M49&gt;200,M49&lt;=500),M49*0.8%,IF(AND(M49&gt;100,M49&lt;=200),M49*0.9%,IF(AND(M49&gt;50,M49&lt;=100),M49*1%,IF(AND(M49&gt;20,M49&lt;=50),M49*1.5%,IF(AND(M49&gt;10,M49&lt;=20),M49*2%,IF(AND(M49&gt;1,M49&lt;=10),M49*2.5%)))))))))</f>
        <v>#VALUE!</v>
      </c>
      <c r="M64" s="1962" t="e">
        <f ca="1" t="shared" ref="M64:M65" si="1">ROUND(L64,1)</f>
        <v>#VALUE!</v>
      </c>
      <c r="N64" s="2132" t="s">
        <v>850</v>
      </c>
      <c r="Z64" s="2336"/>
      <c r="AI64" s="2337"/>
    </row>
    <row r="65" ht="14.25" customHeight="1" spans="1:35">
      <c r="A65" s="2501" t="s">
        <v>851</v>
      </c>
      <c r="B65" s="1036" t="s">
        <v>852</v>
      </c>
      <c r="C65" s="2545"/>
      <c r="D65" s="1036"/>
      <c r="E65" s="2503"/>
      <c r="F65" s="2492"/>
      <c r="G65" s="2492"/>
      <c r="H65" s="2493"/>
      <c r="I65" s="696"/>
      <c r="J65" s="2542"/>
      <c r="K65" s="2542" t="s">
        <v>853</v>
      </c>
      <c r="L65" s="2542" t="e">
        <f ca="1">IF(M49&gt;1000,M49*0.1%,IF(AND(M49&gt;500,M49&lt;=1000),M49*0.5%,IF(AND(M49&gt;50,M49&lt;=500),M49*1%,IF(AND(M49&gt;1,M49&lt;=50),M49*1.5%))))</f>
        <v>#VALUE!</v>
      </c>
      <c r="M65" s="1962" t="e">
        <f ca="1" t="shared" si="1"/>
        <v>#VALUE!</v>
      </c>
      <c r="N65" s="2132" t="s">
        <v>850</v>
      </c>
      <c r="Z65" s="2336"/>
      <c r="AI65" s="2337"/>
    </row>
    <row r="66" ht="14.25" customHeight="1" spans="1:35">
      <c r="A66" s="2497" t="s">
        <v>854</v>
      </c>
      <c r="B66" s="2546" t="s">
        <v>855</v>
      </c>
      <c r="C66" s="2547"/>
      <c r="D66" s="2546" t="s">
        <v>124</v>
      </c>
      <c r="E66" s="2548" t="s">
        <v>856</v>
      </c>
      <c r="F66" s="2492"/>
      <c r="G66" s="2492"/>
      <c r="H66" s="2493"/>
      <c r="I66" s="696"/>
      <c r="J66" s="2542"/>
      <c r="K66" s="2542" t="s">
        <v>857</v>
      </c>
      <c r="L66" s="2542" t="e">
        <f ca="1">M49*0.5%</f>
        <v>#VALUE!</v>
      </c>
      <c r="M66" s="1962" t="e">
        <f ca="1">IF(L66&gt;0.5,0.5,ROUND(L66,0))</f>
        <v>#VALUE!</v>
      </c>
      <c r="N66" s="2132" t="s">
        <v>858</v>
      </c>
      <c r="Z66" s="2336"/>
      <c r="AI66" s="2337"/>
    </row>
    <row r="67" ht="14.25" customHeight="1" spans="1:35">
      <c r="A67" s="2497" t="s">
        <v>859</v>
      </c>
      <c r="B67" s="2546" t="s">
        <v>860</v>
      </c>
      <c r="C67" s="2549">
        <f ca="1">C63-C66</f>
        <v>14792</v>
      </c>
      <c r="D67" s="1036" t="s">
        <v>124</v>
      </c>
      <c r="E67" s="2503"/>
      <c r="F67" s="2492"/>
      <c r="G67" s="2492"/>
      <c r="H67" s="2493"/>
      <c r="I67" s="696"/>
      <c r="J67" s="2542"/>
      <c r="K67" s="2542" t="s">
        <v>861</v>
      </c>
      <c r="L67" s="2542" t="e">
        <f ca="1">IF(M49&gt;=10000,(8.25+(M49-10000)*0.01%),IF(AND(M49&gt;=8000,M49&lt;10000),(7.85+(M49-8000)*0.02%),IF(AND(M49&gt;=5000,M49&lt;8000),(6.65+(M49-5000)*0.04%),IF(AND(M49&gt;=2000,M49&lt;5000),(4.25+(PM49-2000)*0.08%),IF(AND(M49&gt;=1000,M49&lt;2000),(2.75+(M49-1000)*0.15%),IF(AND(M49&gt;=100,M49&lt;1000),(0.5+(M49-100)*0.25%),IF(AND(M49&gt;0,M49&lt;100),M49*0.5%)))))))</f>
        <v>#VALUE!</v>
      </c>
      <c r="M67" s="1962" t="e">
        <f ca="1">ROUND(L67*0.9,1)</f>
        <v>#VALUE!</v>
      </c>
      <c r="N67" s="2543"/>
      <c r="Z67" s="2336"/>
      <c r="AI67" s="2337"/>
    </row>
    <row r="68" ht="14.25" customHeight="1" spans="1:35">
      <c r="A68" s="2550" t="s">
        <v>862</v>
      </c>
      <c r="B68" s="2551" t="s">
        <v>863</v>
      </c>
      <c r="C68" s="2552">
        <f ca="1">IF(C67&lt;=0,0,ROUND(C67*D68,0))</f>
        <v>814</v>
      </c>
      <c r="D68" s="2553">
        <f>'数据-取费表'!B41</f>
        <v>0.055</v>
      </c>
      <c r="E68" s="2554"/>
      <c r="F68" s="2492"/>
      <c r="G68" s="2492"/>
      <c r="H68" s="2493"/>
      <c r="I68" s="696"/>
      <c r="J68" s="2542"/>
      <c r="K68" s="2542" t="s">
        <v>864</v>
      </c>
      <c r="L68" s="2542" t="e">
        <f ca="1">IF(M49&gt;10000,M49*0.5%,IF(AND(M49&gt;5000,M49&lt;=10000),M49*1%,IF(AND(M49&gt;1000,M49&lt;=5000),M49*2%,IF(AND(M49&gt;200,M49&lt;=1000),M49*3%,M49*5%))))</f>
        <v>#VALUE!</v>
      </c>
      <c r="M68" s="1962" t="e">
        <f ca="1">ROUND(L68,1)</f>
        <v>#VALUE!</v>
      </c>
      <c r="N68" s="2543"/>
      <c r="Z68" s="2336"/>
      <c r="AI68" s="2337"/>
    </row>
    <row r="69" s="2334" customFormat="1" ht="16.5" customHeight="1" spans="1:34">
      <c r="A69" s="2555"/>
      <c r="B69" s="2556"/>
      <c r="C69" s="2557"/>
      <c r="D69" s="1193"/>
      <c r="E69" s="2558"/>
      <c r="F69" s="2491"/>
      <c r="G69" s="2491"/>
      <c r="H69" s="2439"/>
      <c r="I69" s="2339"/>
      <c r="J69" s="2542"/>
      <c r="K69" s="2542" t="s">
        <v>865</v>
      </c>
      <c r="L69" s="2542"/>
      <c r="M69" s="1962" t="e">
        <f ca="1">ROUND(SUM(M63:M68),0)</f>
        <v>#VALUE!</v>
      </c>
      <c r="N69" s="2659" t="e">
        <f ca="1">M69/M49</f>
        <v>#VALUE!</v>
      </c>
      <c r="O69" s="651"/>
      <c r="P69" s="651"/>
      <c r="Q69" s="651"/>
      <c r="R69" s="651"/>
      <c r="S69" s="651"/>
      <c r="T69" s="651"/>
      <c r="U69" s="651"/>
      <c r="V69" s="651"/>
      <c r="W69" s="651"/>
      <c r="X69" s="651"/>
      <c r="Y69" s="651"/>
      <c r="Z69" s="2336"/>
      <c r="AA69" s="2336"/>
      <c r="AB69" s="2336"/>
      <c r="AC69" s="2336"/>
      <c r="AD69" s="2336"/>
      <c r="AE69" s="2336"/>
      <c r="AF69" s="2336"/>
      <c r="AG69" s="2336"/>
      <c r="AH69" s="2336"/>
    </row>
    <row r="70" s="2335" customFormat="1" ht="14.55" spans="1:35">
      <c r="A70" s="2559" t="s">
        <v>866</v>
      </c>
      <c r="B70" s="2560"/>
      <c r="C70" s="2560"/>
      <c r="D70" s="2560"/>
      <c r="E70" s="2560"/>
      <c r="F70" s="2560"/>
      <c r="G70" s="2560"/>
      <c r="H70" s="2560"/>
      <c r="I70" s="2660"/>
      <c r="J70" s="2661"/>
      <c r="K70" s="2661"/>
      <c r="L70" s="2661"/>
      <c r="M70" s="2661"/>
      <c r="N70" s="2662"/>
      <c r="O70" s="2662"/>
      <c r="P70" s="2662"/>
      <c r="Q70" s="2662"/>
      <c r="R70" s="2662"/>
      <c r="S70" s="2662"/>
      <c r="T70" s="2662"/>
      <c r="U70" s="2662"/>
      <c r="V70" s="2662"/>
      <c r="W70" s="2662"/>
      <c r="X70" s="2662"/>
      <c r="Y70" s="2662"/>
      <c r="Z70" s="2662"/>
      <c r="AA70" s="2669"/>
      <c r="AB70" s="2669"/>
      <c r="AC70" s="2669"/>
      <c r="AD70" s="2669"/>
      <c r="AE70" s="2669"/>
      <c r="AF70" s="2669"/>
      <c r="AG70" s="2669"/>
      <c r="AH70" s="2669"/>
      <c r="AI70" s="2669"/>
    </row>
    <row r="71" s="2335" customFormat="1" ht="13.8" spans="1:35">
      <c r="A71" s="2495" t="s">
        <v>841</v>
      </c>
      <c r="B71" s="1053"/>
      <c r="C71" s="1053"/>
      <c r="D71" s="1053" t="s">
        <v>842</v>
      </c>
      <c r="E71" s="2561" t="s">
        <v>796</v>
      </c>
      <c r="F71" s="2562"/>
      <c r="G71" s="2562"/>
      <c r="H71" s="2563"/>
      <c r="I71" s="2663"/>
      <c r="J71" s="2661"/>
      <c r="K71" s="2661"/>
      <c r="L71" s="2661"/>
      <c r="M71" s="2661"/>
      <c r="N71" s="2662"/>
      <c r="O71" s="2662"/>
      <c r="P71" s="2662"/>
      <c r="Q71" s="2662"/>
      <c r="R71" s="2662"/>
      <c r="S71" s="2662"/>
      <c r="T71" s="2662"/>
      <c r="U71" s="2662"/>
      <c r="V71" s="2662"/>
      <c r="W71" s="2662"/>
      <c r="X71" s="2662"/>
      <c r="Y71" s="2662"/>
      <c r="Z71" s="2662"/>
      <c r="AA71" s="2669"/>
      <c r="AB71" s="2669"/>
      <c r="AC71" s="2669"/>
      <c r="AD71" s="2669"/>
      <c r="AE71" s="2669"/>
      <c r="AF71" s="2669"/>
      <c r="AG71" s="2669"/>
      <c r="AH71" s="2669"/>
      <c r="AI71" s="2669"/>
    </row>
    <row r="72" s="2335" customFormat="1" ht="13.8" spans="1:35">
      <c r="A72" s="2497" t="s">
        <v>843</v>
      </c>
      <c r="B72" s="2546" t="s">
        <v>867</v>
      </c>
      <c r="C72" s="2549">
        <f ca="1">ROUND(D45/(1+'数据-取费表'!C42),0)</f>
        <v>14792</v>
      </c>
      <c r="D72" s="1036" t="s">
        <v>124</v>
      </c>
      <c r="E72" s="1995"/>
      <c r="F72" s="1996"/>
      <c r="G72" s="1996"/>
      <c r="H72" s="2564"/>
      <c r="I72" s="2663"/>
      <c r="J72" s="2661"/>
      <c r="K72" s="2661"/>
      <c r="L72" s="2661"/>
      <c r="M72" s="2661"/>
      <c r="N72" s="2662"/>
      <c r="O72" s="2662"/>
      <c r="P72" s="2662"/>
      <c r="Q72" s="2662"/>
      <c r="R72" s="2662"/>
      <c r="S72" s="2662"/>
      <c r="T72" s="2662"/>
      <c r="U72" s="2662"/>
      <c r="V72" s="2662"/>
      <c r="W72" s="2662"/>
      <c r="X72" s="2662"/>
      <c r="Y72" s="2662"/>
      <c r="Z72" s="2662"/>
      <c r="AA72" s="2669"/>
      <c r="AB72" s="2669"/>
      <c r="AC72" s="2669"/>
      <c r="AD72" s="2669"/>
      <c r="AE72" s="2669"/>
      <c r="AF72" s="2669"/>
      <c r="AG72" s="2669"/>
      <c r="AH72" s="2669"/>
      <c r="AI72" s="2669"/>
    </row>
    <row r="73" s="2335" customFormat="1" ht="13.8" spans="1:35">
      <c r="A73" s="2497" t="s">
        <v>854</v>
      </c>
      <c r="B73" s="2458" t="s">
        <v>868</v>
      </c>
      <c r="C73" s="2549">
        <f ca="1">C74+C78</f>
        <v>74</v>
      </c>
      <c r="D73" s="1036" t="s">
        <v>124</v>
      </c>
      <c r="E73" s="1995"/>
      <c r="F73" s="1996"/>
      <c r="G73" s="1996"/>
      <c r="H73" s="2564"/>
      <c r="I73" s="2663"/>
      <c r="J73" s="2662"/>
      <c r="K73" s="2662"/>
      <c r="L73" s="2662"/>
      <c r="M73" s="2662"/>
      <c r="N73" s="2662"/>
      <c r="O73" s="2662"/>
      <c r="P73" s="2662"/>
      <c r="Q73" s="2662"/>
      <c r="R73" s="2662"/>
      <c r="S73" s="2662"/>
      <c r="T73" s="2662"/>
      <c r="U73" s="2662"/>
      <c r="V73" s="2662"/>
      <c r="W73" s="2662"/>
      <c r="X73" s="2662"/>
      <c r="Y73" s="2662"/>
      <c r="Z73" s="2662"/>
      <c r="AA73" s="2669"/>
      <c r="AB73" s="2669"/>
      <c r="AC73" s="2669"/>
      <c r="AD73" s="2669"/>
      <c r="AE73" s="2669"/>
      <c r="AF73" s="2669"/>
      <c r="AG73" s="2669"/>
      <c r="AH73" s="2669"/>
      <c r="AI73" s="2669"/>
    </row>
    <row r="74" s="2335" customFormat="1" ht="24" spans="1:35">
      <c r="A74" s="2501" t="s">
        <v>847</v>
      </c>
      <c r="B74" s="1036" t="s">
        <v>869</v>
      </c>
      <c r="C74" s="1036">
        <f>ROUND(IF(G77="2016年5月1日后购买",C75/(1+'数据-取费表'!C42)+C76+C77,C75+C76+C77),0)</f>
        <v>0</v>
      </c>
      <c r="D74" s="1036" t="s">
        <v>124</v>
      </c>
      <c r="E74" s="1995"/>
      <c r="F74" s="1996"/>
      <c r="G74" s="1996"/>
      <c r="H74" s="2564"/>
      <c r="I74" s="2663"/>
      <c r="J74" s="2662"/>
      <c r="K74" s="2662"/>
      <c r="L74" s="2662"/>
      <c r="M74" s="2662"/>
      <c r="N74" s="2662"/>
      <c r="O74" s="2662"/>
      <c r="P74" s="2662"/>
      <c r="Q74" s="2662"/>
      <c r="R74" s="2662"/>
      <c r="S74" s="2662"/>
      <c r="T74" s="2662"/>
      <c r="U74" s="2662"/>
      <c r="V74" s="2662"/>
      <c r="W74" s="2662"/>
      <c r="X74" s="2662"/>
      <c r="Y74" s="2662"/>
      <c r="Z74" s="2662"/>
      <c r="AA74" s="2669"/>
      <c r="AB74" s="2669"/>
      <c r="AC74" s="2669"/>
      <c r="AD74" s="2669"/>
      <c r="AE74" s="2669"/>
      <c r="AF74" s="2669"/>
      <c r="AG74" s="2669"/>
      <c r="AH74" s="2669"/>
      <c r="AI74" s="2669"/>
    </row>
    <row r="75" s="2335" customFormat="1" ht="28.8" spans="1:35">
      <c r="A75" s="2501" t="s">
        <v>870</v>
      </c>
      <c r="B75" s="1036" t="s">
        <v>871</v>
      </c>
      <c r="C75" s="2565"/>
      <c r="D75" s="1036" t="s">
        <v>124</v>
      </c>
      <c r="E75" s="2566" t="s">
        <v>872</v>
      </c>
      <c r="F75" s="2567"/>
      <c r="G75" s="2566" t="s">
        <v>873</v>
      </c>
      <c r="H75" s="2568"/>
      <c r="I75" s="1282"/>
      <c r="J75" s="2662"/>
      <c r="K75" s="2662"/>
      <c r="L75" s="2662"/>
      <c r="M75" s="2662"/>
      <c r="N75" s="2662"/>
      <c r="O75" s="2662"/>
      <c r="P75" s="2662"/>
      <c r="Q75" s="2662"/>
      <c r="R75" s="2662"/>
      <c r="S75" s="2662"/>
      <c r="T75" s="2662"/>
      <c r="U75" s="2662"/>
      <c r="V75" s="2662"/>
      <c r="W75" s="2662"/>
      <c r="X75" s="2662"/>
      <c r="Y75" s="2662"/>
      <c r="Z75" s="2662"/>
      <c r="AA75" s="2669"/>
      <c r="AB75" s="2669"/>
      <c r="AC75" s="2669"/>
      <c r="AD75" s="2669"/>
      <c r="AE75" s="2669"/>
      <c r="AF75" s="2669"/>
      <c r="AG75" s="2669"/>
      <c r="AH75" s="2669"/>
      <c r="AI75" s="2669"/>
    </row>
    <row r="76" s="2335" customFormat="1" ht="24.75" customHeight="1" spans="1:35">
      <c r="A76" s="2501" t="s">
        <v>874</v>
      </c>
      <c r="B76" s="2569" t="s">
        <v>875</v>
      </c>
      <c r="C76" s="1036">
        <f>IF(F75="购房发票",ROUND(C75*H75*D76,0),0)</f>
        <v>0</v>
      </c>
      <c r="D76" s="2570">
        <v>0.05</v>
      </c>
      <c r="E76" s="1995" t="s">
        <v>876</v>
      </c>
      <c r="F76" s="1996"/>
      <c r="G76" s="1996"/>
      <c r="H76" s="2571"/>
      <c r="I76" s="2663"/>
      <c r="J76" s="2662"/>
      <c r="K76" s="2662"/>
      <c r="L76" s="2662"/>
      <c r="M76" s="2662"/>
      <c r="N76" s="2662"/>
      <c r="O76" s="2662"/>
      <c r="P76" s="2662"/>
      <c r="Q76" s="2662"/>
      <c r="R76" s="2662"/>
      <c r="S76" s="2662"/>
      <c r="T76" s="2662"/>
      <c r="U76" s="2662"/>
      <c r="V76" s="2662"/>
      <c r="W76" s="2662"/>
      <c r="X76" s="2662"/>
      <c r="Y76" s="2662"/>
      <c r="Z76" s="2662"/>
      <c r="AA76" s="2669"/>
      <c r="AB76" s="2669"/>
      <c r="AC76" s="2669"/>
      <c r="AD76" s="2669"/>
      <c r="AE76" s="2669"/>
      <c r="AF76" s="2669"/>
      <c r="AG76" s="2669"/>
      <c r="AH76" s="2669"/>
      <c r="AI76" s="2669"/>
    </row>
    <row r="77" s="2335" customFormat="1" ht="24.75" customHeight="1" spans="1:35">
      <c r="A77" s="2501" t="s">
        <v>877</v>
      </c>
      <c r="B77" s="1036" t="s">
        <v>878</v>
      </c>
      <c r="C77" s="1036">
        <f>ROUND(IF(G77="个人住宅",0,IF(G77="2016年5月1日前购买",C75*D77,C75*D77/(1+'数据-取费表'!C42))),0)</f>
        <v>0</v>
      </c>
      <c r="D77" s="2572">
        <f>'数据-取费表'!B48+'数据-取费表'!B49</f>
        <v>0.0305</v>
      </c>
      <c r="E77" s="2117" t="s">
        <v>879</v>
      </c>
      <c r="F77" s="2573"/>
      <c r="G77" s="2574"/>
      <c r="H77" s="2571" t="str">
        <f>IF(G77="个人买卖住房","免征印花税"," ")</f>
        <v> </v>
      </c>
      <c r="I77" s="2663"/>
      <c r="J77" s="2662"/>
      <c r="K77" s="2662"/>
      <c r="L77" s="2662"/>
      <c r="M77" s="2662"/>
      <c r="N77" s="2662"/>
      <c r="O77" s="2662"/>
      <c r="P77" s="2662"/>
      <c r="Q77" s="2662"/>
      <c r="R77" s="2662"/>
      <c r="S77" s="2662"/>
      <c r="T77" s="2662"/>
      <c r="U77" s="2662"/>
      <c r="V77" s="2662"/>
      <c r="W77" s="2662"/>
      <c r="X77" s="2662"/>
      <c r="Y77" s="2662"/>
      <c r="Z77" s="2662"/>
      <c r="AA77" s="2669"/>
      <c r="AB77" s="2669"/>
      <c r="AC77" s="2669"/>
      <c r="AD77" s="2669"/>
      <c r="AE77" s="2669"/>
      <c r="AF77" s="2669"/>
      <c r="AG77" s="2669"/>
      <c r="AH77" s="2669"/>
      <c r="AI77" s="2669"/>
    </row>
    <row r="78" s="2335" customFormat="1" ht="24.75" customHeight="1" spans="1:35">
      <c r="A78" s="2501" t="s">
        <v>851</v>
      </c>
      <c r="B78" s="1036" t="s">
        <v>880</v>
      </c>
      <c r="C78" s="2575">
        <f ca="1">ROUND(D45*D78/(1+'数据-取费表'!C42),0)</f>
        <v>74</v>
      </c>
      <c r="D78" s="2576">
        <f>'数据-取费表'!B43</f>
        <v>0.005</v>
      </c>
      <c r="E78" s="2577" t="s">
        <v>881</v>
      </c>
      <c r="F78" s="2578"/>
      <c r="G78" s="2578"/>
      <c r="H78" s="2579"/>
      <c r="I78" s="2664"/>
      <c r="J78" s="2662"/>
      <c r="K78" s="2662"/>
      <c r="L78" s="2662"/>
      <c r="M78" s="2662"/>
      <c r="N78" s="2662"/>
      <c r="O78" s="2662"/>
      <c r="P78" s="2662"/>
      <c r="Q78" s="2662"/>
      <c r="R78" s="2662"/>
      <c r="S78" s="2662"/>
      <c r="T78" s="2662"/>
      <c r="U78" s="2662"/>
      <c r="V78" s="2662"/>
      <c r="W78" s="2662"/>
      <c r="X78" s="2662"/>
      <c r="Y78" s="2662"/>
      <c r="Z78" s="2662"/>
      <c r="AA78" s="2669"/>
      <c r="AB78" s="2669"/>
      <c r="AC78" s="2669"/>
      <c r="AD78" s="2669"/>
      <c r="AE78" s="2669"/>
      <c r="AF78" s="2669"/>
      <c r="AG78" s="2669"/>
      <c r="AH78" s="2669"/>
      <c r="AI78" s="2669"/>
    </row>
    <row r="79" s="2335" customFormat="1" ht="13.8" spans="1:35">
      <c r="A79" s="2497" t="s">
        <v>859</v>
      </c>
      <c r="B79" s="2546" t="s">
        <v>882</v>
      </c>
      <c r="C79" s="2549">
        <f ca="1">C72-C73</f>
        <v>14718</v>
      </c>
      <c r="D79" s="1036" t="s">
        <v>124</v>
      </c>
      <c r="E79" s="1995"/>
      <c r="F79" s="1996"/>
      <c r="G79" s="1996"/>
      <c r="H79" s="2564"/>
      <c r="I79" s="2663"/>
      <c r="J79" s="2662"/>
      <c r="K79" s="2662"/>
      <c r="L79" s="2662"/>
      <c r="M79" s="2662"/>
      <c r="N79" s="2662"/>
      <c r="O79" s="2662"/>
      <c r="P79" s="2662"/>
      <c r="Q79" s="2662"/>
      <c r="R79" s="2662"/>
      <c r="S79" s="2662"/>
      <c r="T79" s="2662"/>
      <c r="U79" s="2662"/>
      <c r="V79" s="2662"/>
      <c r="W79" s="2662"/>
      <c r="X79" s="2662"/>
      <c r="Y79" s="2662"/>
      <c r="Z79" s="2662"/>
      <c r="AA79" s="2669"/>
      <c r="AB79" s="2669"/>
      <c r="AC79" s="2669"/>
      <c r="AD79" s="2669"/>
      <c r="AE79" s="2669"/>
      <c r="AF79" s="2669"/>
      <c r="AG79" s="2669"/>
      <c r="AH79" s="2669"/>
      <c r="AI79" s="2669"/>
    </row>
    <row r="80" s="2335" customFormat="1" ht="24" spans="1:35">
      <c r="A80" s="2497" t="s">
        <v>862</v>
      </c>
      <c r="B80" s="2546" t="s">
        <v>883</v>
      </c>
      <c r="C80" s="2580">
        <f ca="1">IF(C79&lt;=0,0,C79/C73)</f>
        <v>198.891891891892</v>
      </c>
      <c r="D80" s="1036" t="s">
        <v>124</v>
      </c>
      <c r="E80" s="2117" t="str">
        <f ca="1">IF(C80&gt;=200%,"增值额超过扣除项目金额200%",IF(C80&gt;=100%,"增值额超过扣除项目金额100%，未超过200%",IF(C80&gt;=50%,"增值额超过扣除项目金额50%，未超过100%",IF(C80&lt;50%,"增值额未超过扣除项目金额50%"))))</f>
        <v>增值额超过扣除项目金额200%</v>
      </c>
      <c r="F80" s="1996"/>
      <c r="G80" s="1996"/>
      <c r="H80" s="2564"/>
      <c r="I80" s="2663"/>
      <c r="J80" s="2662"/>
      <c r="K80" s="2662"/>
      <c r="L80" s="2662"/>
      <c r="M80" s="2662"/>
      <c r="N80" s="2662"/>
      <c r="O80" s="2662"/>
      <c r="P80" s="2662"/>
      <c r="Q80" s="2662"/>
      <c r="R80" s="2662"/>
      <c r="S80" s="2662"/>
      <c r="T80" s="2662"/>
      <c r="U80" s="2662"/>
      <c r="V80" s="2662"/>
      <c r="W80" s="2662"/>
      <c r="X80" s="2662"/>
      <c r="Y80" s="2662"/>
      <c r="Z80" s="2662"/>
      <c r="AA80" s="2669"/>
      <c r="AB80" s="2669"/>
      <c r="AC80" s="2669"/>
      <c r="AD80" s="2669"/>
      <c r="AE80" s="2669"/>
      <c r="AF80" s="2669"/>
      <c r="AG80" s="2669"/>
      <c r="AH80" s="2669"/>
      <c r="AI80" s="2669"/>
    </row>
    <row r="81" s="2335" customFormat="1" ht="24.75" spans="1:35">
      <c r="A81" s="2550" t="s">
        <v>884</v>
      </c>
      <c r="B81" s="2551" t="s">
        <v>885</v>
      </c>
      <c r="C81" s="2581">
        <f ca="1">ROUND(IF(C79&lt;=0,0,IF(C80&gt;=200%,C79*60%-C73*35%,IF(C80&gt;=100%,C79*50%-C73*15%,IF(C80&gt;=50%,C79*40%-C73*5%,IF(C80&lt;50%,C79*30%,0))))),0)</f>
        <v>8805</v>
      </c>
      <c r="D81" s="2582" t="s">
        <v>124</v>
      </c>
      <c r="E81" s="258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84"/>
      <c r="G81" s="2584"/>
      <c r="H81" s="2585"/>
      <c r="I81" s="2663"/>
      <c r="J81" s="2662"/>
      <c r="K81" s="2662"/>
      <c r="L81" s="2662"/>
      <c r="M81" s="2662"/>
      <c r="N81" s="2662"/>
      <c r="O81" s="2662"/>
      <c r="P81" s="2662"/>
      <c r="Q81" s="2662"/>
      <c r="R81" s="2662"/>
      <c r="S81" s="2662"/>
      <c r="T81" s="2662"/>
      <c r="U81" s="2662"/>
      <c r="V81" s="2662"/>
      <c r="W81" s="2662"/>
      <c r="X81" s="2662"/>
      <c r="Y81" s="2662"/>
      <c r="Z81" s="2662"/>
      <c r="AA81" s="2669"/>
      <c r="AB81" s="2669"/>
      <c r="AC81" s="2669"/>
      <c r="AD81" s="2669"/>
      <c r="AE81" s="2669"/>
      <c r="AF81" s="2669"/>
      <c r="AG81" s="2669"/>
      <c r="AH81" s="2669"/>
      <c r="AI81" s="2669"/>
    </row>
    <row r="82" s="2335" customFormat="1" ht="7.5" customHeight="1" spans="1:35">
      <c r="A82" s="2586"/>
      <c r="B82" s="2587"/>
      <c r="C82" s="1177"/>
      <c r="D82" s="1177"/>
      <c r="E82" s="2587"/>
      <c r="F82" s="2587"/>
      <c r="G82" s="2587"/>
      <c r="H82" s="2588"/>
      <c r="I82" s="2664"/>
      <c r="J82" s="2662"/>
      <c r="K82" s="2662"/>
      <c r="L82" s="2662"/>
      <c r="M82" s="2662"/>
      <c r="N82" s="2662"/>
      <c r="O82" s="2662"/>
      <c r="P82" s="2662"/>
      <c r="Q82" s="2662"/>
      <c r="R82" s="2662"/>
      <c r="S82" s="2662"/>
      <c r="T82" s="2662"/>
      <c r="U82" s="2662"/>
      <c r="V82" s="2662"/>
      <c r="W82" s="2662"/>
      <c r="X82" s="2662"/>
      <c r="Y82" s="2662"/>
      <c r="Z82" s="2662"/>
      <c r="AA82" s="2669"/>
      <c r="AB82" s="2669"/>
      <c r="AC82" s="2669"/>
      <c r="AD82" s="2669"/>
      <c r="AE82" s="2669"/>
      <c r="AF82" s="2669"/>
      <c r="AG82" s="2669"/>
      <c r="AH82" s="2669"/>
      <c r="AI82" s="2669"/>
    </row>
    <row r="83" s="2335" customFormat="1" ht="14.55" spans="1:35">
      <c r="A83" s="2559" t="s">
        <v>886</v>
      </c>
      <c r="B83" s="2560"/>
      <c r="C83" s="2560"/>
      <c r="D83" s="2560"/>
      <c r="E83" s="2560"/>
      <c r="F83" s="2560"/>
      <c r="G83" s="2560"/>
      <c r="H83" s="2560"/>
      <c r="I83" s="1282"/>
      <c r="J83" s="2662"/>
      <c r="K83" s="2662"/>
      <c r="L83" s="2662"/>
      <c r="M83" s="2662"/>
      <c r="N83" s="2662"/>
      <c r="O83" s="2662"/>
      <c r="P83" s="2662"/>
      <c r="Q83" s="2662"/>
      <c r="R83" s="2662"/>
      <c r="S83" s="2662"/>
      <c r="T83" s="2662"/>
      <c r="U83" s="2662"/>
      <c r="V83" s="2662"/>
      <c r="W83" s="2662"/>
      <c r="X83" s="2662"/>
      <c r="Y83" s="2662"/>
      <c r="Z83" s="2662"/>
      <c r="AA83" s="2669"/>
      <c r="AB83" s="2669"/>
      <c r="AC83" s="2669"/>
      <c r="AD83" s="2669"/>
      <c r="AE83" s="2669"/>
      <c r="AF83" s="2669"/>
      <c r="AG83" s="2669"/>
      <c r="AH83" s="2669"/>
      <c r="AI83" s="2669"/>
    </row>
    <row r="84" s="2335" customFormat="1" ht="13.8" spans="1:35">
      <c r="A84" s="2495" t="s">
        <v>841</v>
      </c>
      <c r="B84" s="1053"/>
      <c r="C84" s="1053"/>
      <c r="D84" s="1053" t="s">
        <v>842</v>
      </c>
      <c r="E84" s="2561" t="s">
        <v>796</v>
      </c>
      <c r="F84" s="2562"/>
      <c r="G84" s="2562"/>
      <c r="H84" s="2589"/>
      <c r="I84" s="1282"/>
      <c r="J84" s="2662"/>
      <c r="K84" s="2662"/>
      <c r="L84" s="2662"/>
      <c r="M84" s="2662"/>
      <c r="N84" s="2662"/>
      <c r="O84" s="2662"/>
      <c r="P84" s="2662"/>
      <c r="Q84" s="2662"/>
      <c r="R84" s="2662"/>
      <c r="S84" s="2662"/>
      <c r="T84" s="2662"/>
      <c r="U84" s="2662"/>
      <c r="V84" s="2662"/>
      <c r="W84" s="2662"/>
      <c r="X84" s="2662"/>
      <c r="Y84" s="2662"/>
      <c r="Z84" s="2662"/>
      <c r="AA84" s="2669"/>
      <c r="AB84" s="2669"/>
      <c r="AC84" s="2669"/>
      <c r="AD84" s="2669"/>
      <c r="AE84" s="2669"/>
      <c r="AF84" s="2669"/>
      <c r="AG84" s="2669"/>
      <c r="AH84" s="2669"/>
      <c r="AI84" s="2669"/>
    </row>
    <row r="85" s="2335" customFormat="1" ht="13.8" spans="1:35">
      <c r="A85" s="2497" t="s">
        <v>843</v>
      </c>
      <c r="B85" s="2546" t="s">
        <v>867</v>
      </c>
      <c r="C85" s="2549">
        <f ca="1">ROUND(D45/(1+'数据-取费表'!C42),0)</f>
        <v>14792</v>
      </c>
      <c r="D85" s="1036" t="s">
        <v>124</v>
      </c>
      <c r="E85" s="1995"/>
      <c r="F85" s="1996"/>
      <c r="G85" s="1996"/>
      <c r="H85" s="2590"/>
      <c r="I85" s="1282"/>
      <c r="J85" s="2662"/>
      <c r="K85" s="2662"/>
      <c r="L85" s="2662"/>
      <c r="M85" s="2662"/>
      <c r="N85" s="2662"/>
      <c r="O85" s="2662"/>
      <c r="P85" s="2662"/>
      <c r="Q85" s="2662"/>
      <c r="R85" s="2662"/>
      <c r="S85" s="2662"/>
      <c r="T85" s="2662"/>
      <c r="U85" s="2662"/>
      <c r="V85" s="2662"/>
      <c r="W85" s="2662"/>
      <c r="X85" s="2662"/>
      <c r="Y85" s="2662"/>
      <c r="Z85" s="2662"/>
      <c r="AA85" s="2669"/>
      <c r="AB85" s="2669"/>
      <c r="AC85" s="2669"/>
      <c r="AD85" s="2669"/>
      <c r="AE85" s="2669"/>
      <c r="AF85" s="2669"/>
      <c r="AG85" s="2669"/>
      <c r="AH85" s="2669"/>
      <c r="AI85" s="2669"/>
    </row>
    <row r="86" s="2335" customFormat="1" ht="13.8" spans="1:35">
      <c r="A86" s="2497" t="s">
        <v>854</v>
      </c>
      <c r="B86" s="2458" t="s">
        <v>868</v>
      </c>
      <c r="C86" s="2549">
        <f ca="1">IF(H88="仅含出让金",C87+C90+C91+C92+C93+C94,C87+C91+C92+C93+C94)</f>
        <v>74</v>
      </c>
      <c r="D86" s="2591"/>
      <c r="E86" s="1995"/>
      <c r="F86" s="1996"/>
      <c r="G86" s="1996"/>
      <c r="H86" s="2590"/>
      <c r="I86" s="1282"/>
      <c r="J86" s="2662"/>
      <c r="K86" s="2662"/>
      <c r="L86" s="2662"/>
      <c r="M86" s="2662"/>
      <c r="N86" s="2662"/>
      <c r="O86" s="2662"/>
      <c r="P86" s="2662"/>
      <c r="Q86" s="2662"/>
      <c r="R86" s="2662"/>
      <c r="S86" s="2662"/>
      <c r="T86" s="2662"/>
      <c r="U86" s="2662"/>
      <c r="V86" s="2662"/>
      <c r="W86" s="2662"/>
      <c r="X86" s="2662"/>
      <c r="Y86" s="2662"/>
      <c r="Z86" s="2662"/>
      <c r="AA86" s="2669"/>
      <c r="AB86" s="2669"/>
      <c r="AC86" s="2669"/>
      <c r="AD86" s="2669"/>
      <c r="AE86" s="2669"/>
      <c r="AF86" s="2669"/>
      <c r="AG86" s="2669"/>
      <c r="AH86" s="2669"/>
      <c r="AI86" s="2669"/>
    </row>
    <row r="87" s="2335" customFormat="1" ht="13.8" spans="1:35">
      <c r="A87" s="2501" t="s">
        <v>847</v>
      </c>
      <c r="B87" s="1036" t="s">
        <v>887</v>
      </c>
      <c r="C87" s="2575">
        <f>C88+C89</f>
        <v>0</v>
      </c>
      <c r="D87" s="2576"/>
      <c r="E87" s="2577"/>
      <c r="F87" s="2578"/>
      <c r="G87" s="2578"/>
      <c r="H87" s="2579"/>
      <c r="I87" s="1282"/>
      <c r="J87" s="2662"/>
      <c r="K87" s="2662"/>
      <c r="L87" s="2662"/>
      <c r="M87" s="2662"/>
      <c r="N87" s="2662"/>
      <c r="O87" s="2662"/>
      <c r="P87" s="2662"/>
      <c r="Q87" s="2662"/>
      <c r="R87" s="2662"/>
      <c r="S87" s="2662"/>
      <c r="T87" s="2662"/>
      <c r="U87" s="2662"/>
      <c r="V87" s="2662"/>
      <c r="W87" s="2662"/>
      <c r="X87" s="2662"/>
      <c r="Y87" s="2662"/>
      <c r="Z87" s="2662"/>
      <c r="AA87" s="2669"/>
      <c r="AB87" s="2669"/>
      <c r="AC87" s="2669"/>
      <c r="AD87" s="2669"/>
      <c r="AE87" s="2669"/>
      <c r="AF87" s="2669"/>
      <c r="AG87" s="2669"/>
      <c r="AH87" s="2669"/>
      <c r="AI87" s="2669"/>
    </row>
    <row r="88" s="2335" customFormat="1" ht="14.4" spans="1:35">
      <c r="A88" s="2501" t="s">
        <v>870</v>
      </c>
      <c r="B88" s="1036" t="s">
        <v>888</v>
      </c>
      <c r="C88" s="2592"/>
      <c r="D88" s="2576"/>
      <c r="E88" s="2593" t="s">
        <v>889</v>
      </c>
      <c r="F88" s="2578"/>
      <c r="G88" s="2594" t="s">
        <v>890</v>
      </c>
      <c r="H88" s="2595"/>
      <c r="I88" s="1282"/>
      <c r="J88" s="2665" t="s">
        <v>891</v>
      </c>
      <c r="K88" s="2662"/>
      <c r="L88" s="2662"/>
      <c r="M88" s="2662"/>
      <c r="N88" s="2662"/>
      <c r="O88" s="2662"/>
      <c r="P88" s="2662"/>
      <c r="Q88" s="2662"/>
      <c r="R88" s="2662"/>
      <c r="S88" s="2662"/>
      <c r="T88" s="2662"/>
      <c r="U88" s="2662"/>
      <c r="V88" s="2662"/>
      <c r="W88" s="2662"/>
      <c r="X88" s="2662"/>
      <c r="Y88" s="2662"/>
      <c r="Z88" s="2662"/>
      <c r="AA88" s="2669"/>
      <c r="AB88" s="2669"/>
      <c r="AC88" s="2669"/>
      <c r="AD88" s="2669"/>
      <c r="AE88" s="2669"/>
      <c r="AF88" s="2669"/>
      <c r="AG88" s="2669"/>
      <c r="AH88" s="2669"/>
      <c r="AI88" s="2669"/>
    </row>
    <row r="89" s="2335" customFormat="1" ht="13.8" spans="1:35">
      <c r="A89" s="2501" t="s">
        <v>874</v>
      </c>
      <c r="B89" s="1036" t="s">
        <v>878</v>
      </c>
      <c r="C89" s="2575">
        <f>ROUND(C88*D89,0)</f>
        <v>0</v>
      </c>
      <c r="D89" s="2576">
        <f>'数据-取费表'!B48+'数据-取费表'!B49</f>
        <v>0.0305</v>
      </c>
      <c r="E89" s="2593" t="s">
        <v>892</v>
      </c>
      <c r="F89" s="2578"/>
      <c r="G89" s="2578"/>
      <c r="H89" s="2579"/>
      <c r="I89" s="1282"/>
      <c r="J89" s="2662"/>
      <c r="K89" s="2662"/>
      <c r="L89" s="2662"/>
      <c r="M89" s="2662"/>
      <c r="N89" s="2662"/>
      <c r="O89" s="2662"/>
      <c r="P89" s="2662"/>
      <c r="Q89" s="2662"/>
      <c r="R89" s="2662"/>
      <c r="S89" s="2662"/>
      <c r="T89" s="2662"/>
      <c r="U89" s="2662"/>
      <c r="V89" s="2662"/>
      <c r="W89" s="2662"/>
      <c r="X89" s="2662"/>
      <c r="Y89" s="2662"/>
      <c r="Z89" s="2662"/>
      <c r="AA89" s="2669"/>
      <c r="AB89" s="2669"/>
      <c r="AC89" s="2669"/>
      <c r="AD89" s="2669"/>
      <c r="AE89" s="2669"/>
      <c r="AF89" s="2669"/>
      <c r="AG89" s="2669"/>
      <c r="AH89" s="2669"/>
      <c r="AI89" s="2669"/>
    </row>
    <row r="90" s="2335" customFormat="1" ht="14.4" spans="1:35">
      <c r="A90" s="2501" t="s">
        <v>851</v>
      </c>
      <c r="B90" s="1036" t="s">
        <v>893</v>
      </c>
      <c r="C90" s="2592"/>
      <c r="D90" s="2576"/>
      <c r="E90" s="2593" t="str">
        <f>IF(H88="-","土地取得成本中已包含该笔费用"," ")</f>
        <v> </v>
      </c>
      <c r="F90" s="2578"/>
      <c r="G90" s="2596" t="s">
        <v>894</v>
      </c>
      <c r="H90" s="2597"/>
      <c r="I90" s="1282"/>
      <c r="J90" s="2665" t="s">
        <v>895</v>
      </c>
      <c r="K90" s="2662"/>
      <c r="L90" s="2662"/>
      <c r="M90" s="2662"/>
      <c r="N90" s="2662"/>
      <c r="O90" s="2662"/>
      <c r="P90" s="2662"/>
      <c r="Q90" s="2662"/>
      <c r="R90" s="2662"/>
      <c r="S90" s="2662"/>
      <c r="T90" s="2662"/>
      <c r="U90" s="2662"/>
      <c r="V90" s="2662"/>
      <c r="W90" s="2662"/>
      <c r="X90" s="2662"/>
      <c r="Y90" s="2662"/>
      <c r="Z90" s="2662"/>
      <c r="AA90" s="2669"/>
      <c r="AB90" s="2669"/>
      <c r="AC90" s="2669"/>
      <c r="AD90" s="2669"/>
      <c r="AE90" s="2669"/>
      <c r="AF90" s="2669"/>
      <c r="AG90" s="2669"/>
      <c r="AH90" s="2669"/>
      <c r="AI90" s="2669"/>
    </row>
    <row r="91" s="2335" customFormat="1" ht="27.75" customHeight="1" spans="1:35">
      <c r="A91" s="2501" t="s">
        <v>896</v>
      </c>
      <c r="B91" s="1036" t="s">
        <v>897</v>
      </c>
      <c r="C91" s="2575">
        <f ca="1">IF(H91="——",成本法!C33,I91)</f>
        <v>0</v>
      </c>
      <c r="D91" s="2576"/>
      <c r="E91" s="2577" t="s">
        <v>898</v>
      </c>
      <c r="F91" s="2578"/>
      <c r="G91" s="2578"/>
      <c r="H91" s="2598"/>
      <c r="I91" s="2666"/>
      <c r="J91" s="2662"/>
      <c r="K91" s="2662"/>
      <c r="L91" s="2662"/>
      <c r="M91" s="2662"/>
      <c r="N91" s="2662"/>
      <c r="O91" s="2662"/>
      <c r="P91" s="2662"/>
      <c r="Q91" s="2662"/>
      <c r="R91" s="2662"/>
      <c r="S91" s="2662"/>
      <c r="T91" s="2662"/>
      <c r="U91" s="2662"/>
      <c r="V91" s="2662"/>
      <c r="W91" s="2662"/>
      <c r="X91" s="2662"/>
      <c r="Y91" s="2662"/>
      <c r="Z91" s="2662"/>
      <c r="AA91" s="2669"/>
      <c r="AB91" s="2669"/>
      <c r="AC91" s="2669"/>
      <c r="AD91" s="2669"/>
      <c r="AE91" s="2669"/>
      <c r="AF91" s="2669"/>
      <c r="AG91" s="2669"/>
      <c r="AH91" s="2669"/>
      <c r="AI91" s="2669"/>
    </row>
    <row r="92" s="2335" customFormat="1" ht="25.5" customHeight="1" spans="1:35">
      <c r="A92" s="2501" t="s">
        <v>899</v>
      </c>
      <c r="B92" s="1036" t="s">
        <v>900</v>
      </c>
      <c r="C92" s="2575">
        <f ca="1">ROUND((C87+C90+C91)*D92,0)</f>
        <v>0</v>
      </c>
      <c r="D92" s="2599"/>
      <c r="E92" s="2577" t="s">
        <v>901</v>
      </c>
      <c r="F92" s="2578"/>
      <c r="G92" s="2578"/>
      <c r="H92" s="2579"/>
      <c r="I92" s="1282"/>
      <c r="J92" s="2667" t="s">
        <v>902</v>
      </c>
      <c r="K92" s="2662"/>
      <c r="L92" s="2662"/>
      <c r="M92" s="2662"/>
      <c r="N92" s="2662"/>
      <c r="O92" s="2662"/>
      <c r="P92" s="2662"/>
      <c r="Q92" s="2662"/>
      <c r="R92" s="2662"/>
      <c r="S92" s="2662"/>
      <c r="T92" s="2662"/>
      <c r="U92" s="2662"/>
      <c r="V92" s="2662"/>
      <c r="W92" s="2662"/>
      <c r="X92" s="2662"/>
      <c r="Y92" s="2662"/>
      <c r="Z92" s="2662"/>
      <c r="AA92" s="2669"/>
      <c r="AB92" s="2669"/>
      <c r="AC92" s="2669"/>
      <c r="AD92" s="2669"/>
      <c r="AE92" s="2669"/>
      <c r="AF92" s="2669"/>
      <c r="AG92" s="2669"/>
      <c r="AH92" s="2669"/>
      <c r="AI92" s="2669"/>
    </row>
    <row r="93" s="2335" customFormat="1" ht="25.5" customHeight="1" spans="1:35">
      <c r="A93" s="2501" t="s">
        <v>903</v>
      </c>
      <c r="B93" s="1036" t="s">
        <v>880</v>
      </c>
      <c r="C93" s="2575">
        <f ca="1">ROUND(D45*D93/(1+'数据-取费表'!C42),0)</f>
        <v>74</v>
      </c>
      <c r="D93" s="2576">
        <f>'数据-取费表'!B43</f>
        <v>0.005</v>
      </c>
      <c r="E93" s="2577" t="s">
        <v>881</v>
      </c>
      <c r="F93" s="2578"/>
      <c r="G93" s="2578"/>
      <c r="H93" s="2579"/>
      <c r="I93" s="1282"/>
      <c r="J93" s="2662"/>
      <c r="K93" s="2662"/>
      <c r="L93" s="2662"/>
      <c r="M93" s="2662"/>
      <c r="N93" s="2662"/>
      <c r="O93" s="2662"/>
      <c r="P93" s="2662"/>
      <c r="Q93" s="2662"/>
      <c r="R93" s="2662"/>
      <c r="S93" s="2662"/>
      <c r="T93" s="2662"/>
      <c r="U93" s="2662"/>
      <c r="V93" s="2662"/>
      <c r="W93" s="2662"/>
      <c r="X93" s="2662"/>
      <c r="Y93" s="2662"/>
      <c r="Z93" s="2662"/>
      <c r="AA93" s="2669"/>
      <c r="AB93" s="2669"/>
      <c r="AC93" s="2669"/>
      <c r="AD93" s="2669"/>
      <c r="AE93" s="2669"/>
      <c r="AF93" s="2669"/>
      <c r="AG93" s="2669"/>
      <c r="AH93" s="2669"/>
      <c r="AI93" s="2669"/>
    </row>
    <row r="94" s="2335" customFormat="1" ht="36.75" customHeight="1" spans="1:35">
      <c r="A94" s="2501" t="s">
        <v>904</v>
      </c>
      <c r="B94" s="1036" t="s">
        <v>905</v>
      </c>
      <c r="C94" s="2592">
        <f ca="1">ROUND((C87+C90+C91)*D94,0)</f>
        <v>0</v>
      </c>
      <c r="D94" s="2576">
        <v>0.2</v>
      </c>
      <c r="E94" s="2600" t="s">
        <v>906</v>
      </c>
      <c r="F94" s="2601"/>
      <c r="G94" s="2601"/>
      <c r="H94" s="2602"/>
      <c r="I94" s="1282"/>
      <c r="J94" s="2662"/>
      <c r="K94" s="2662"/>
      <c r="L94" s="2662"/>
      <c r="M94" s="2662"/>
      <c r="N94" s="2662"/>
      <c r="O94" s="2662"/>
      <c r="P94" s="2662"/>
      <c r="Q94" s="2662"/>
      <c r="R94" s="2662"/>
      <c r="S94" s="2662"/>
      <c r="T94" s="2662"/>
      <c r="U94" s="2662"/>
      <c r="V94" s="2662"/>
      <c r="W94" s="2662"/>
      <c r="X94" s="2662"/>
      <c r="Y94" s="2662"/>
      <c r="Z94" s="2662"/>
      <c r="AA94" s="2669"/>
      <c r="AB94" s="2669"/>
      <c r="AC94" s="2669"/>
      <c r="AD94" s="2669"/>
      <c r="AE94" s="2669"/>
      <c r="AF94" s="2669"/>
      <c r="AG94" s="2669"/>
      <c r="AH94" s="2669"/>
      <c r="AI94" s="2669"/>
    </row>
    <row r="95" s="2335" customFormat="1" ht="13.8" spans="1:35">
      <c r="A95" s="2497" t="s">
        <v>859</v>
      </c>
      <c r="B95" s="2546" t="s">
        <v>882</v>
      </c>
      <c r="C95" s="2549">
        <f ca="1">ROUND(C85-C86,0)</f>
        <v>14718</v>
      </c>
      <c r="D95" s="1036" t="s">
        <v>124</v>
      </c>
      <c r="E95" s="1995"/>
      <c r="F95" s="1996"/>
      <c r="G95" s="1996"/>
      <c r="H95" s="2590"/>
      <c r="I95" s="1282"/>
      <c r="J95" s="2662"/>
      <c r="K95" s="2662"/>
      <c r="L95" s="2662"/>
      <c r="M95" s="2662"/>
      <c r="N95" s="2662"/>
      <c r="O95" s="2662"/>
      <c r="P95" s="2662"/>
      <c r="Q95" s="2662"/>
      <c r="R95" s="2662"/>
      <c r="S95" s="2662"/>
      <c r="T95" s="2662"/>
      <c r="U95" s="2662"/>
      <c r="V95" s="2662"/>
      <c r="W95" s="2662"/>
      <c r="X95" s="2662"/>
      <c r="Y95" s="2662"/>
      <c r="Z95" s="2662"/>
      <c r="AA95" s="2669"/>
      <c r="AB95" s="2669"/>
      <c r="AC95" s="2669"/>
      <c r="AD95" s="2669"/>
      <c r="AE95" s="2669"/>
      <c r="AF95" s="2669"/>
      <c r="AG95" s="2669"/>
      <c r="AH95" s="2669"/>
      <c r="AI95" s="2669"/>
    </row>
    <row r="96" s="2335" customFormat="1" ht="24" spans="1:35">
      <c r="A96" s="2497" t="s">
        <v>862</v>
      </c>
      <c r="B96" s="2546" t="s">
        <v>883</v>
      </c>
      <c r="C96" s="2580">
        <f ca="1">IF(C95&lt;=0,0,C95/C86)</f>
        <v>198.891891891892</v>
      </c>
      <c r="D96" s="1036" t="s">
        <v>124</v>
      </c>
      <c r="E96" s="2117" t="str">
        <f ca="1">IF(C96&gt;=200%,"增值额超过扣除项目金额200%",IF(C96&gt;=100%,"增值额超过扣除项目金额100%，未超过200%",IF(C96&gt;=50%,"增值额超过扣除项目金额50%，未超过100%",IF(C96&lt;50%,"增值额未超过扣除项目金额50%"))))</f>
        <v>增值额超过扣除项目金额200%</v>
      </c>
      <c r="F96" s="1996"/>
      <c r="G96" s="1996"/>
      <c r="H96" s="2590"/>
      <c r="I96" s="1282"/>
      <c r="J96" s="2662"/>
      <c r="K96" s="2662"/>
      <c r="L96" s="2662"/>
      <c r="M96" s="2662"/>
      <c r="N96" s="2662"/>
      <c r="O96" s="2662"/>
      <c r="P96" s="2662"/>
      <c r="Q96" s="2662"/>
      <c r="R96" s="2662"/>
      <c r="S96" s="2662"/>
      <c r="T96" s="2662"/>
      <c r="U96" s="2662"/>
      <c r="V96" s="2662"/>
      <c r="W96" s="2662"/>
      <c r="X96" s="2662"/>
      <c r="Y96" s="2662"/>
      <c r="Z96" s="2662"/>
      <c r="AA96" s="2669"/>
      <c r="AB96" s="2669"/>
      <c r="AC96" s="2669"/>
      <c r="AD96" s="2669"/>
      <c r="AE96" s="2669"/>
      <c r="AF96" s="2669"/>
      <c r="AG96" s="2669"/>
      <c r="AH96" s="2669"/>
      <c r="AI96" s="2669"/>
    </row>
    <row r="97" s="2335" customFormat="1" ht="24.75" spans="1:35">
      <c r="A97" s="2550" t="s">
        <v>884</v>
      </c>
      <c r="B97" s="2551" t="s">
        <v>885</v>
      </c>
      <c r="C97" s="2581">
        <f ca="1">ROUND(IF(C95&lt;=0,0,IF(C96&gt;=200%,C95*60%-C86*35%,IF(C96&gt;=100%,C95*50%-C86*15%,IF(C96&gt;=50%,C95*40%-C86*5%,IF(C96&lt;50%,C95*30%,0))))),0)</f>
        <v>8805</v>
      </c>
      <c r="D97" s="2582" t="s">
        <v>124</v>
      </c>
      <c r="E97" s="258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84"/>
      <c r="G97" s="2584"/>
      <c r="H97" s="2603"/>
      <c r="I97" s="1282"/>
      <c r="J97" s="2662"/>
      <c r="K97" s="2662"/>
      <c r="L97" s="2662"/>
      <c r="M97" s="2662"/>
      <c r="N97" s="2662"/>
      <c r="O97" s="2662"/>
      <c r="P97" s="2662"/>
      <c r="Q97" s="2662"/>
      <c r="R97" s="2662"/>
      <c r="S97" s="2662"/>
      <c r="T97" s="2662"/>
      <c r="U97" s="2662"/>
      <c r="V97" s="2662"/>
      <c r="W97" s="2662"/>
      <c r="X97" s="2662"/>
      <c r="Y97" s="2662"/>
      <c r="Z97" s="2662"/>
      <c r="AA97" s="2669"/>
      <c r="AB97" s="2669"/>
      <c r="AC97" s="2669"/>
      <c r="AD97" s="2669"/>
      <c r="AE97" s="2669"/>
      <c r="AF97" s="2669"/>
      <c r="AG97" s="2669"/>
      <c r="AH97" s="2669"/>
      <c r="AI97" s="2669"/>
    </row>
    <row r="98" customHeight="1" spans="1:9">
      <c r="A98" s="2490"/>
      <c r="B98" s="2339"/>
      <c r="C98" s="2339"/>
      <c r="D98" s="2339"/>
      <c r="E98" s="2491"/>
      <c r="F98" s="2491"/>
      <c r="G98" s="2491"/>
      <c r="H98" s="2439"/>
      <c r="I98" s="696"/>
    </row>
    <row r="99" customHeight="1" spans="1:9">
      <c r="A99" s="2441" t="s">
        <v>907</v>
      </c>
      <c r="B99" s="2339"/>
      <c r="C99" s="2339"/>
      <c r="D99" s="2339"/>
      <c r="E99" s="2491"/>
      <c r="F99" s="2491"/>
      <c r="G99" s="2491"/>
      <c r="H99" s="2439"/>
      <c r="I99" s="696"/>
    </row>
    <row r="100" ht="18.75" customHeight="1" spans="1:9">
      <c r="A100" s="2604" t="s">
        <v>908</v>
      </c>
      <c r="B100" s="2605"/>
      <c r="C100" s="2605"/>
      <c r="D100" s="2606"/>
      <c r="E100" s="2605" t="s">
        <v>909</v>
      </c>
      <c r="F100" s="2605"/>
      <c r="G100" s="2605"/>
      <c r="H100" s="2606"/>
      <c r="I100" s="696"/>
    </row>
    <row r="101" ht="18.75" customHeight="1" spans="1:9">
      <c r="A101" s="2607" t="s">
        <v>910</v>
      </c>
      <c r="B101" s="2608"/>
      <c r="C101" s="2609" t="str">
        <f>C4</f>
        <v>成本法</v>
      </c>
      <c r="D101" s="2610" t="str">
        <f>D4</f>
        <v>假设开发法</v>
      </c>
      <c r="E101" s="2611" t="s">
        <v>911</v>
      </c>
      <c r="F101" s="2612"/>
      <c r="G101" s="2613" t="s">
        <v>912</v>
      </c>
      <c r="H101" s="2614">
        <f ca="1">H118</f>
        <v>15532</v>
      </c>
      <c r="I101" s="696"/>
    </row>
    <row r="102" ht="18.75" customHeight="1" spans="1:9">
      <c r="A102" s="2615" t="s">
        <v>913</v>
      </c>
      <c r="B102" s="2616" t="s">
        <v>912</v>
      </c>
      <c r="C102" s="2609">
        <f ca="1">C19</f>
        <v>17753</v>
      </c>
      <c r="D102" s="2610">
        <f ca="1">D19</f>
        <v>13310</v>
      </c>
      <c r="E102" s="2611"/>
      <c r="F102" s="2612"/>
      <c r="G102" s="2613" t="s">
        <v>99</v>
      </c>
      <c r="H102" s="2477">
        <f ca="1">I118</f>
        <v>8215</v>
      </c>
      <c r="I102" s="696"/>
    </row>
    <row r="103" ht="42.75" customHeight="1" spans="1:9">
      <c r="A103" s="2615"/>
      <c r="B103" s="2616" t="s">
        <v>99</v>
      </c>
      <c r="C103" s="2617">
        <f ca="1">C20</f>
        <v>9390</v>
      </c>
      <c r="D103" s="2618">
        <f ca="1">D20</f>
        <v>7040</v>
      </c>
      <c r="E103" s="2619" t="s">
        <v>914</v>
      </c>
      <c r="F103" s="2620"/>
      <c r="G103" s="2621" t="s">
        <v>102</v>
      </c>
      <c r="H103" s="2614">
        <f>IF(D36="正常操作",H104+H105+H106,H105+H106)</f>
        <v>0</v>
      </c>
      <c r="I103" s="696"/>
    </row>
    <row r="104" ht="18.75" customHeight="1" spans="1:9">
      <c r="A104" s="2615" t="s">
        <v>915</v>
      </c>
      <c r="B104" s="2622" t="s">
        <v>912</v>
      </c>
      <c r="C104" s="2623">
        <f ca="1">H118</f>
        <v>15532</v>
      </c>
      <c r="D104" s="2624"/>
      <c r="E104" s="2423" t="s">
        <v>916</v>
      </c>
      <c r="F104" s="2625"/>
      <c r="G104" s="2621" t="s">
        <v>102</v>
      </c>
      <c r="H104" s="2626">
        <f>IF(D36="同一抵押权人同一抵押物续贷",C36&amp;"（续贷，未扣减，详见特别提示）",C36)</f>
        <v>0</v>
      </c>
      <c r="I104" s="696"/>
    </row>
    <row r="105" ht="18.75" customHeight="1" spans="1:9">
      <c r="A105" s="2627"/>
      <c r="B105" s="2628" t="s">
        <v>99</v>
      </c>
      <c r="C105" s="2629">
        <f ca="1">I118</f>
        <v>8215</v>
      </c>
      <c r="D105" s="2630"/>
      <c r="E105" s="2423" t="s">
        <v>917</v>
      </c>
      <c r="F105" s="2625"/>
      <c r="G105" s="2621" t="s">
        <v>102</v>
      </c>
      <c r="H105" s="2631">
        <f>C37</f>
        <v>0</v>
      </c>
      <c r="I105" s="696"/>
    </row>
    <row r="106" ht="18.75" customHeight="1" spans="1:9">
      <c r="A106" s="2339" t="s">
        <v>918</v>
      </c>
      <c r="B106" s="2339"/>
      <c r="C106" s="2339"/>
      <c r="D106" s="2339"/>
      <c r="E106" s="2632" t="s">
        <v>919</v>
      </c>
      <c r="F106" s="2625"/>
      <c r="G106" s="2621" t="s">
        <v>102</v>
      </c>
      <c r="H106" s="2631">
        <f>C38</f>
        <v>0</v>
      </c>
      <c r="I106" s="696"/>
    </row>
    <row r="107" ht="18.75" customHeight="1" spans="1:9">
      <c r="A107" s="696"/>
      <c r="B107" s="696"/>
      <c r="C107" s="696"/>
      <c r="D107" s="696"/>
      <c r="E107" s="2633" t="str">
        <f>IF(项目基本情况!E8="已注销","——","3.房地产抵押价值")</f>
        <v>3.房地产抵押价值</v>
      </c>
      <c r="F107" s="2612"/>
      <c r="G107" s="2613" t="s">
        <v>912</v>
      </c>
      <c r="H107" s="2614">
        <f ca="1">IF(E107="——","——",H101-H103)</f>
        <v>15532</v>
      </c>
      <c r="I107" s="696"/>
    </row>
    <row r="108" ht="18.75" customHeight="1" spans="1:9">
      <c r="A108" s="696"/>
      <c r="B108" s="696"/>
      <c r="C108" s="696"/>
      <c r="D108" s="696"/>
      <c r="E108" s="2633"/>
      <c r="F108" s="2612"/>
      <c r="G108" s="2613" t="s">
        <v>99</v>
      </c>
      <c r="H108" s="2477">
        <f ca="1">ROUND(H107*10000/'数据-汇总表'!E3,0)</f>
        <v>8215</v>
      </c>
      <c r="I108" s="696"/>
    </row>
    <row r="109" ht="18.75" customHeight="1" spans="1:9">
      <c r="A109" s="696"/>
      <c r="B109" s="696"/>
      <c r="C109" s="696"/>
      <c r="D109" s="696"/>
      <c r="E109" s="2633" t="str">
        <f>IF(项目基本情况!E8="已注销及未注销","4.抵押担保权已注销时的房地产抵押价值",IF(项目基本情况!E8="已注销","3.抵押担保权已注销时的房地产抵押价值","——"))</f>
        <v>——</v>
      </c>
      <c r="F109" s="2612"/>
      <c r="G109" s="2613" t="s">
        <v>912</v>
      </c>
      <c r="H109" s="2634" t="str">
        <f ca="1">IF(E109="——","——",H101-H105-H106)</f>
        <v>——</v>
      </c>
      <c r="I109" s="696"/>
    </row>
    <row r="110" ht="18.75" customHeight="1" spans="1:9">
      <c r="A110" s="696"/>
      <c r="B110" s="696"/>
      <c r="C110" s="696"/>
      <c r="D110" s="696"/>
      <c r="E110" s="2633"/>
      <c r="F110" s="2612"/>
      <c r="G110" s="2613" t="s">
        <v>99</v>
      </c>
      <c r="H110" s="2477" t="str">
        <f ca="1">IF(H109="——","——",ROUND(H109*10000/'数据-汇总表'!E3,0))</f>
        <v>——</v>
      </c>
      <c r="I110" s="696"/>
    </row>
    <row r="111" ht="18.75" customHeight="1" spans="1:9">
      <c r="A111" s="696"/>
      <c r="B111" s="696"/>
      <c r="C111" s="696"/>
      <c r="D111" s="696"/>
      <c r="E111" s="2635" t="str">
        <f>IF(项目基本情况!E9="抵押净值",IF(OR(项目基本情况!E8="已注销",项目基本情况!E8="房地产抵押价值"),"4.抵押净值","5.抵押净值"),"——")</f>
        <v>——</v>
      </c>
      <c r="F111" s="2636"/>
      <c r="G111" s="2613" t="s">
        <v>912</v>
      </c>
      <c r="H111" s="2614" t="str">
        <f ca="1">IF(E111="——","——",N59)</f>
        <v>——</v>
      </c>
      <c r="I111" s="696"/>
    </row>
    <row r="112" ht="18.75" customHeight="1" spans="1:9">
      <c r="A112" s="696"/>
      <c r="B112" s="696"/>
      <c r="C112" s="696"/>
      <c r="D112" s="696"/>
      <c r="E112" s="2637"/>
      <c r="F112" s="2638"/>
      <c r="G112" s="2639" t="s">
        <v>99</v>
      </c>
      <c r="H112" s="2640" t="str">
        <f ca="1">IF(E111="——","——",N61)</f>
        <v>——</v>
      </c>
      <c r="I112" s="696"/>
    </row>
    <row r="113" ht="18.75" customHeight="1" spans="1:9">
      <c r="A113" s="696"/>
      <c r="B113" s="696"/>
      <c r="C113" s="696"/>
      <c r="D113" s="696"/>
      <c r="E113" s="2641" t="s">
        <v>918</v>
      </c>
      <c r="F113" s="2641"/>
      <c r="G113" s="2641"/>
      <c r="H113" s="2641"/>
      <c r="I113" s="696"/>
    </row>
    <row r="114" ht="3.75" customHeight="1" spans="1:9">
      <c r="A114" s="2339"/>
      <c r="B114" s="2339"/>
      <c r="C114" s="2339"/>
      <c r="D114" s="2339"/>
      <c r="E114" s="2490"/>
      <c r="F114" s="2490"/>
      <c r="G114" s="2490"/>
      <c r="H114" s="2490"/>
      <c r="I114" s="2339"/>
    </row>
    <row r="115" ht="18.75" customHeight="1" spans="1:9">
      <c r="A115" s="2642" t="s">
        <v>920</v>
      </c>
      <c r="B115" s="2643"/>
      <c r="C115" s="2643"/>
      <c r="D115" s="2643"/>
      <c r="E115" s="2643"/>
      <c r="F115" s="2643"/>
      <c r="G115" s="2643"/>
      <c r="H115" s="2643"/>
      <c r="I115" s="2668"/>
    </row>
    <row r="116" ht="27" customHeight="1" spans="1:9">
      <c r="A116" s="2352" t="s">
        <v>921</v>
      </c>
      <c r="B116" s="2644" t="s">
        <v>922</v>
      </c>
      <c r="C116" s="2644" t="s">
        <v>923</v>
      </c>
      <c r="D116" s="2645" t="s">
        <v>924</v>
      </c>
      <c r="E116" s="2646"/>
      <c r="F116" s="2647" t="s">
        <v>925</v>
      </c>
      <c r="G116" s="2647"/>
      <c r="H116" s="2352" t="s">
        <v>926</v>
      </c>
      <c r="I116" s="2352"/>
    </row>
    <row r="117" ht="18.75" customHeight="1" spans="1:9">
      <c r="A117" s="2352"/>
      <c r="B117" s="2648"/>
      <c r="C117" s="2648"/>
      <c r="D117" s="2352" t="s">
        <v>927</v>
      </c>
      <c r="E117" s="2352" t="s">
        <v>753</v>
      </c>
      <c r="F117" s="2352" t="s">
        <v>927</v>
      </c>
      <c r="G117" s="2352" t="s">
        <v>753</v>
      </c>
      <c r="H117" s="2352" t="s">
        <v>927</v>
      </c>
      <c r="I117" s="2352" t="s">
        <v>753</v>
      </c>
    </row>
    <row r="118" ht="24.75" customHeight="1" spans="1:9">
      <c r="A118" s="2649" t="str">
        <f>项目基本情况!S2</f>
        <v>北京市房地产</v>
      </c>
      <c r="B118" s="2352">
        <f>M18</f>
        <v>18907.05</v>
      </c>
      <c r="C118" s="2352">
        <f>M19</f>
        <v>15415.9</v>
      </c>
      <c r="D118" s="2352">
        <f ca="1">ROUND(IF(D32="总价",C34,E118*B118/10000),0)</f>
        <v>6648</v>
      </c>
      <c r="E118" s="2352">
        <f ca="1">ROUND(IF(C33="自定义",IF(D32="楼面单价",C34,D118*10000/B118),I118-G118),0)</f>
        <v>3516</v>
      </c>
      <c r="F118" s="2352">
        <f ca="1">ROUND(IF(D32="总价",C35,G118*B118/10000),0)</f>
        <v>8884</v>
      </c>
      <c r="G118" s="2352">
        <f ca="1">ROUND(IF(D32="楼面单价",C35,F118*10000/B118),0)</f>
        <v>4699</v>
      </c>
      <c r="H118" s="2352">
        <f ca="1">ROUND(IF(D32="总价",C32,I118*B118/10000),0)</f>
        <v>15532</v>
      </c>
      <c r="I118" s="2352">
        <f ca="1">ROUND(IF(D32="楼面单价",C32,H118*10000/B118),0)</f>
        <v>8215</v>
      </c>
    </row>
    <row r="119" ht="18.75" customHeight="1" spans="1:9">
      <c r="A119" s="2352" t="s">
        <v>928</v>
      </c>
      <c r="B119" s="2352"/>
      <c r="C119" s="2352"/>
      <c r="D119" s="2650" t="str">
        <f ca="1">NUMBERSTRING(INT(D118*10000),2)&amp;"元整"</f>
        <v>陆仟陆佰肆拾捌万元整</v>
      </c>
      <c r="E119" s="2651"/>
      <c r="F119" s="2650" t="str">
        <f ca="1">NUMBERSTRING(INT(F118*10000),2)&amp;"元整"</f>
        <v>捌仟捌佰捌拾肆万元整</v>
      </c>
      <c r="G119" s="2651"/>
      <c r="H119" s="2650" t="str">
        <f ca="1">NUMBERSTRING(INT(H118*10000),2)&amp;"元整"</f>
        <v>壹亿伍仟伍佰叁拾贰万元整</v>
      </c>
      <c r="I119" s="2651"/>
    </row>
    <row r="120" ht="18.75" customHeight="1" spans="1:19">
      <c r="A120" s="2652" t="str">
        <f>IF(项目基本情况!B9="房地产市场价值","",MID(E103,3,LEN(E103)-2))</f>
        <v>估价师知悉的法定优先受偿款</v>
      </c>
      <c r="B120" s="2653"/>
      <c r="C120" s="2654"/>
      <c r="D120" s="2652">
        <f>H103</f>
        <v>0</v>
      </c>
      <c r="E120" s="2653"/>
      <c r="F120" s="2653"/>
      <c r="G120" s="2653"/>
      <c r="H120" s="2653"/>
      <c r="I120" s="2654"/>
      <c r="J120" s="2336"/>
      <c r="K120" s="2336" t="str">
        <f>IF(D120=0,"故，本次评估不存在"&amp;A120,"故，本次评估"&amp;A120&amp;"为人民币"&amp;D120&amp;"万元整。")</f>
        <v>故，本次评估不存在估价师知悉的法定优先受偿款</v>
      </c>
      <c r="L120" s="2336"/>
      <c r="M120" s="2336"/>
      <c r="N120" s="2336"/>
      <c r="O120" s="2336"/>
      <c r="P120" s="2336"/>
      <c r="Q120" s="2336"/>
      <c r="R120" s="2336"/>
      <c r="S120" s="2336"/>
    </row>
    <row r="121" ht="18.75" customHeight="1" spans="1:27">
      <c r="A121" s="2655" t="s">
        <v>928</v>
      </c>
      <c r="B121" s="2656"/>
      <c r="C121" s="2657"/>
      <c r="D121" s="2650" t="str">
        <f>IF(D120=0,"零元整",NUMBERSTRING(INT(D120*10000),2)&amp;"元整")</f>
        <v>零元整</v>
      </c>
      <c r="E121" s="2658"/>
      <c r="F121" s="2658"/>
      <c r="G121" s="2658"/>
      <c r="H121" s="2658"/>
      <c r="I121" s="2651"/>
      <c r="AA121" s="651"/>
    </row>
    <row r="122" ht="18.75" customHeight="1" spans="1:27">
      <c r="A122" s="2636" t="str">
        <f>IF(项目基本情况!B9="房地产市场价值","",MID(E107,3,LEN(E107)-2))</f>
        <v>房地产抵押价值</v>
      </c>
      <c r="B122" s="2636"/>
      <c r="C122" s="2636"/>
      <c r="D122" s="2652">
        <f ca="1">H107</f>
        <v>15532</v>
      </c>
      <c r="E122" s="2653"/>
      <c r="F122" s="2653"/>
      <c r="G122" s="2653"/>
      <c r="H122" s="2653"/>
      <c r="I122" s="2654"/>
      <c r="AA122" s="651"/>
    </row>
    <row r="123" ht="18.75" customHeight="1" spans="1:27">
      <c r="A123" s="2352" t="s">
        <v>928</v>
      </c>
      <c r="B123" s="2352"/>
      <c r="C123" s="2352"/>
      <c r="D123" s="2650" t="str">
        <f ca="1">NUMBERSTRING(INT(D122*10000),2)&amp;"元整"</f>
        <v>壹亿伍仟伍佰叁拾贰万元整</v>
      </c>
      <c r="E123" s="2658"/>
      <c r="F123" s="2658"/>
      <c r="G123" s="2658"/>
      <c r="H123" s="2658"/>
      <c r="I123" s="2651"/>
      <c r="AA123" s="651"/>
    </row>
    <row r="124" ht="18.75" customHeight="1" spans="1:27">
      <c r="A124" s="2636" t="str">
        <f>IF(项目基本情况!B9="房地产市场价值","",MID(E109,3,LEN(E109)-2))</f>
        <v/>
      </c>
      <c r="B124" s="2636"/>
      <c r="C124" s="2636"/>
      <c r="D124" s="2652" t="str">
        <f ca="1">H109</f>
        <v>——</v>
      </c>
      <c r="E124" s="2653"/>
      <c r="F124" s="2653"/>
      <c r="G124" s="2653"/>
      <c r="H124" s="2653"/>
      <c r="I124" s="2654"/>
      <c r="AA124" s="651"/>
    </row>
    <row r="125" ht="18.75" customHeight="1" spans="1:27">
      <c r="A125" s="2352" t="s">
        <v>928</v>
      </c>
      <c r="B125" s="2352"/>
      <c r="C125" s="2352"/>
      <c r="D125" s="2650" t="e">
        <f ca="1">NUMBERSTRING(INT(D124*10000),2)&amp;"元整"</f>
        <v>#VALUE!</v>
      </c>
      <c r="E125" s="2658"/>
      <c r="F125" s="2658"/>
      <c r="G125" s="2658"/>
      <c r="H125" s="2658"/>
      <c r="I125" s="2651"/>
      <c r="AA125" s="651"/>
    </row>
    <row r="126" ht="18.75" customHeight="1" spans="1:27">
      <c r="A126" s="2636" t="str">
        <f>IF(项目基本情况!B9="房地产市场价值","",MID(E111,3,LEN(E111)-2))</f>
        <v/>
      </c>
      <c r="B126" s="2636"/>
      <c r="C126" s="2636"/>
      <c r="D126" s="2652" t="str">
        <f ca="1">H111</f>
        <v>——</v>
      </c>
      <c r="E126" s="2653"/>
      <c r="F126" s="2653"/>
      <c r="G126" s="2653"/>
      <c r="H126" s="2653"/>
      <c r="I126" s="2654"/>
      <c r="AA126" s="651"/>
    </row>
    <row r="127" ht="18.75" customHeight="1" spans="1:27">
      <c r="A127" s="2352" t="s">
        <v>928</v>
      </c>
      <c r="B127" s="2352"/>
      <c r="C127" s="2352"/>
      <c r="D127" s="2650" t="e">
        <f ca="1">NUMBERSTRING(INT(D126*10000),2)&amp;"元整"</f>
        <v>#VALUE!</v>
      </c>
      <c r="E127" s="2658"/>
      <c r="F127" s="2658"/>
      <c r="G127" s="2658"/>
      <c r="H127" s="2658"/>
      <c r="I127" s="2651"/>
      <c r="AA127" s="651"/>
    </row>
    <row r="128" customHeight="1" spans="1:27">
      <c r="A128" s="2082" t="s">
        <v>113</v>
      </c>
      <c r="B128" s="2082"/>
      <c r="C128" s="2082"/>
      <c r="D128" s="2082"/>
      <c r="E128" s="2082"/>
      <c r="F128" s="2082"/>
      <c r="G128" s="2082"/>
      <c r="H128" s="2082"/>
      <c r="I128" s="2082"/>
      <c r="AA128" s="651"/>
    </row>
    <row r="129" customHeight="1" spans="1:27">
      <c r="A129" s="2670" t="s">
        <v>929</v>
      </c>
      <c r="B129" s="2671"/>
      <c r="C129" s="2672" t="s">
        <v>930</v>
      </c>
      <c r="D129" s="2673"/>
      <c r="E129" s="2673"/>
      <c r="F129" s="2673"/>
      <c r="G129" s="2673"/>
      <c r="H129" s="2674"/>
      <c r="I129" s="2689"/>
      <c r="AA129" s="651"/>
    </row>
    <row r="130" customHeight="1" spans="1:27">
      <c r="A130" s="2675">
        <v>1</v>
      </c>
      <c r="B130" s="2676"/>
      <c r="C130" s="2676"/>
      <c r="D130" s="2677"/>
      <c r="E130" s="2677"/>
      <c r="F130" s="2677"/>
      <c r="G130" s="2677"/>
      <c r="H130" s="2678"/>
      <c r="I130" s="2690"/>
      <c r="AA130" s="651"/>
    </row>
    <row r="131" customHeight="1" spans="1:27">
      <c r="A131" s="2675">
        <v>2</v>
      </c>
      <c r="B131" s="2676"/>
      <c r="C131" s="2676"/>
      <c r="D131" s="2677"/>
      <c r="E131" s="2677"/>
      <c r="F131" s="2677"/>
      <c r="G131" s="2677"/>
      <c r="H131" s="2678"/>
      <c r="I131" s="2690"/>
      <c r="AA131" s="651"/>
    </row>
    <row r="132" customHeight="1" spans="1:27">
      <c r="A132" s="2675">
        <v>3</v>
      </c>
      <c r="B132" s="2676"/>
      <c r="C132" s="2676"/>
      <c r="D132" s="2677"/>
      <c r="E132" s="2677"/>
      <c r="F132" s="2677"/>
      <c r="G132" s="2677"/>
      <c r="H132" s="2678"/>
      <c r="I132" s="2690"/>
      <c r="AA132" s="651"/>
    </row>
    <row r="133" customHeight="1" spans="1:9">
      <c r="A133" s="2679"/>
      <c r="B133" s="2680"/>
      <c r="C133" s="2680"/>
      <c r="D133" s="2681"/>
      <c r="E133" s="2681"/>
      <c r="F133" s="2681"/>
      <c r="G133" s="2681"/>
      <c r="H133" s="2682"/>
      <c r="I133" s="2691"/>
    </row>
    <row r="134" customHeight="1" spans="1:9">
      <c r="A134" s="2676"/>
      <c r="B134" s="2676"/>
      <c r="C134" s="2676"/>
      <c r="D134" s="2677"/>
      <c r="E134" s="2677"/>
      <c r="F134" s="2677"/>
      <c r="G134" s="2677"/>
      <c r="H134" s="2678"/>
      <c r="I134" s="651"/>
    </row>
    <row r="135" customHeight="1" spans="1:9">
      <c r="A135" s="651"/>
      <c r="B135" s="651"/>
      <c r="C135" s="651"/>
      <c r="D135" s="651"/>
      <c r="E135" s="651"/>
      <c r="F135" s="2683" t="s">
        <v>931</v>
      </c>
      <c r="G135" s="2684"/>
      <c r="H135" s="2684"/>
      <c r="I135" s="2692" t="s">
        <v>932</v>
      </c>
    </row>
    <row r="136" customHeight="1" spans="1:9">
      <c r="A136" s="651"/>
      <c r="B136" s="2685" t="s">
        <v>933</v>
      </c>
      <c r="C136" s="651"/>
      <c r="D136" s="651"/>
      <c r="E136" s="651"/>
      <c r="F136" s="651"/>
      <c r="G136" s="651"/>
      <c r="H136" s="651"/>
      <c r="I136" s="651"/>
    </row>
    <row r="137" customHeight="1" spans="1:9">
      <c r="A137" s="651"/>
      <c r="B137" s="651"/>
      <c r="C137" s="651"/>
      <c r="D137" s="651"/>
      <c r="E137" s="651"/>
      <c r="F137" s="651"/>
      <c r="G137" s="651"/>
      <c r="H137" s="651"/>
      <c r="I137" s="651"/>
    </row>
    <row r="138" customHeight="1" spans="1:9">
      <c r="A138" s="651"/>
      <c r="B138" s="2684"/>
      <c r="C138" s="2684"/>
      <c r="D138" s="2684"/>
      <c r="E138" s="2684"/>
      <c r="F138" s="2684"/>
      <c r="G138" s="2684"/>
      <c r="H138" s="2684"/>
      <c r="I138" s="2692" t="s">
        <v>934</v>
      </c>
    </row>
    <row r="139" customHeight="1" spans="1:9">
      <c r="A139" s="651"/>
      <c r="B139" s="2685" t="s">
        <v>935</v>
      </c>
      <c r="C139" s="651"/>
      <c r="D139" s="651"/>
      <c r="E139" s="651"/>
      <c r="F139" s="651"/>
      <c r="G139" s="651"/>
      <c r="H139" s="651"/>
      <c r="I139" s="651"/>
    </row>
    <row r="140" customHeight="1" spans="1:9">
      <c r="A140" s="651"/>
      <c r="B140" s="2685"/>
      <c r="C140" s="651"/>
      <c r="D140" s="651"/>
      <c r="E140" s="651"/>
      <c r="F140" s="651"/>
      <c r="G140" s="651"/>
      <c r="H140" s="651"/>
      <c r="I140" s="651"/>
    </row>
    <row r="141" customHeight="1" spans="1:9">
      <c r="A141" s="651"/>
      <c r="B141" s="2684"/>
      <c r="C141" s="2684"/>
      <c r="D141" s="2684"/>
      <c r="E141" s="2684"/>
      <c r="F141" s="2684"/>
      <c r="G141" s="2684"/>
      <c r="H141" s="2684"/>
      <c r="I141" s="2692" t="s">
        <v>934</v>
      </c>
    </row>
    <row r="142" customHeight="1" spans="1:9">
      <c r="A142" s="651"/>
      <c r="B142" s="2685"/>
      <c r="C142" s="2686"/>
      <c r="D142" s="2687"/>
      <c r="E142" s="2687"/>
      <c r="F142" s="2688"/>
      <c r="G142" s="651"/>
      <c r="H142" s="651"/>
      <c r="I142" s="651"/>
    </row>
    <row r="143" s="648" customFormat="1" customHeight="1" spans="1:35">
      <c r="A143" s="651"/>
      <c r="B143" s="2685"/>
      <c r="C143" s="2686"/>
      <c r="D143" s="2687"/>
      <c r="E143" s="2687"/>
      <c r="F143" s="2688"/>
      <c r="G143" s="651"/>
      <c r="H143" s="651"/>
      <c r="I143" s="651"/>
      <c r="J143" s="651"/>
      <c r="K143" s="651"/>
      <c r="L143" s="651"/>
      <c r="M143" s="651"/>
      <c r="N143" s="651"/>
      <c r="O143" s="651"/>
      <c r="P143" s="651"/>
      <c r="Q143" s="651"/>
      <c r="R143" s="651"/>
      <c r="S143" s="651"/>
      <c r="T143" s="651"/>
      <c r="U143" s="651"/>
      <c r="V143" s="651"/>
      <c r="W143" s="651"/>
      <c r="X143" s="651"/>
      <c r="Y143" s="651"/>
      <c r="Z143" s="651"/>
      <c r="AA143" s="651"/>
      <c r="AB143" s="651"/>
      <c r="AC143" s="651"/>
      <c r="AD143" s="651"/>
      <c r="AE143" s="651"/>
      <c r="AF143" s="651"/>
      <c r="AG143" s="651"/>
      <c r="AH143" s="651"/>
      <c r="AI143" s="651"/>
    </row>
    <row r="144" s="648" customFormat="1" customHeight="1" spans="1:35">
      <c r="A144" s="651"/>
      <c r="B144" s="651"/>
      <c r="C144" s="651"/>
      <c r="D144" s="651"/>
      <c r="E144" s="651"/>
      <c r="F144" s="651"/>
      <c r="G144" s="651"/>
      <c r="H144" s="651"/>
      <c r="I144" s="651"/>
      <c r="J144" s="651"/>
      <c r="K144" s="651"/>
      <c r="L144" s="651"/>
      <c r="M144" s="651"/>
      <c r="N144" s="651"/>
      <c r="O144" s="651"/>
      <c r="P144" s="651"/>
      <c r="Q144" s="651"/>
      <c r="R144" s="651"/>
      <c r="S144" s="651"/>
      <c r="T144" s="651"/>
      <c r="U144" s="651"/>
      <c r="V144" s="651"/>
      <c r="W144" s="651"/>
      <c r="X144" s="651"/>
      <c r="Y144" s="651"/>
      <c r="Z144" s="651"/>
      <c r="AA144" s="651"/>
      <c r="AB144" s="651"/>
      <c r="AC144" s="651"/>
      <c r="AD144" s="651"/>
      <c r="AE144" s="651"/>
      <c r="AF144" s="651"/>
      <c r="AG144" s="651"/>
      <c r="AH144" s="651"/>
      <c r="AI144" s="651"/>
    </row>
    <row r="145" s="648" customFormat="1" customHeight="1" spans="1:35">
      <c r="A145" s="651"/>
      <c r="B145" s="651"/>
      <c r="C145" s="651"/>
      <c r="D145" s="651"/>
      <c r="E145" s="651"/>
      <c r="F145" s="651"/>
      <c r="G145" s="651"/>
      <c r="H145" s="651"/>
      <c r="I145" s="651"/>
      <c r="J145" s="651"/>
      <c r="K145" s="651"/>
      <c r="L145" s="651"/>
      <c r="M145" s="651"/>
      <c r="N145" s="651"/>
      <c r="O145" s="651"/>
      <c r="P145" s="651"/>
      <c r="Q145" s="651"/>
      <c r="R145" s="651"/>
      <c r="S145" s="651"/>
      <c r="T145" s="651"/>
      <c r="U145" s="651"/>
      <c r="V145" s="651"/>
      <c r="W145" s="651"/>
      <c r="X145" s="651"/>
      <c r="Y145" s="651"/>
      <c r="Z145" s="651"/>
      <c r="AA145" s="651"/>
      <c r="AB145" s="651"/>
      <c r="AC145" s="651"/>
      <c r="AD145" s="651"/>
      <c r="AE145" s="651"/>
      <c r="AF145" s="651"/>
      <c r="AG145" s="651"/>
      <c r="AH145" s="651"/>
      <c r="AI145" s="651"/>
    </row>
    <row r="146" s="651" customFormat="1" customHeight="1"/>
    <row r="147" s="651" customFormat="1" customHeight="1"/>
    <row r="148" s="651" customFormat="1" customHeight="1"/>
    <row r="149" s="651" customFormat="1" customHeight="1"/>
    <row r="150" s="651" customFormat="1" customHeight="1"/>
    <row r="151" s="651" customFormat="1" customHeight="1"/>
    <row r="152" s="651" customFormat="1" customHeight="1"/>
    <row r="153" s="651" customFormat="1" customHeight="1"/>
    <row r="154" s="651" customFormat="1" customHeight="1"/>
    <row r="155" s="651" customFormat="1" customHeight="1"/>
    <row r="156" s="651" customFormat="1" customHeight="1"/>
    <row r="157" s="651" customFormat="1" customHeight="1"/>
    <row r="158" s="651" customFormat="1" customHeight="1"/>
    <row r="159" s="651" customFormat="1" customHeight="1"/>
    <row r="160" s="651" customFormat="1" customHeight="1"/>
    <row r="161" s="651" customFormat="1" customHeight="1"/>
    <row r="162" s="651" customFormat="1" customHeight="1"/>
    <row r="163" s="651" customFormat="1" customHeight="1"/>
    <row r="164" s="651" customFormat="1" customHeight="1"/>
    <row r="165" s="651" customFormat="1" customHeight="1"/>
    <row r="166" s="651" customFormat="1" customHeight="1"/>
    <row r="167" s="651" customFormat="1" customHeight="1"/>
    <row r="168" s="651" customFormat="1" customHeight="1"/>
    <row r="169" s="651" customFormat="1" customHeight="1"/>
    <row r="170" s="651" customFormat="1" customHeight="1"/>
    <row r="171" s="651" customFormat="1" customHeight="1"/>
    <row r="172" s="651" customFormat="1" customHeight="1"/>
    <row r="173" s="651" customFormat="1" customHeight="1"/>
    <row r="174" s="651" customFormat="1" customHeight="1"/>
    <row r="175" s="651" customFormat="1" customHeight="1"/>
    <row r="176" s="651" customFormat="1" customHeight="1"/>
    <row r="177" s="651" customFormat="1" customHeight="1"/>
    <row r="178" s="651" customFormat="1" customHeight="1"/>
    <row r="179" s="651" customFormat="1" customHeight="1"/>
    <row r="180" s="651" customFormat="1" customHeight="1"/>
    <row r="181" s="651" customFormat="1" customHeight="1"/>
    <row r="182" s="651" customFormat="1" customHeight="1"/>
    <row r="183" s="651" customFormat="1" customHeight="1"/>
    <row r="184" s="651" customFormat="1" customHeight="1"/>
    <row r="185" s="651" customFormat="1" customHeight="1"/>
    <row r="186" s="651" customFormat="1" customHeight="1"/>
    <row r="187" s="651" customFormat="1" customHeight="1"/>
    <row r="188" s="651" customFormat="1" customHeight="1"/>
    <row r="189" s="651" customFormat="1" customHeight="1"/>
    <row r="190" s="651" customFormat="1" customHeight="1"/>
    <row r="191" s="651" customFormat="1" customHeight="1"/>
    <row r="192" s="651" customFormat="1" customHeight="1"/>
    <row r="193" s="651" customFormat="1" customHeight="1"/>
    <row r="194" s="651" customFormat="1" customHeight="1"/>
    <row r="195" s="651" customFormat="1" customHeight="1"/>
    <row r="196" s="651" customFormat="1" customHeight="1"/>
    <row r="197" s="651" customFormat="1" customHeight="1"/>
    <row r="198" s="651" customFormat="1" customHeight="1"/>
    <row r="199" s="651" customFormat="1" customHeight="1"/>
    <row r="200" s="651" customFormat="1" customHeight="1"/>
    <row r="201" s="651" customFormat="1" customHeight="1"/>
    <row r="202" s="651" customFormat="1" customHeight="1"/>
    <row r="203" s="651" customFormat="1" customHeight="1"/>
    <row r="204" s="651" customFormat="1" customHeight="1"/>
    <row r="205" s="651" customFormat="1" customHeight="1"/>
    <row r="206" s="651" customFormat="1" customHeight="1"/>
    <row r="207" s="651" customFormat="1" customHeight="1"/>
    <row r="208" s="651" customFormat="1" customHeight="1"/>
    <row r="209" s="651" customFormat="1" customHeight="1"/>
    <row r="210" s="651" customFormat="1" customHeight="1"/>
    <row r="211" s="651" customFormat="1" customHeight="1"/>
    <row r="212" s="651" customFormat="1" customHeight="1"/>
    <row r="213" s="651" customFormat="1" customHeight="1"/>
    <row r="214" s="651" customFormat="1" customHeight="1"/>
    <row r="215" s="651" customFormat="1" customHeight="1"/>
    <row r="216" s="651" customFormat="1" customHeight="1"/>
    <row r="217" s="651" customFormat="1" customHeight="1"/>
    <row r="218" s="651" customFormat="1" customHeight="1"/>
    <row r="219" s="651" customFormat="1" customHeight="1"/>
    <row r="220" s="651" customFormat="1" customHeight="1"/>
    <row r="221" s="651" customFormat="1" customHeight="1"/>
    <row r="222" s="651" customFormat="1" customHeight="1"/>
    <row r="223" s="651" customFormat="1" customHeight="1"/>
    <row r="224" s="651" customFormat="1" customHeight="1"/>
    <row r="225" s="651" customFormat="1" customHeight="1"/>
    <row r="226" s="651" customFormat="1" customHeight="1"/>
    <row r="227" s="651" customFormat="1" customHeight="1"/>
    <row r="228" s="651" customFormat="1" customHeight="1"/>
    <row r="229" s="651" customFormat="1" customHeight="1"/>
    <row r="230" s="651" customFormat="1" customHeight="1"/>
    <row r="231" s="651" customFormat="1" customHeight="1"/>
    <row r="232" s="651" customFormat="1" customHeight="1"/>
    <row r="233" s="651" customFormat="1" customHeight="1"/>
    <row r="234" s="651" customFormat="1" customHeight="1"/>
    <row r="235" s="651" customFormat="1" customHeight="1"/>
    <row r="236" s="651" customFormat="1" customHeight="1"/>
    <row r="237" s="651" customFormat="1" customHeight="1"/>
    <row r="238" s="651" customFormat="1" customHeight="1"/>
    <row r="239" s="651" customFormat="1" customHeight="1"/>
    <row r="240" s="651" customFormat="1" customHeight="1"/>
    <row r="241" s="651" customFormat="1" customHeight="1"/>
    <row r="242" s="651" customFormat="1" customHeight="1"/>
    <row r="243" s="651" customFormat="1" customHeight="1"/>
    <row r="244" s="651" customFormat="1" customHeight="1"/>
    <row r="245" s="651" customFormat="1" customHeight="1"/>
    <row r="246" s="651" customFormat="1" customHeight="1"/>
    <row r="247" s="651" customFormat="1" customHeight="1"/>
    <row r="248" s="651" customFormat="1" customHeight="1"/>
    <row r="249" s="651" customFormat="1" customHeight="1"/>
    <row r="250" s="651" customFormat="1" customHeight="1"/>
    <row r="251" s="651" customFormat="1" customHeight="1"/>
    <row r="252" s="651" customFormat="1" customHeight="1"/>
    <row r="253" s="651" customFormat="1" customHeight="1"/>
    <row r="254" s="651" customFormat="1" customHeight="1"/>
    <row r="255" s="651" customFormat="1" customHeight="1"/>
    <row r="256" s="651" customFormat="1" customHeight="1"/>
    <row r="257" s="651" customFormat="1" customHeight="1"/>
    <row r="258" s="651" customFormat="1" customHeight="1"/>
    <row r="259" s="651" customFormat="1" customHeight="1"/>
    <row r="260" s="651" customFormat="1" customHeight="1"/>
    <row r="261" s="651" customFormat="1" customHeight="1"/>
    <row r="262" s="651" customFormat="1" customHeight="1"/>
    <row r="263" s="651" customFormat="1" customHeight="1"/>
    <row r="264" s="651" customFormat="1" customHeight="1"/>
    <row r="265" s="651" customFormat="1" customHeight="1"/>
    <row r="266" s="651" customFormat="1" customHeight="1"/>
    <row r="267" s="651" customFormat="1" customHeight="1"/>
    <row r="268" s="651" customFormat="1" customHeight="1"/>
    <row r="269" s="651" customFormat="1" customHeight="1"/>
    <row r="270" s="651" customFormat="1" customHeight="1"/>
    <row r="271" s="651" customFormat="1" customHeight="1"/>
    <row r="272" s="651" customFormat="1" customHeight="1"/>
    <row r="273" s="651" customFormat="1" customHeight="1"/>
    <row r="274" s="651" customFormat="1" customHeight="1"/>
    <row r="275" s="651" customFormat="1" customHeight="1"/>
    <row r="276" s="651" customFormat="1" customHeight="1"/>
    <row r="277" s="651" customFormat="1" customHeight="1"/>
    <row r="278" s="651" customFormat="1" customHeight="1"/>
    <row r="279" s="651" customFormat="1" customHeight="1"/>
    <row r="280" s="651" customFormat="1" customHeight="1"/>
    <row r="281" s="651" customFormat="1" customHeight="1"/>
    <row r="282" s="651" customFormat="1" customHeight="1"/>
    <row r="283" s="651" customFormat="1" customHeight="1"/>
    <row r="284" s="651" customFormat="1" customHeight="1"/>
    <row r="285" s="651" customFormat="1" customHeight="1"/>
    <row r="286" s="651" customFormat="1" customHeight="1"/>
    <row r="287" s="651" customFormat="1" customHeight="1"/>
    <row r="288" s="651" customFormat="1" customHeight="1"/>
    <row r="289" s="651" customFormat="1" customHeight="1"/>
    <row r="290" s="651" customFormat="1" customHeight="1"/>
    <row r="291" s="651" customFormat="1" customHeight="1"/>
    <row r="292" s="651" customFormat="1" customHeight="1"/>
    <row r="293" s="651" customFormat="1" customHeight="1"/>
    <row r="294" s="651" customFormat="1" customHeight="1"/>
    <row r="295" s="651" customFormat="1" customHeight="1"/>
    <row r="296" s="651" customFormat="1" customHeight="1"/>
    <row r="297" s="651" customFormat="1" customHeight="1"/>
    <row r="298" s="651" customFormat="1" customHeight="1"/>
    <row r="299" s="651" customFormat="1" customHeight="1"/>
    <row r="300" s="651" customFormat="1" customHeight="1"/>
    <row r="301" s="651" customFormat="1" customHeight="1"/>
    <row r="302" s="651" customFormat="1" customHeight="1"/>
    <row r="303" s="651" customFormat="1" customHeight="1"/>
    <row r="304" s="651" customFormat="1" customHeight="1"/>
    <row r="305" s="651" customFormat="1" customHeight="1"/>
    <row r="306" s="651" customFormat="1" customHeight="1"/>
    <row r="307" s="651" customFormat="1" customHeight="1"/>
    <row r="308" s="651" customFormat="1" customHeight="1"/>
    <row r="309" s="651" customFormat="1" customHeight="1"/>
    <row r="310" s="651" customFormat="1" customHeight="1"/>
    <row r="311" s="651" customFormat="1" customHeight="1"/>
    <row r="312" s="651" customFormat="1" customHeight="1"/>
    <row r="313" s="651" customFormat="1" customHeight="1"/>
    <row r="314" s="651" customFormat="1" customHeight="1"/>
    <row r="315" s="651" customFormat="1" customHeight="1"/>
    <row r="316" s="651" customFormat="1" customHeight="1"/>
    <row r="317" s="651" customFormat="1" customHeight="1"/>
    <row r="318" s="651" customFormat="1" customHeight="1"/>
    <row r="319" s="651" customFormat="1" customHeight="1"/>
    <row r="320" s="651" customFormat="1" customHeight="1"/>
    <row r="321" s="651" customFormat="1" customHeight="1"/>
    <row r="322" s="651" customFormat="1" customHeight="1"/>
    <row r="323" s="651" customFormat="1" customHeight="1"/>
    <row r="324" s="651" customFormat="1" customHeight="1"/>
    <row r="325" s="651" customFormat="1" customHeight="1"/>
    <row r="326" s="651" customFormat="1" customHeight="1"/>
    <row r="327" s="651" customFormat="1" customHeight="1"/>
    <row r="328" s="651" customFormat="1" customHeight="1"/>
    <row r="329" s="651" customFormat="1" customHeight="1"/>
    <row r="330" s="651" customFormat="1" customHeight="1"/>
    <row r="331" s="651" customFormat="1" customHeight="1"/>
    <row r="332" s="651" customFormat="1" customHeight="1"/>
    <row r="333" s="651" customFormat="1" customHeight="1"/>
    <row r="334" s="651" customFormat="1" customHeight="1"/>
    <row r="335" s="651" customFormat="1" customHeight="1"/>
    <row r="336" s="651" customFormat="1" customHeight="1"/>
    <row r="337" s="651" customFormat="1" customHeight="1"/>
    <row r="338" s="651" customFormat="1" customHeight="1"/>
    <row r="339" s="651" customFormat="1" customHeight="1"/>
    <row r="340" s="651" customFormat="1" customHeight="1"/>
    <row r="341" s="651" customFormat="1" customHeight="1"/>
    <row r="342" s="651" customFormat="1" customHeight="1"/>
    <row r="343" s="651" customFormat="1" customHeight="1"/>
    <row r="344" s="651" customFormat="1" customHeight="1"/>
    <row r="345" s="651" customFormat="1" customHeight="1"/>
    <row r="346" s="651" customFormat="1" customHeight="1"/>
    <row r="347" s="651" customFormat="1" customHeight="1"/>
    <row r="348" s="651" customFormat="1" customHeight="1"/>
    <row r="349" s="651" customFormat="1" customHeight="1"/>
    <row r="350" s="651" customFormat="1" customHeight="1"/>
    <row r="351" s="651" customFormat="1" customHeight="1"/>
    <row r="352" s="651" customFormat="1" customHeight="1"/>
    <row r="353" s="651" customFormat="1" customHeight="1"/>
    <row r="354" s="651" customFormat="1" customHeight="1"/>
    <row r="355" s="651" customFormat="1" customHeight="1"/>
    <row r="356" s="651" customFormat="1" customHeight="1"/>
    <row r="357" s="651" customFormat="1" customHeight="1"/>
    <row r="358" s="651" customFormat="1" customHeight="1"/>
    <row r="359" s="651" customFormat="1" customHeight="1"/>
    <row r="360" s="651" customFormat="1" customHeight="1"/>
    <row r="361" s="651" customFormat="1" customHeight="1"/>
    <row r="362" s="651" customFormat="1" customHeight="1"/>
    <row r="363" s="651" customFormat="1" customHeight="1"/>
    <row r="364" s="651" customFormat="1" customHeight="1"/>
    <row r="365" s="651" customFormat="1" customHeight="1"/>
    <row r="366" s="651" customFormat="1" customHeight="1"/>
    <row r="367" s="651" customFormat="1" customHeight="1"/>
    <row r="368" s="651" customFormat="1" customHeight="1"/>
    <row r="369" s="651" customFormat="1" customHeight="1"/>
    <row r="370" s="651" customFormat="1" customHeight="1"/>
    <row r="371" s="651" customFormat="1" customHeight="1"/>
    <row r="372" s="651" customFormat="1" customHeight="1"/>
    <row r="373" s="651" customFormat="1" customHeight="1"/>
    <row r="374" s="651" customFormat="1" customHeight="1"/>
    <row r="375" s="651" customFormat="1" customHeight="1"/>
    <row r="376" s="651" customFormat="1" customHeight="1"/>
    <row r="377" s="651" customFormat="1" customHeight="1"/>
    <row r="378" s="651" customFormat="1" customHeight="1"/>
    <row r="379" s="651" customFormat="1" customHeight="1"/>
    <row r="380" s="651" customFormat="1" customHeight="1"/>
    <row r="381" s="651" customFormat="1" customHeight="1"/>
    <row r="382" s="651" customFormat="1" customHeight="1"/>
    <row r="383" s="651" customFormat="1" customHeight="1"/>
    <row r="384" s="651" customFormat="1" customHeight="1"/>
    <row r="385" s="651" customFormat="1" customHeight="1"/>
    <row r="386" s="651" customFormat="1" customHeight="1"/>
    <row r="387" s="651" customFormat="1" customHeight="1"/>
    <row r="388" s="651" customFormat="1" customHeight="1"/>
    <row r="389" s="651" customFormat="1" customHeight="1"/>
    <row r="390" s="651" customFormat="1" customHeight="1"/>
    <row r="391" s="651" customFormat="1" customHeight="1"/>
    <row r="392" s="651" customFormat="1" customHeight="1"/>
    <row r="393" s="651" customFormat="1" customHeight="1"/>
    <row r="394" s="651" customFormat="1" customHeight="1"/>
    <row r="395" s="651" customFormat="1" customHeight="1"/>
    <row r="396" s="651" customFormat="1" customHeight="1"/>
    <row r="397" s="651" customFormat="1" customHeight="1"/>
    <row r="398" s="651" customFormat="1" customHeight="1"/>
    <row r="399" s="651" customFormat="1" customHeight="1"/>
    <row r="400" s="651" customFormat="1" customHeight="1"/>
    <row r="401" s="651" customFormat="1" customHeight="1"/>
    <row r="402" s="651" customFormat="1" customHeight="1"/>
    <row r="403" s="651" customFormat="1" customHeight="1"/>
    <row r="404" s="651" customFormat="1" customHeight="1"/>
    <row r="405" s="651" customFormat="1" customHeight="1"/>
    <row r="406" s="651" customFormat="1" customHeight="1"/>
    <row r="407" s="651" customFormat="1" customHeight="1"/>
    <row r="408" s="651" customFormat="1" customHeight="1"/>
    <row r="409" s="2336" customFormat="1" customHeight="1" spans="10:26">
      <c r="J409" s="651"/>
      <c r="K409" s="651"/>
      <c r="L409" s="651"/>
      <c r="M409" s="651"/>
      <c r="N409" s="651"/>
      <c r="O409" s="651"/>
      <c r="P409" s="651"/>
      <c r="Q409" s="651"/>
      <c r="R409" s="651"/>
      <c r="S409" s="651"/>
      <c r="T409" s="651"/>
      <c r="U409" s="651"/>
      <c r="V409" s="651"/>
      <c r="W409" s="651"/>
      <c r="X409" s="651"/>
      <c r="Y409" s="651"/>
      <c r="Z409" s="651"/>
    </row>
    <row r="410" s="2336" customFormat="1" customHeight="1" spans="10:26">
      <c r="J410" s="651"/>
      <c r="K410" s="651"/>
      <c r="L410" s="651"/>
      <c r="M410" s="651"/>
      <c r="N410" s="651"/>
      <c r="O410" s="651"/>
      <c r="P410" s="651"/>
      <c r="Q410" s="651"/>
      <c r="R410" s="651"/>
      <c r="S410" s="651"/>
      <c r="T410" s="651"/>
      <c r="U410" s="651"/>
      <c r="V410" s="651"/>
      <c r="W410" s="651"/>
      <c r="X410" s="651"/>
      <c r="Y410" s="651"/>
      <c r="Z410" s="651"/>
    </row>
    <row r="411" s="2336" customFormat="1" customHeight="1" spans="10:26">
      <c r="J411" s="651"/>
      <c r="K411" s="651"/>
      <c r="L411" s="651"/>
      <c r="M411" s="651"/>
      <c r="N411" s="651"/>
      <c r="O411" s="651"/>
      <c r="P411" s="651"/>
      <c r="Q411" s="651"/>
      <c r="R411" s="651"/>
      <c r="S411" s="651"/>
      <c r="T411" s="651"/>
      <c r="U411" s="651"/>
      <c r="V411" s="651"/>
      <c r="W411" s="651"/>
      <c r="X411" s="651"/>
      <c r="Y411" s="651"/>
      <c r="Z411" s="651"/>
    </row>
    <row r="412" s="2336" customFormat="1" customHeight="1" spans="10:26">
      <c r="J412" s="651"/>
      <c r="K412" s="651"/>
      <c r="L412" s="651"/>
      <c r="M412" s="651"/>
      <c r="N412" s="651"/>
      <c r="O412" s="651"/>
      <c r="P412" s="651"/>
      <c r="Q412" s="651"/>
      <c r="R412" s="651"/>
      <c r="S412" s="651"/>
      <c r="T412" s="651"/>
      <c r="U412" s="651"/>
      <c r="V412" s="651"/>
      <c r="W412" s="651"/>
      <c r="X412" s="651"/>
      <c r="Y412" s="651"/>
      <c r="Z412" s="651"/>
    </row>
    <row r="413" s="2336" customFormat="1" customHeight="1" spans="10:26">
      <c r="J413" s="651"/>
      <c r="K413" s="651"/>
      <c r="L413" s="651"/>
      <c r="M413" s="651"/>
      <c r="N413" s="651"/>
      <c r="O413" s="651"/>
      <c r="P413" s="651"/>
      <c r="Q413" s="651"/>
      <c r="R413" s="651"/>
      <c r="S413" s="651"/>
      <c r="T413" s="651"/>
      <c r="U413" s="651"/>
      <c r="V413" s="651"/>
      <c r="W413" s="651"/>
      <c r="X413" s="651"/>
      <c r="Y413" s="651"/>
      <c r="Z413" s="651"/>
    </row>
    <row r="414" s="2336" customFormat="1" customHeight="1" spans="10:26">
      <c r="J414" s="651"/>
      <c r="K414" s="651"/>
      <c r="L414" s="651"/>
      <c r="M414" s="651"/>
      <c r="N414" s="651"/>
      <c r="O414" s="651"/>
      <c r="P414" s="651"/>
      <c r="Q414" s="651"/>
      <c r="R414" s="651"/>
      <c r="S414" s="651"/>
      <c r="T414" s="651"/>
      <c r="U414" s="651"/>
      <c r="V414" s="651"/>
      <c r="W414" s="651"/>
      <c r="X414" s="651"/>
      <c r="Y414" s="651"/>
      <c r="Z414" s="651"/>
    </row>
    <row r="415" s="2336" customFormat="1" customHeight="1" spans="10:26">
      <c r="J415" s="651"/>
      <c r="K415" s="651"/>
      <c r="L415" s="651"/>
      <c r="M415" s="651"/>
      <c r="N415" s="651"/>
      <c r="O415" s="651"/>
      <c r="P415" s="651"/>
      <c r="Q415" s="651"/>
      <c r="R415" s="651"/>
      <c r="S415" s="651"/>
      <c r="T415" s="651"/>
      <c r="U415" s="651"/>
      <c r="V415" s="651"/>
      <c r="W415" s="651"/>
      <c r="X415" s="651"/>
      <c r="Y415" s="651"/>
      <c r="Z415" s="651"/>
    </row>
    <row r="416" s="2336" customFormat="1" customHeight="1" spans="10:26">
      <c r="J416" s="651"/>
      <c r="K416" s="651"/>
      <c r="L416" s="651"/>
      <c r="M416" s="651"/>
      <c r="N416" s="651"/>
      <c r="O416" s="651"/>
      <c r="P416" s="651"/>
      <c r="Q416" s="651"/>
      <c r="R416" s="651"/>
      <c r="S416" s="651"/>
      <c r="T416" s="651"/>
      <c r="U416" s="651"/>
      <c r="V416" s="651"/>
      <c r="W416" s="651"/>
      <c r="X416" s="651"/>
      <c r="Y416" s="651"/>
      <c r="Z416" s="651"/>
    </row>
    <row r="417" s="2336" customFormat="1" customHeight="1" spans="10:26">
      <c r="J417" s="651"/>
      <c r="K417" s="651"/>
      <c r="L417" s="651"/>
      <c r="M417" s="651"/>
      <c r="N417" s="651"/>
      <c r="O417" s="651"/>
      <c r="P417" s="651"/>
      <c r="Q417" s="651"/>
      <c r="R417" s="651"/>
      <c r="S417" s="651"/>
      <c r="T417" s="651"/>
      <c r="U417" s="651"/>
      <c r="V417" s="651"/>
      <c r="W417" s="651"/>
      <c r="X417" s="651"/>
      <c r="Y417" s="651"/>
      <c r="Z417" s="651"/>
    </row>
    <row r="418" s="2336" customFormat="1" customHeight="1" spans="10:26">
      <c r="J418" s="651"/>
      <c r="K418" s="651"/>
      <c r="L418" s="651"/>
      <c r="M418" s="651"/>
      <c r="N418" s="651"/>
      <c r="O418" s="651"/>
      <c r="P418" s="651"/>
      <c r="Q418" s="651"/>
      <c r="R418" s="651"/>
      <c r="S418" s="651"/>
      <c r="T418" s="651"/>
      <c r="U418" s="651"/>
      <c r="V418" s="651"/>
      <c r="W418" s="651"/>
      <c r="X418" s="651"/>
      <c r="Y418" s="651"/>
      <c r="Z418" s="651"/>
    </row>
    <row r="419" s="2336" customFormat="1" customHeight="1" spans="10:26">
      <c r="J419" s="651"/>
      <c r="K419" s="651"/>
      <c r="L419" s="651"/>
      <c r="M419" s="651"/>
      <c r="N419" s="651"/>
      <c r="O419" s="651"/>
      <c r="P419" s="651"/>
      <c r="Q419" s="651"/>
      <c r="R419" s="651"/>
      <c r="S419" s="651"/>
      <c r="T419" s="651"/>
      <c r="U419" s="651"/>
      <c r="V419" s="651"/>
      <c r="W419" s="651"/>
      <c r="X419" s="651"/>
      <c r="Y419" s="651"/>
      <c r="Z419" s="651"/>
    </row>
    <row r="420" s="2336" customFormat="1" customHeight="1" spans="10:26">
      <c r="J420" s="651"/>
      <c r="K420" s="651"/>
      <c r="L420" s="651"/>
      <c r="M420" s="651"/>
      <c r="N420" s="651"/>
      <c r="O420" s="651"/>
      <c r="P420" s="651"/>
      <c r="Q420" s="651"/>
      <c r="R420" s="651"/>
      <c r="S420" s="651"/>
      <c r="T420" s="651"/>
      <c r="U420" s="651"/>
      <c r="V420" s="651"/>
      <c r="W420" s="651"/>
      <c r="X420" s="651"/>
      <c r="Y420" s="651"/>
      <c r="Z420" s="651"/>
    </row>
    <row r="421" s="2336" customFormat="1" customHeight="1" spans="10:26">
      <c r="J421" s="651"/>
      <c r="K421" s="651"/>
      <c r="L421" s="651"/>
      <c r="M421" s="651"/>
      <c r="N421" s="651"/>
      <c r="O421" s="651"/>
      <c r="P421" s="651"/>
      <c r="Q421" s="651"/>
      <c r="R421" s="651"/>
      <c r="S421" s="651"/>
      <c r="T421" s="651"/>
      <c r="U421" s="651"/>
      <c r="V421" s="651"/>
      <c r="W421" s="651"/>
      <c r="X421" s="651"/>
      <c r="Y421" s="651"/>
      <c r="Z421" s="651"/>
    </row>
    <row r="422" s="2336" customFormat="1" customHeight="1" spans="10:26">
      <c r="J422" s="651"/>
      <c r="K422" s="651"/>
      <c r="L422" s="651"/>
      <c r="M422" s="651"/>
      <c r="N422" s="651"/>
      <c r="O422" s="651"/>
      <c r="P422" s="651"/>
      <c r="Q422" s="651"/>
      <c r="R422" s="651"/>
      <c r="S422" s="651"/>
      <c r="T422" s="651"/>
      <c r="U422" s="651"/>
      <c r="V422" s="651"/>
      <c r="W422" s="651"/>
      <c r="X422" s="651"/>
      <c r="Y422" s="651"/>
      <c r="Z422" s="651"/>
    </row>
    <row r="423" s="2336" customFormat="1" customHeight="1" spans="10:26">
      <c r="J423" s="651"/>
      <c r="K423" s="651"/>
      <c r="L423" s="651"/>
      <c r="M423" s="651"/>
      <c r="N423" s="651"/>
      <c r="O423" s="651"/>
      <c r="P423" s="651"/>
      <c r="Q423" s="651"/>
      <c r="R423" s="651"/>
      <c r="S423" s="651"/>
      <c r="T423" s="651"/>
      <c r="U423" s="651"/>
      <c r="V423" s="651"/>
      <c r="W423" s="651"/>
      <c r="X423" s="651"/>
      <c r="Y423" s="651"/>
      <c r="Z423" s="651"/>
    </row>
    <row r="424" s="2336" customFormat="1" customHeight="1" spans="10:26">
      <c r="J424" s="651"/>
      <c r="K424" s="651"/>
      <c r="L424" s="651"/>
      <c r="M424" s="651"/>
      <c r="N424" s="651"/>
      <c r="O424" s="651"/>
      <c r="P424" s="651"/>
      <c r="Q424" s="651"/>
      <c r="R424" s="651"/>
      <c r="S424" s="651"/>
      <c r="T424" s="651"/>
      <c r="U424" s="651"/>
      <c r="V424" s="651"/>
      <c r="W424" s="651"/>
      <c r="X424" s="651"/>
      <c r="Y424" s="651"/>
      <c r="Z424" s="651"/>
    </row>
    <row r="425" s="2336" customFormat="1" customHeight="1" spans="10:26">
      <c r="J425" s="651"/>
      <c r="K425" s="651"/>
      <c r="L425" s="651"/>
      <c r="M425" s="651"/>
      <c r="N425" s="651"/>
      <c r="O425" s="651"/>
      <c r="P425" s="651"/>
      <c r="Q425" s="651"/>
      <c r="R425" s="651"/>
      <c r="S425" s="651"/>
      <c r="T425" s="651"/>
      <c r="U425" s="651"/>
      <c r="V425" s="651"/>
      <c r="W425" s="651"/>
      <c r="X425" s="651"/>
      <c r="Y425" s="651"/>
      <c r="Z425" s="651"/>
    </row>
    <row r="426" s="2336" customFormat="1" customHeight="1" spans="10:26">
      <c r="J426" s="651"/>
      <c r="K426" s="651"/>
      <c r="L426" s="651"/>
      <c r="M426" s="651"/>
      <c r="N426" s="651"/>
      <c r="O426" s="651"/>
      <c r="P426" s="651"/>
      <c r="Q426" s="651"/>
      <c r="R426" s="651"/>
      <c r="S426" s="651"/>
      <c r="T426" s="651"/>
      <c r="U426" s="651"/>
      <c r="V426" s="651"/>
      <c r="W426" s="651"/>
      <c r="X426" s="651"/>
      <c r="Y426" s="651"/>
      <c r="Z426" s="651"/>
    </row>
    <row r="427" s="2336" customFormat="1" customHeight="1" spans="10:26">
      <c r="J427" s="651"/>
      <c r="K427" s="651"/>
      <c r="L427" s="651"/>
      <c r="M427" s="651"/>
      <c r="N427" s="651"/>
      <c r="O427" s="651"/>
      <c r="P427" s="651"/>
      <c r="Q427" s="651"/>
      <c r="R427" s="651"/>
      <c r="S427" s="651"/>
      <c r="T427" s="651"/>
      <c r="U427" s="651"/>
      <c r="V427" s="651"/>
      <c r="W427" s="651"/>
      <c r="X427" s="651"/>
      <c r="Y427" s="651"/>
      <c r="Z427" s="651"/>
    </row>
    <row r="428" s="2336" customFormat="1" customHeight="1" spans="10:26">
      <c r="J428" s="651"/>
      <c r="K428" s="651"/>
      <c r="L428" s="651"/>
      <c r="M428" s="651"/>
      <c r="N428" s="651"/>
      <c r="O428" s="651"/>
      <c r="P428" s="651"/>
      <c r="Q428" s="651"/>
      <c r="R428" s="651"/>
      <c r="S428" s="651"/>
      <c r="T428" s="651"/>
      <c r="U428" s="651"/>
      <c r="V428" s="651"/>
      <c r="W428" s="651"/>
      <c r="X428" s="651"/>
      <c r="Y428" s="651"/>
      <c r="Z428" s="651"/>
    </row>
    <row r="429" s="2336" customFormat="1" customHeight="1" spans="10:26">
      <c r="J429" s="651"/>
      <c r="K429" s="651"/>
      <c r="L429" s="651"/>
      <c r="M429" s="651"/>
      <c r="N429" s="651"/>
      <c r="O429" s="651"/>
      <c r="P429" s="651"/>
      <c r="Q429" s="651"/>
      <c r="R429" s="651"/>
      <c r="S429" s="651"/>
      <c r="T429" s="651"/>
      <c r="U429" s="651"/>
      <c r="V429" s="651"/>
      <c r="W429" s="651"/>
      <c r="X429" s="651"/>
      <c r="Y429" s="651"/>
      <c r="Z429" s="651"/>
    </row>
    <row r="430" s="2336" customFormat="1" customHeight="1" spans="10:26">
      <c r="J430" s="651"/>
      <c r="K430" s="651"/>
      <c r="L430" s="651"/>
      <c r="M430" s="651"/>
      <c r="N430" s="651"/>
      <c r="O430" s="651"/>
      <c r="P430" s="651"/>
      <c r="Q430" s="651"/>
      <c r="R430" s="651"/>
      <c r="S430" s="651"/>
      <c r="T430" s="651"/>
      <c r="U430" s="651"/>
      <c r="V430" s="651"/>
      <c r="W430" s="651"/>
      <c r="X430" s="651"/>
      <c r="Y430" s="651"/>
      <c r="Z430" s="651"/>
    </row>
    <row r="431" s="2336" customFormat="1" customHeight="1" spans="10:26">
      <c r="J431" s="651"/>
      <c r="K431" s="651"/>
      <c r="L431" s="651"/>
      <c r="M431" s="651"/>
      <c r="N431" s="651"/>
      <c r="O431" s="651"/>
      <c r="P431" s="651"/>
      <c r="Q431" s="651"/>
      <c r="R431" s="651"/>
      <c r="S431" s="651"/>
      <c r="T431" s="651"/>
      <c r="U431" s="651"/>
      <c r="V431" s="651"/>
      <c r="W431" s="651"/>
      <c r="X431" s="651"/>
      <c r="Y431" s="651"/>
      <c r="Z431" s="651"/>
    </row>
    <row r="432" s="2336" customFormat="1" customHeight="1" spans="10:26">
      <c r="J432" s="651"/>
      <c r="K432" s="651"/>
      <c r="L432" s="651"/>
      <c r="M432" s="651"/>
      <c r="N432" s="651"/>
      <c r="O432" s="651"/>
      <c r="P432" s="651"/>
      <c r="Q432" s="651"/>
      <c r="R432" s="651"/>
      <c r="S432" s="651"/>
      <c r="T432" s="651"/>
      <c r="U432" s="651"/>
      <c r="V432" s="651"/>
      <c r="W432" s="651"/>
      <c r="X432" s="651"/>
      <c r="Y432" s="651"/>
      <c r="Z432" s="651"/>
    </row>
    <row r="433" s="2336" customFormat="1" customHeight="1" spans="10:26">
      <c r="J433" s="651"/>
      <c r="K433" s="651"/>
      <c r="L433" s="651"/>
      <c r="M433" s="651"/>
      <c r="N433" s="651"/>
      <c r="O433" s="651"/>
      <c r="P433" s="651"/>
      <c r="Q433" s="651"/>
      <c r="R433" s="651"/>
      <c r="S433" s="651"/>
      <c r="T433" s="651"/>
      <c r="U433" s="651"/>
      <c r="V433" s="651"/>
      <c r="W433" s="651"/>
      <c r="X433" s="651"/>
      <c r="Y433" s="651"/>
      <c r="Z433" s="651"/>
    </row>
    <row r="434" s="2336" customFormat="1" customHeight="1" spans="10:26">
      <c r="J434" s="651"/>
      <c r="K434" s="651"/>
      <c r="L434" s="651"/>
      <c r="M434" s="651"/>
      <c r="N434" s="651"/>
      <c r="O434" s="651"/>
      <c r="P434" s="651"/>
      <c r="Q434" s="651"/>
      <c r="R434" s="651"/>
      <c r="S434" s="651"/>
      <c r="T434" s="651"/>
      <c r="U434" s="651"/>
      <c r="V434" s="651"/>
      <c r="W434" s="651"/>
      <c r="X434" s="651"/>
      <c r="Y434" s="651"/>
      <c r="Z434" s="651"/>
    </row>
    <row r="435" s="2336" customFormat="1" customHeight="1" spans="10:26">
      <c r="J435" s="651"/>
      <c r="K435" s="651"/>
      <c r="L435" s="651"/>
      <c r="M435" s="651"/>
      <c r="N435" s="651"/>
      <c r="O435" s="651"/>
      <c r="P435" s="651"/>
      <c r="Q435" s="651"/>
      <c r="R435" s="651"/>
      <c r="S435" s="651"/>
      <c r="T435" s="651"/>
      <c r="U435" s="651"/>
      <c r="V435" s="651"/>
      <c r="W435" s="651"/>
      <c r="X435" s="651"/>
      <c r="Y435" s="651"/>
      <c r="Z435" s="651"/>
    </row>
    <row r="436" s="2336" customFormat="1" customHeight="1" spans="10:26">
      <c r="J436" s="651"/>
      <c r="K436" s="651"/>
      <c r="L436" s="651"/>
      <c r="M436" s="651"/>
      <c r="N436" s="651"/>
      <c r="O436" s="651"/>
      <c r="P436" s="651"/>
      <c r="Q436" s="651"/>
      <c r="R436" s="651"/>
      <c r="S436" s="651"/>
      <c r="T436" s="651"/>
      <c r="U436" s="651"/>
      <c r="V436" s="651"/>
      <c r="W436" s="651"/>
      <c r="X436" s="651"/>
      <c r="Y436" s="651"/>
      <c r="Z436" s="651"/>
    </row>
    <row r="437" s="2336" customFormat="1" customHeight="1" spans="10:26">
      <c r="J437" s="651"/>
      <c r="K437" s="651"/>
      <c r="L437" s="651"/>
      <c r="M437" s="651"/>
      <c r="N437" s="651"/>
      <c r="O437" s="651"/>
      <c r="P437" s="651"/>
      <c r="Q437" s="651"/>
      <c r="R437" s="651"/>
      <c r="S437" s="651"/>
      <c r="T437" s="651"/>
      <c r="U437" s="651"/>
      <c r="V437" s="651"/>
      <c r="W437" s="651"/>
      <c r="X437" s="651"/>
      <c r="Y437" s="651"/>
      <c r="Z437" s="651"/>
    </row>
    <row r="438" s="2336" customFormat="1" customHeight="1" spans="10:26">
      <c r="J438" s="651"/>
      <c r="K438" s="651"/>
      <c r="L438" s="651"/>
      <c r="M438" s="651"/>
      <c r="N438" s="651"/>
      <c r="O438" s="651"/>
      <c r="P438" s="651"/>
      <c r="Q438" s="651"/>
      <c r="R438" s="651"/>
      <c r="S438" s="651"/>
      <c r="T438" s="651"/>
      <c r="U438" s="651"/>
      <c r="V438" s="651"/>
      <c r="W438" s="651"/>
      <c r="X438" s="651"/>
      <c r="Y438" s="651"/>
      <c r="Z438" s="651"/>
    </row>
    <row r="439" s="2336" customFormat="1" customHeight="1" spans="10:26">
      <c r="J439" s="651"/>
      <c r="K439" s="651"/>
      <c r="L439" s="651"/>
      <c r="M439" s="651"/>
      <c r="N439" s="651"/>
      <c r="O439" s="651"/>
      <c r="P439" s="651"/>
      <c r="Q439" s="651"/>
      <c r="R439" s="651"/>
      <c r="S439" s="651"/>
      <c r="T439" s="651"/>
      <c r="U439" s="651"/>
      <c r="V439" s="651"/>
      <c r="W439" s="651"/>
      <c r="X439" s="651"/>
      <c r="Y439" s="651"/>
      <c r="Z439" s="651"/>
    </row>
    <row r="440" s="2336" customFormat="1" customHeight="1" spans="10:26">
      <c r="J440" s="651"/>
      <c r="K440" s="651"/>
      <c r="L440" s="651"/>
      <c r="M440" s="651"/>
      <c r="N440" s="651"/>
      <c r="O440" s="651"/>
      <c r="P440" s="651"/>
      <c r="Q440" s="651"/>
      <c r="R440" s="651"/>
      <c r="S440" s="651"/>
      <c r="T440" s="651"/>
      <c r="U440" s="651"/>
      <c r="V440" s="651"/>
      <c r="W440" s="651"/>
      <c r="X440" s="651"/>
      <c r="Y440" s="651"/>
      <c r="Z440" s="651"/>
    </row>
    <row r="441" s="2336" customFormat="1" customHeight="1" spans="10:26">
      <c r="J441" s="651"/>
      <c r="K441" s="651"/>
      <c r="L441" s="651"/>
      <c r="M441" s="651"/>
      <c r="N441" s="651"/>
      <c r="O441" s="651"/>
      <c r="P441" s="651"/>
      <c r="Q441" s="651"/>
      <c r="R441" s="651"/>
      <c r="S441" s="651"/>
      <c r="T441" s="651"/>
      <c r="U441" s="651"/>
      <c r="V441" s="651"/>
      <c r="W441" s="651"/>
      <c r="X441" s="651"/>
      <c r="Y441" s="651"/>
      <c r="Z441" s="651"/>
    </row>
    <row r="442" s="2336" customFormat="1" customHeight="1" spans="10:26">
      <c r="J442" s="651"/>
      <c r="K442" s="651"/>
      <c r="L442" s="651"/>
      <c r="M442" s="651"/>
      <c r="N442" s="651"/>
      <c r="O442" s="651"/>
      <c r="P442" s="651"/>
      <c r="Q442" s="651"/>
      <c r="R442" s="651"/>
      <c r="S442" s="651"/>
      <c r="T442" s="651"/>
      <c r="U442" s="651"/>
      <c r="V442" s="651"/>
      <c r="W442" s="651"/>
      <c r="X442" s="651"/>
      <c r="Y442" s="651"/>
      <c r="Z442" s="651"/>
    </row>
    <row r="443" s="2336" customFormat="1" customHeight="1" spans="10:26">
      <c r="J443" s="651"/>
      <c r="K443" s="651"/>
      <c r="L443" s="651"/>
      <c r="M443" s="651"/>
      <c r="N443" s="651"/>
      <c r="O443" s="651"/>
      <c r="P443" s="651"/>
      <c r="Q443" s="651"/>
      <c r="R443" s="651"/>
      <c r="S443" s="651"/>
      <c r="T443" s="651"/>
      <c r="U443" s="651"/>
      <c r="V443" s="651"/>
      <c r="W443" s="651"/>
      <c r="X443" s="651"/>
      <c r="Y443" s="651"/>
      <c r="Z443" s="651"/>
    </row>
    <row r="444" s="2336" customFormat="1" customHeight="1" spans="10:26">
      <c r="J444" s="651"/>
      <c r="K444" s="651"/>
      <c r="L444" s="651"/>
      <c r="M444" s="651"/>
      <c r="N444" s="651"/>
      <c r="O444" s="651"/>
      <c r="P444" s="651"/>
      <c r="Q444" s="651"/>
      <c r="R444" s="651"/>
      <c r="S444" s="651"/>
      <c r="T444" s="651"/>
      <c r="U444" s="651"/>
      <c r="V444" s="651"/>
      <c r="W444" s="651"/>
      <c r="X444" s="651"/>
      <c r="Y444" s="651"/>
      <c r="Z444" s="651"/>
    </row>
    <row r="445" s="2336" customFormat="1" customHeight="1" spans="10:26">
      <c r="J445" s="651"/>
      <c r="K445" s="651"/>
      <c r="L445" s="651"/>
      <c r="M445" s="651"/>
      <c r="N445" s="651"/>
      <c r="O445" s="651"/>
      <c r="P445" s="651"/>
      <c r="Q445" s="651"/>
      <c r="R445" s="651"/>
      <c r="S445" s="651"/>
      <c r="T445" s="651"/>
      <c r="U445" s="651"/>
      <c r="V445" s="651"/>
      <c r="W445" s="651"/>
      <c r="X445" s="651"/>
      <c r="Y445" s="651"/>
      <c r="Z445" s="651"/>
    </row>
    <row r="446" s="2336" customFormat="1" customHeight="1" spans="10:26">
      <c r="J446" s="651"/>
      <c r="K446" s="651"/>
      <c r="L446" s="651"/>
      <c r="M446" s="651"/>
      <c r="N446" s="651"/>
      <c r="O446" s="651"/>
      <c r="P446" s="651"/>
      <c r="Q446" s="651"/>
      <c r="R446" s="651"/>
      <c r="S446" s="651"/>
      <c r="T446" s="651"/>
      <c r="U446" s="651"/>
      <c r="V446" s="651"/>
      <c r="W446" s="651"/>
      <c r="X446" s="651"/>
      <c r="Y446" s="651"/>
      <c r="Z446" s="651"/>
    </row>
    <row r="447" s="2336" customFormat="1" customHeight="1" spans="10:26">
      <c r="J447" s="651"/>
      <c r="K447" s="651"/>
      <c r="L447" s="651"/>
      <c r="M447" s="651"/>
      <c r="N447" s="651"/>
      <c r="O447" s="651"/>
      <c r="P447" s="651"/>
      <c r="Q447" s="651"/>
      <c r="R447" s="651"/>
      <c r="S447" s="651"/>
      <c r="T447" s="651"/>
      <c r="U447" s="651"/>
      <c r="V447" s="651"/>
      <c r="W447" s="651"/>
      <c r="X447" s="651"/>
      <c r="Y447" s="651"/>
      <c r="Z447" s="651"/>
    </row>
    <row r="448" s="2336" customFormat="1" customHeight="1" spans="10:26">
      <c r="J448" s="651"/>
      <c r="K448" s="651"/>
      <c r="L448" s="651"/>
      <c r="M448" s="651"/>
      <c r="N448" s="651"/>
      <c r="O448" s="651"/>
      <c r="P448" s="651"/>
      <c r="Q448" s="651"/>
      <c r="R448" s="651"/>
      <c r="S448" s="651"/>
      <c r="T448" s="651"/>
      <c r="U448" s="651"/>
      <c r="V448" s="651"/>
      <c r="W448" s="651"/>
      <c r="X448" s="651"/>
      <c r="Y448" s="651"/>
      <c r="Z448" s="651"/>
    </row>
    <row r="449" s="2336" customFormat="1" customHeight="1" spans="10:26">
      <c r="J449" s="651"/>
      <c r="K449" s="651"/>
      <c r="L449" s="651"/>
      <c r="M449" s="651"/>
      <c r="N449" s="651"/>
      <c r="O449" s="651"/>
      <c r="P449" s="651"/>
      <c r="Q449" s="651"/>
      <c r="R449" s="651"/>
      <c r="S449" s="651"/>
      <c r="T449" s="651"/>
      <c r="U449" s="651"/>
      <c r="V449" s="651"/>
      <c r="W449" s="651"/>
      <c r="X449" s="651"/>
      <c r="Y449" s="651"/>
      <c r="Z449" s="651"/>
    </row>
    <row r="450" s="2336" customFormat="1" customHeight="1" spans="10:26">
      <c r="J450" s="651"/>
      <c r="K450" s="651"/>
      <c r="L450" s="651"/>
      <c r="M450" s="651"/>
      <c r="N450" s="651"/>
      <c r="O450" s="651"/>
      <c r="P450" s="651"/>
      <c r="Q450" s="651"/>
      <c r="R450" s="651"/>
      <c r="S450" s="651"/>
      <c r="T450" s="651"/>
      <c r="U450" s="651"/>
      <c r="V450" s="651"/>
      <c r="W450" s="651"/>
      <c r="X450" s="651"/>
      <c r="Y450" s="651"/>
      <c r="Z450" s="651"/>
    </row>
    <row r="451" s="2336" customFormat="1" customHeight="1" spans="10:26">
      <c r="J451" s="651"/>
      <c r="K451" s="651"/>
      <c r="L451" s="651"/>
      <c r="M451" s="651"/>
      <c r="N451" s="651"/>
      <c r="O451" s="651"/>
      <c r="P451" s="651"/>
      <c r="Q451" s="651"/>
      <c r="R451" s="651"/>
      <c r="S451" s="651"/>
      <c r="T451" s="651"/>
      <c r="U451" s="651"/>
      <c r="V451" s="651"/>
      <c r="W451" s="651"/>
      <c r="X451" s="651"/>
      <c r="Y451" s="651"/>
      <c r="Z451" s="651"/>
    </row>
    <row r="452" s="2336" customFormat="1" customHeight="1" spans="10:26">
      <c r="J452" s="651"/>
      <c r="K452" s="651"/>
      <c r="L452" s="651"/>
      <c r="M452" s="651"/>
      <c r="N452" s="651"/>
      <c r="O452" s="651"/>
      <c r="P452" s="651"/>
      <c r="Q452" s="651"/>
      <c r="R452" s="651"/>
      <c r="S452" s="651"/>
      <c r="T452" s="651"/>
      <c r="U452" s="651"/>
      <c r="V452" s="651"/>
      <c r="W452" s="651"/>
      <c r="X452" s="651"/>
      <c r="Y452" s="651"/>
      <c r="Z452" s="651"/>
    </row>
    <row r="453" s="2336" customFormat="1" customHeight="1" spans="10:26">
      <c r="J453" s="651"/>
      <c r="K453" s="651"/>
      <c r="L453" s="651"/>
      <c r="M453" s="651"/>
      <c r="N453" s="651"/>
      <c r="O453" s="651"/>
      <c r="P453" s="651"/>
      <c r="Q453" s="651"/>
      <c r="R453" s="651"/>
      <c r="S453" s="651"/>
      <c r="T453" s="651"/>
      <c r="U453" s="651"/>
      <c r="V453" s="651"/>
      <c r="W453" s="651"/>
      <c r="X453" s="651"/>
      <c r="Y453" s="651"/>
      <c r="Z453" s="651"/>
    </row>
    <row r="454" s="2336" customFormat="1" customHeight="1" spans="10:26">
      <c r="J454" s="651"/>
      <c r="K454" s="651"/>
      <c r="L454" s="651"/>
      <c r="M454" s="651"/>
      <c r="N454" s="651"/>
      <c r="O454" s="651"/>
      <c r="P454" s="651"/>
      <c r="Q454" s="651"/>
      <c r="R454" s="651"/>
      <c r="S454" s="651"/>
      <c r="T454" s="651"/>
      <c r="U454" s="651"/>
      <c r="V454" s="651"/>
      <c r="W454" s="651"/>
      <c r="X454" s="651"/>
      <c r="Y454" s="651"/>
      <c r="Z454" s="651"/>
    </row>
    <row r="455" s="2336" customFormat="1" customHeight="1" spans="10:26">
      <c r="J455" s="651"/>
      <c r="K455" s="651"/>
      <c r="L455" s="651"/>
      <c r="M455" s="651"/>
      <c r="N455" s="651"/>
      <c r="O455" s="651"/>
      <c r="P455" s="651"/>
      <c r="Q455" s="651"/>
      <c r="R455" s="651"/>
      <c r="S455" s="651"/>
      <c r="T455" s="651"/>
      <c r="U455" s="651"/>
      <c r="V455" s="651"/>
      <c r="W455" s="651"/>
      <c r="X455" s="651"/>
      <c r="Y455" s="651"/>
      <c r="Z455" s="651"/>
    </row>
    <row r="456" s="2336" customFormat="1" customHeight="1" spans="10:26">
      <c r="J456" s="651"/>
      <c r="K456" s="651"/>
      <c r="L456" s="651"/>
      <c r="M456" s="651"/>
      <c r="N456" s="651"/>
      <c r="O456" s="651"/>
      <c r="P456" s="651"/>
      <c r="Q456" s="651"/>
      <c r="R456" s="651"/>
      <c r="S456" s="651"/>
      <c r="T456" s="651"/>
      <c r="U456" s="651"/>
      <c r="V456" s="651"/>
      <c r="W456" s="651"/>
      <c r="X456" s="651"/>
      <c r="Y456" s="651"/>
      <c r="Z456" s="651"/>
    </row>
    <row r="457" s="2336" customFormat="1" customHeight="1" spans="10:26">
      <c r="J457" s="651"/>
      <c r="K457" s="651"/>
      <c r="L457" s="651"/>
      <c r="M457" s="651"/>
      <c r="N457" s="651"/>
      <c r="O457" s="651"/>
      <c r="P457" s="651"/>
      <c r="Q457" s="651"/>
      <c r="R457" s="651"/>
      <c r="S457" s="651"/>
      <c r="T457" s="651"/>
      <c r="U457" s="651"/>
      <c r="V457" s="651"/>
      <c r="W457" s="651"/>
      <c r="X457" s="651"/>
      <c r="Y457" s="651"/>
      <c r="Z457" s="651"/>
    </row>
    <row r="458" s="2336" customFormat="1" customHeight="1" spans="10:26">
      <c r="J458" s="651"/>
      <c r="K458" s="651"/>
      <c r="L458" s="651"/>
      <c r="M458" s="651"/>
      <c r="N458" s="651"/>
      <c r="O458" s="651"/>
      <c r="P458" s="651"/>
      <c r="Q458" s="651"/>
      <c r="R458" s="651"/>
      <c r="S458" s="651"/>
      <c r="T458" s="651"/>
      <c r="U458" s="651"/>
      <c r="V458" s="651"/>
      <c r="W458" s="651"/>
      <c r="X458" s="651"/>
      <c r="Y458" s="651"/>
      <c r="Z458" s="651"/>
    </row>
    <row r="459" s="2336" customFormat="1" customHeight="1" spans="10:26">
      <c r="J459" s="651"/>
      <c r="K459" s="651"/>
      <c r="L459" s="651"/>
      <c r="M459" s="651"/>
      <c r="N459" s="651"/>
      <c r="O459" s="651"/>
      <c r="P459" s="651"/>
      <c r="Q459" s="651"/>
      <c r="R459" s="651"/>
      <c r="S459" s="651"/>
      <c r="T459" s="651"/>
      <c r="U459" s="651"/>
      <c r="V459" s="651"/>
      <c r="W459" s="651"/>
      <c r="X459" s="651"/>
      <c r="Y459" s="651"/>
      <c r="Z459" s="651"/>
    </row>
    <row r="460" s="2336" customFormat="1" customHeight="1" spans="10:26">
      <c r="J460" s="651"/>
      <c r="K460" s="651"/>
      <c r="L460" s="651"/>
      <c r="M460" s="651"/>
      <c r="N460" s="651"/>
      <c r="O460" s="651"/>
      <c r="P460" s="651"/>
      <c r="Q460" s="651"/>
      <c r="R460" s="651"/>
      <c r="S460" s="651"/>
      <c r="T460" s="651"/>
      <c r="U460" s="651"/>
      <c r="V460" s="651"/>
      <c r="W460" s="651"/>
      <c r="X460" s="651"/>
      <c r="Y460" s="651"/>
      <c r="Z460" s="651"/>
    </row>
    <row r="461" s="2336" customFormat="1" customHeight="1" spans="10:26">
      <c r="J461" s="651"/>
      <c r="K461" s="651"/>
      <c r="L461" s="651"/>
      <c r="M461" s="651"/>
      <c r="N461" s="651"/>
      <c r="O461" s="651"/>
      <c r="P461" s="651"/>
      <c r="Q461" s="651"/>
      <c r="R461" s="651"/>
      <c r="S461" s="651"/>
      <c r="T461" s="651"/>
      <c r="U461" s="651"/>
      <c r="V461" s="651"/>
      <c r="W461" s="651"/>
      <c r="X461" s="651"/>
      <c r="Y461" s="651"/>
      <c r="Z461" s="651"/>
    </row>
    <row r="462" s="2336" customFormat="1" customHeight="1" spans="10:26">
      <c r="J462" s="651"/>
      <c r="K462" s="651"/>
      <c r="L462" s="651"/>
      <c r="M462" s="651"/>
      <c r="N462" s="651"/>
      <c r="O462" s="651"/>
      <c r="P462" s="651"/>
      <c r="Q462" s="651"/>
      <c r="R462" s="651"/>
      <c r="S462" s="651"/>
      <c r="T462" s="651"/>
      <c r="U462" s="651"/>
      <c r="V462" s="651"/>
      <c r="W462" s="651"/>
      <c r="X462" s="651"/>
      <c r="Y462" s="651"/>
      <c r="Z462" s="651"/>
    </row>
    <row r="463" s="2336" customFormat="1" customHeight="1" spans="10:26">
      <c r="J463" s="651"/>
      <c r="K463" s="651"/>
      <c r="L463" s="651"/>
      <c r="M463" s="651"/>
      <c r="N463" s="651"/>
      <c r="O463" s="651"/>
      <c r="P463" s="651"/>
      <c r="Q463" s="651"/>
      <c r="R463" s="651"/>
      <c r="S463" s="651"/>
      <c r="T463" s="651"/>
      <c r="U463" s="651"/>
      <c r="V463" s="651"/>
      <c r="W463" s="651"/>
      <c r="X463" s="651"/>
      <c r="Y463" s="651"/>
      <c r="Z463" s="651"/>
    </row>
    <row r="464" s="2336" customFormat="1" customHeight="1" spans="10:26">
      <c r="J464" s="651"/>
      <c r="K464" s="651"/>
      <c r="L464" s="651"/>
      <c r="M464" s="651"/>
      <c r="N464" s="651"/>
      <c r="O464" s="651"/>
      <c r="P464" s="651"/>
      <c r="Q464" s="651"/>
      <c r="R464" s="651"/>
      <c r="S464" s="651"/>
      <c r="T464" s="651"/>
      <c r="U464" s="651"/>
      <c r="V464" s="651"/>
      <c r="W464" s="651"/>
      <c r="X464" s="651"/>
      <c r="Y464" s="651"/>
      <c r="Z464" s="651"/>
    </row>
    <row r="465" s="2336" customFormat="1" customHeight="1" spans="10:26">
      <c r="J465" s="651"/>
      <c r="K465" s="651"/>
      <c r="L465" s="651"/>
      <c r="M465" s="651"/>
      <c r="N465" s="651"/>
      <c r="O465" s="651"/>
      <c r="P465" s="651"/>
      <c r="Q465" s="651"/>
      <c r="R465" s="651"/>
      <c r="S465" s="651"/>
      <c r="T465" s="651"/>
      <c r="U465" s="651"/>
      <c r="V465" s="651"/>
      <c r="W465" s="651"/>
      <c r="X465" s="651"/>
      <c r="Y465" s="651"/>
      <c r="Z465" s="651"/>
    </row>
    <row r="466" s="2336" customFormat="1" customHeight="1" spans="10:26">
      <c r="J466" s="651"/>
      <c r="K466" s="651"/>
      <c r="L466" s="651"/>
      <c r="M466" s="651"/>
      <c r="N466" s="651"/>
      <c r="O466" s="651"/>
      <c r="P466" s="651"/>
      <c r="Q466" s="651"/>
      <c r="R466" s="651"/>
      <c r="S466" s="651"/>
      <c r="T466" s="651"/>
      <c r="U466" s="651"/>
      <c r="V466" s="651"/>
      <c r="W466" s="651"/>
      <c r="X466" s="651"/>
      <c r="Y466" s="651"/>
      <c r="Z466" s="651"/>
    </row>
    <row r="467" s="2336" customFormat="1" customHeight="1" spans="10:26">
      <c r="J467" s="651"/>
      <c r="K467" s="651"/>
      <c r="L467" s="651"/>
      <c r="M467" s="651"/>
      <c r="N467" s="651"/>
      <c r="O467" s="651"/>
      <c r="P467" s="651"/>
      <c r="Q467" s="651"/>
      <c r="R467" s="651"/>
      <c r="S467" s="651"/>
      <c r="T467" s="651"/>
      <c r="U467" s="651"/>
      <c r="V467" s="651"/>
      <c r="W467" s="651"/>
      <c r="X467" s="651"/>
      <c r="Y467" s="651"/>
      <c r="Z467" s="651"/>
    </row>
    <row r="468" s="2336" customFormat="1" customHeight="1" spans="10:26">
      <c r="J468" s="651"/>
      <c r="K468" s="651"/>
      <c r="L468" s="651"/>
      <c r="M468" s="651"/>
      <c r="N468" s="651"/>
      <c r="O468" s="651"/>
      <c r="P468" s="651"/>
      <c r="Q468" s="651"/>
      <c r="R468" s="651"/>
      <c r="S468" s="651"/>
      <c r="T468" s="651"/>
      <c r="U468" s="651"/>
      <c r="V468" s="651"/>
      <c r="W468" s="651"/>
      <c r="X468" s="651"/>
      <c r="Y468" s="651"/>
      <c r="Z468" s="651"/>
    </row>
    <row r="469" s="2336" customFormat="1" customHeight="1" spans="10:26">
      <c r="J469" s="651"/>
      <c r="K469" s="651"/>
      <c r="L469" s="651"/>
      <c r="M469" s="651"/>
      <c r="N469" s="651"/>
      <c r="O469" s="651"/>
      <c r="P469" s="651"/>
      <c r="Q469" s="651"/>
      <c r="R469" s="651"/>
      <c r="S469" s="651"/>
      <c r="T469" s="651"/>
      <c r="U469" s="651"/>
      <c r="V469" s="651"/>
      <c r="W469" s="651"/>
      <c r="X469" s="651"/>
      <c r="Y469" s="651"/>
      <c r="Z469" s="651"/>
    </row>
    <row r="470" s="2336" customFormat="1" customHeight="1" spans="10:26">
      <c r="J470" s="651"/>
      <c r="K470" s="651"/>
      <c r="L470" s="651"/>
      <c r="M470" s="651"/>
      <c r="N470" s="651"/>
      <c r="O470" s="651"/>
      <c r="P470" s="651"/>
      <c r="Q470" s="651"/>
      <c r="R470" s="651"/>
      <c r="S470" s="651"/>
      <c r="T470" s="651"/>
      <c r="U470" s="651"/>
      <c r="V470" s="651"/>
      <c r="W470" s="651"/>
      <c r="X470" s="651"/>
      <c r="Y470" s="651"/>
      <c r="Z470" s="651"/>
    </row>
    <row r="471" s="2336" customFormat="1" customHeight="1" spans="10:26">
      <c r="J471" s="651"/>
      <c r="K471" s="651"/>
      <c r="L471" s="651"/>
      <c r="M471" s="651"/>
      <c r="N471" s="651"/>
      <c r="O471" s="651"/>
      <c r="P471" s="651"/>
      <c r="Q471" s="651"/>
      <c r="R471" s="651"/>
      <c r="S471" s="651"/>
      <c r="T471" s="651"/>
      <c r="U471" s="651"/>
      <c r="V471" s="651"/>
      <c r="W471" s="651"/>
      <c r="X471" s="651"/>
      <c r="Y471" s="651"/>
      <c r="Z471" s="651"/>
    </row>
    <row r="472" s="2336" customFormat="1" customHeight="1" spans="10:26">
      <c r="J472" s="651"/>
      <c r="K472" s="651"/>
      <c r="L472" s="651"/>
      <c r="M472" s="651"/>
      <c r="N472" s="651"/>
      <c r="O472" s="651"/>
      <c r="P472" s="651"/>
      <c r="Q472" s="651"/>
      <c r="R472" s="651"/>
      <c r="S472" s="651"/>
      <c r="T472" s="651"/>
      <c r="U472" s="651"/>
      <c r="V472" s="651"/>
      <c r="W472" s="651"/>
      <c r="X472" s="651"/>
      <c r="Y472" s="651"/>
      <c r="Z472" s="651"/>
    </row>
    <row r="473" s="2336" customFormat="1" customHeight="1" spans="10:26">
      <c r="J473" s="651"/>
      <c r="K473" s="651"/>
      <c r="L473" s="651"/>
      <c r="M473" s="651"/>
      <c r="N473" s="651"/>
      <c r="O473" s="651"/>
      <c r="P473" s="651"/>
      <c r="Q473" s="651"/>
      <c r="R473" s="651"/>
      <c r="S473" s="651"/>
      <c r="T473" s="651"/>
      <c r="U473" s="651"/>
      <c r="V473" s="651"/>
      <c r="W473" s="651"/>
      <c r="X473" s="651"/>
      <c r="Y473" s="651"/>
      <c r="Z473" s="651"/>
    </row>
    <row r="474" s="2336" customFormat="1" customHeight="1" spans="10:26">
      <c r="J474" s="651"/>
      <c r="K474" s="651"/>
      <c r="L474" s="651"/>
      <c r="M474" s="651"/>
      <c r="N474" s="651"/>
      <c r="O474" s="651"/>
      <c r="P474" s="651"/>
      <c r="Q474" s="651"/>
      <c r="R474" s="651"/>
      <c r="S474" s="651"/>
      <c r="T474" s="651"/>
      <c r="U474" s="651"/>
      <c r="V474" s="651"/>
      <c r="W474" s="651"/>
      <c r="X474" s="651"/>
      <c r="Y474" s="651"/>
      <c r="Z474" s="651"/>
    </row>
    <row r="475" s="2336" customFormat="1" customHeight="1" spans="10:26">
      <c r="J475" s="651"/>
      <c r="K475" s="651"/>
      <c r="L475" s="651"/>
      <c r="M475" s="651"/>
      <c r="N475" s="651"/>
      <c r="O475" s="651"/>
      <c r="P475" s="651"/>
      <c r="Q475" s="651"/>
      <c r="R475" s="651"/>
      <c r="S475" s="651"/>
      <c r="T475" s="651"/>
      <c r="U475" s="651"/>
      <c r="V475" s="651"/>
      <c r="W475" s="651"/>
      <c r="X475" s="651"/>
      <c r="Y475" s="651"/>
      <c r="Z475" s="651"/>
    </row>
    <row r="476" s="2336" customFormat="1" customHeight="1" spans="10:26">
      <c r="J476" s="651"/>
      <c r="K476" s="651"/>
      <c r="L476" s="651"/>
      <c r="M476" s="651"/>
      <c r="N476" s="651"/>
      <c r="O476" s="651"/>
      <c r="P476" s="651"/>
      <c r="Q476" s="651"/>
      <c r="R476" s="651"/>
      <c r="S476" s="651"/>
      <c r="T476" s="651"/>
      <c r="U476" s="651"/>
      <c r="V476" s="651"/>
      <c r="W476" s="651"/>
      <c r="X476" s="651"/>
      <c r="Y476" s="651"/>
      <c r="Z476" s="651"/>
    </row>
    <row r="477" s="2336" customFormat="1" customHeight="1" spans="10:26">
      <c r="J477" s="651"/>
      <c r="K477" s="651"/>
      <c r="L477" s="651"/>
      <c r="M477" s="651"/>
      <c r="N477" s="651"/>
      <c r="O477" s="651"/>
      <c r="P477" s="651"/>
      <c r="Q477" s="651"/>
      <c r="R477" s="651"/>
      <c r="S477" s="651"/>
      <c r="T477" s="651"/>
      <c r="U477" s="651"/>
      <c r="V477" s="651"/>
      <c r="W477" s="651"/>
      <c r="X477" s="651"/>
      <c r="Y477" s="651"/>
      <c r="Z477" s="651"/>
    </row>
    <row r="478" s="2336" customFormat="1" customHeight="1" spans="10:26">
      <c r="J478" s="651"/>
      <c r="K478" s="651"/>
      <c r="L478" s="651"/>
      <c r="M478" s="651"/>
      <c r="N478" s="651"/>
      <c r="O478" s="651"/>
      <c r="P478" s="651"/>
      <c r="Q478" s="651"/>
      <c r="R478" s="651"/>
      <c r="S478" s="651"/>
      <c r="T478" s="651"/>
      <c r="U478" s="651"/>
      <c r="V478" s="651"/>
      <c r="W478" s="651"/>
      <c r="X478" s="651"/>
      <c r="Y478" s="651"/>
      <c r="Z478" s="651"/>
    </row>
    <row r="479" s="2336" customFormat="1" customHeight="1" spans="10:26">
      <c r="J479" s="651"/>
      <c r="K479" s="651"/>
      <c r="L479" s="651"/>
      <c r="M479" s="651"/>
      <c r="N479" s="651"/>
      <c r="O479" s="651"/>
      <c r="P479" s="651"/>
      <c r="Q479" s="651"/>
      <c r="R479" s="651"/>
      <c r="S479" s="651"/>
      <c r="T479" s="651"/>
      <c r="U479" s="651"/>
      <c r="V479" s="651"/>
      <c r="W479" s="651"/>
      <c r="X479" s="651"/>
      <c r="Y479" s="651"/>
      <c r="Z479" s="651"/>
    </row>
    <row r="480" s="2336" customFormat="1" customHeight="1" spans="10:26">
      <c r="J480" s="651"/>
      <c r="K480" s="651"/>
      <c r="L480" s="651"/>
      <c r="M480" s="651"/>
      <c r="N480" s="651"/>
      <c r="O480" s="651"/>
      <c r="P480" s="651"/>
      <c r="Q480" s="651"/>
      <c r="R480" s="651"/>
      <c r="S480" s="651"/>
      <c r="T480" s="651"/>
      <c r="U480" s="651"/>
      <c r="V480" s="651"/>
      <c r="W480" s="651"/>
      <c r="X480" s="651"/>
      <c r="Y480" s="651"/>
      <c r="Z480" s="651"/>
    </row>
    <row r="481" s="2336" customFormat="1" customHeight="1" spans="10:26">
      <c r="J481" s="651"/>
      <c r="K481" s="651"/>
      <c r="L481" s="651"/>
      <c r="M481" s="651"/>
      <c r="N481" s="651"/>
      <c r="O481" s="651"/>
      <c r="P481" s="651"/>
      <c r="Q481" s="651"/>
      <c r="R481" s="651"/>
      <c r="S481" s="651"/>
      <c r="T481" s="651"/>
      <c r="U481" s="651"/>
      <c r="V481" s="651"/>
      <c r="W481" s="651"/>
      <c r="X481" s="651"/>
      <c r="Y481" s="651"/>
      <c r="Z481" s="651"/>
    </row>
    <row r="482" s="2336" customFormat="1" customHeight="1" spans="10:26">
      <c r="J482" s="651"/>
      <c r="K482" s="651"/>
      <c r="L482" s="651"/>
      <c r="M482" s="651"/>
      <c r="N482" s="651"/>
      <c r="O482" s="651"/>
      <c r="P482" s="651"/>
      <c r="Q482" s="651"/>
      <c r="R482" s="651"/>
      <c r="S482" s="651"/>
      <c r="T482" s="651"/>
      <c r="U482" s="651"/>
      <c r="V482" s="651"/>
      <c r="W482" s="651"/>
      <c r="X482" s="651"/>
      <c r="Y482" s="651"/>
      <c r="Z482" s="651"/>
    </row>
    <row r="483" s="2336" customFormat="1" customHeight="1" spans="10:26">
      <c r="J483" s="651"/>
      <c r="K483" s="651"/>
      <c r="L483" s="651"/>
      <c r="M483" s="651"/>
      <c r="N483" s="651"/>
      <c r="O483" s="651"/>
      <c r="P483" s="651"/>
      <c r="Q483" s="651"/>
      <c r="R483" s="651"/>
      <c r="S483" s="651"/>
      <c r="T483" s="651"/>
      <c r="U483" s="651"/>
      <c r="V483" s="651"/>
      <c r="W483" s="651"/>
      <c r="X483" s="651"/>
      <c r="Y483" s="651"/>
      <c r="Z483" s="651"/>
    </row>
    <row r="484" s="2336" customFormat="1" customHeight="1" spans="10:26">
      <c r="J484" s="651"/>
      <c r="K484" s="651"/>
      <c r="L484" s="651"/>
      <c r="M484" s="651"/>
      <c r="N484" s="651"/>
      <c r="O484" s="651"/>
      <c r="P484" s="651"/>
      <c r="Q484" s="651"/>
      <c r="R484" s="651"/>
      <c r="S484" s="651"/>
      <c r="T484" s="651"/>
      <c r="U484" s="651"/>
      <c r="V484" s="651"/>
      <c r="W484" s="651"/>
      <c r="X484" s="651"/>
      <c r="Y484" s="651"/>
      <c r="Z484" s="651"/>
    </row>
    <row r="485" s="2336" customFormat="1" customHeight="1" spans="10:26">
      <c r="J485" s="651"/>
      <c r="K485" s="651"/>
      <c r="L485" s="651"/>
      <c r="M485" s="651"/>
      <c r="N485" s="651"/>
      <c r="O485" s="651"/>
      <c r="P485" s="651"/>
      <c r="Q485" s="651"/>
      <c r="R485" s="651"/>
      <c r="S485" s="651"/>
      <c r="T485" s="651"/>
      <c r="U485" s="651"/>
      <c r="V485" s="651"/>
      <c r="W485" s="651"/>
      <c r="X485" s="651"/>
      <c r="Y485" s="651"/>
      <c r="Z485" s="651"/>
    </row>
    <row r="486" s="2336" customFormat="1" customHeight="1" spans="10:26">
      <c r="J486" s="651"/>
      <c r="K486" s="651"/>
      <c r="L486" s="651"/>
      <c r="M486" s="651"/>
      <c r="N486" s="651"/>
      <c r="O486" s="651"/>
      <c r="P486" s="651"/>
      <c r="Q486" s="651"/>
      <c r="R486" s="651"/>
      <c r="S486" s="651"/>
      <c r="T486" s="651"/>
      <c r="U486" s="651"/>
      <c r="V486" s="651"/>
      <c r="W486" s="651"/>
      <c r="X486" s="651"/>
      <c r="Y486" s="651"/>
      <c r="Z486" s="651"/>
    </row>
    <row r="487" s="2336" customFormat="1" customHeight="1" spans="10:26">
      <c r="J487" s="651"/>
      <c r="K487" s="651"/>
      <c r="L487" s="651"/>
      <c r="M487" s="651"/>
      <c r="N487" s="651"/>
      <c r="O487" s="651"/>
      <c r="P487" s="651"/>
      <c r="Q487" s="651"/>
      <c r="R487" s="651"/>
      <c r="S487" s="651"/>
      <c r="T487" s="651"/>
      <c r="U487" s="651"/>
      <c r="V487" s="651"/>
      <c r="W487" s="651"/>
      <c r="X487" s="651"/>
      <c r="Y487" s="651"/>
      <c r="Z487" s="651"/>
    </row>
    <row r="488" s="2336" customFormat="1" customHeight="1" spans="10:26">
      <c r="J488" s="651"/>
      <c r="K488" s="651"/>
      <c r="L488" s="651"/>
      <c r="M488" s="651"/>
      <c r="N488" s="651"/>
      <c r="O488" s="651"/>
      <c r="P488" s="651"/>
      <c r="Q488" s="651"/>
      <c r="R488" s="651"/>
      <c r="S488" s="651"/>
      <c r="T488" s="651"/>
      <c r="U488" s="651"/>
      <c r="V488" s="651"/>
      <c r="W488" s="651"/>
      <c r="X488" s="651"/>
      <c r="Y488" s="651"/>
      <c r="Z488" s="651"/>
    </row>
    <row r="489" s="2336" customFormat="1" customHeight="1" spans="10:26">
      <c r="J489" s="651"/>
      <c r="K489" s="651"/>
      <c r="L489" s="651"/>
      <c r="M489" s="651"/>
      <c r="N489" s="651"/>
      <c r="O489" s="651"/>
      <c r="P489" s="651"/>
      <c r="Q489" s="651"/>
      <c r="R489" s="651"/>
      <c r="S489" s="651"/>
      <c r="T489" s="651"/>
      <c r="U489" s="651"/>
      <c r="V489" s="651"/>
      <c r="W489" s="651"/>
      <c r="X489" s="651"/>
      <c r="Y489" s="651"/>
      <c r="Z489" s="651"/>
    </row>
    <row r="490" s="2336" customFormat="1" customHeight="1" spans="10:26">
      <c r="J490" s="651"/>
      <c r="K490" s="651"/>
      <c r="L490" s="651"/>
      <c r="M490" s="651"/>
      <c r="N490" s="651"/>
      <c r="O490" s="651"/>
      <c r="P490" s="651"/>
      <c r="Q490" s="651"/>
      <c r="R490" s="651"/>
      <c r="S490" s="651"/>
      <c r="T490" s="651"/>
      <c r="U490" s="651"/>
      <c r="V490" s="651"/>
      <c r="W490" s="651"/>
      <c r="X490" s="651"/>
      <c r="Y490" s="651"/>
      <c r="Z490" s="651"/>
    </row>
    <row r="491" s="2336" customFormat="1" customHeight="1" spans="10:26">
      <c r="J491" s="651"/>
      <c r="K491" s="651"/>
      <c r="L491" s="651"/>
      <c r="M491" s="651"/>
      <c r="N491" s="651"/>
      <c r="O491" s="651"/>
      <c r="P491" s="651"/>
      <c r="Q491" s="651"/>
      <c r="R491" s="651"/>
      <c r="S491" s="651"/>
      <c r="T491" s="651"/>
      <c r="U491" s="651"/>
      <c r="V491" s="651"/>
      <c r="W491" s="651"/>
      <c r="X491" s="651"/>
      <c r="Y491" s="651"/>
      <c r="Z491" s="651"/>
    </row>
    <row r="492" s="2336" customFormat="1" customHeight="1" spans="10:26">
      <c r="J492" s="651"/>
      <c r="K492" s="651"/>
      <c r="L492" s="651"/>
      <c r="M492" s="651"/>
      <c r="N492" s="651"/>
      <c r="O492" s="651"/>
      <c r="P492" s="651"/>
      <c r="Q492" s="651"/>
      <c r="R492" s="651"/>
      <c r="S492" s="651"/>
      <c r="T492" s="651"/>
      <c r="U492" s="651"/>
      <c r="V492" s="651"/>
      <c r="W492" s="651"/>
      <c r="X492" s="651"/>
      <c r="Y492" s="651"/>
      <c r="Z492" s="651"/>
    </row>
    <row r="493" s="2336" customFormat="1" customHeight="1" spans="10:26">
      <c r="J493" s="651"/>
      <c r="K493" s="651"/>
      <c r="L493" s="651"/>
      <c r="M493" s="651"/>
      <c r="N493" s="651"/>
      <c r="O493" s="651"/>
      <c r="P493" s="651"/>
      <c r="Q493" s="651"/>
      <c r="R493" s="651"/>
      <c r="S493" s="651"/>
      <c r="T493" s="651"/>
      <c r="U493" s="651"/>
      <c r="V493" s="651"/>
      <c r="W493" s="651"/>
      <c r="X493" s="651"/>
      <c r="Y493" s="651"/>
      <c r="Z493" s="651"/>
    </row>
    <row r="494" s="2336" customFormat="1" customHeight="1" spans="10:26">
      <c r="J494" s="651"/>
      <c r="K494" s="651"/>
      <c r="L494" s="651"/>
      <c r="M494" s="651"/>
      <c r="N494" s="651"/>
      <c r="O494" s="651"/>
      <c r="P494" s="651"/>
      <c r="Q494" s="651"/>
      <c r="R494" s="651"/>
      <c r="S494" s="651"/>
      <c r="T494" s="651"/>
      <c r="U494" s="651"/>
      <c r="V494" s="651"/>
      <c r="W494" s="651"/>
      <c r="X494" s="651"/>
      <c r="Y494" s="651"/>
      <c r="Z494" s="651"/>
    </row>
    <row r="495" s="2336" customFormat="1" customHeight="1" spans="10:26">
      <c r="J495" s="651"/>
      <c r="K495" s="651"/>
      <c r="L495" s="651"/>
      <c r="M495" s="651"/>
      <c r="N495" s="651"/>
      <c r="O495" s="651"/>
      <c r="P495" s="651"/>
      <c r="Q495" s="651"/>
      <c r="R495" s="651"/>
      <c r="S495" s="651"/>
      <c r="T495" s="651"/>
      <c r="U495" s="651"/>
      <c r="V495" s="651"/>
      <c r="W495" s="651"/>
      <c r="X495" s="651"/>
      <c r="Y495" s="651"/>
      <c r="Z495" s="651"/>
    </row>
    <row r="496" s="2336" customFormat="1" customHeight="1" spans="10:26">
      <c r="J496" s="651"/>
      <c r="K496" s="651"/>
      <c r="L496" s="651"/>
      <c r="M496" s="651"/>
      <c r="N496" s="651"/>
      <c r="O496" s="651"/>
      <c r="P496" s="651"/>
      <c r="Q496" s="651"/>
      <c r="R496" s="651"/>
      <c r="S496" s="651"/>
      <c r="T496" s="651"/>
      <c r="U496" s="651"/>
      <c r="V496" s="651"/>
      <c r="W496" s="651"/>
      <c r="X496" s="651"/>
      <c r="Y496" s="651"/>
      <c r="Z496" s="651"/>
    </row>
    <row r="497" s="2336" customFormat="1" customHeight="1" spans="10:26">
      <c r="J497" s="651"/>
      <c r="K497" s="651"/>
      <c r="L497" s="651"/>
      <c r="M497" s="651"/>
      <c r="N497" s="651"/>
      <c r="O497" s="651"/>
      <c r="P497" s="651"/>
      <c r="Q497" s="651"/>
      <c r="R497" s="651"/>
      <c r="S497" s="651"/>
      <c r="T497" s="651"/>
      <c r="U497" s="651"/>
      <c r="V497" s="651"/>
      <c r="W497" s="651"/>
      <c r="X497" s="651"/>
      <c r="Y497" s="651"/>
      <c r="Z497" s="651"/>
    </row>
    <row r="498" s="2336" customFormat="1" customHeight="1" spans="10:26">
      <c r="J498" s="651"/>
      <c r="K498" s="651"/>
      <c r="L498" s="651"/>
      <c r="M498" s="651"/>
      <c r="N498" s="651"/>
      <c r="O498" s="651"/>
      <c r="P498" s="651"/>
      <c r="Q498" s="651"/>
      <c r="R498" s="651"/>
      <c r="S498" s="651"/>
      <c r="T498" s="651"/>
      <c r="U498" s="651"/>
      <c r="V498" s="651"/>
      <c r="W498" s="651"/>
      <c r="X498" s="651"/>
      <c r="Y498" s="651"/>
      <c r="Z498" s="651"/>
    </row>
    <row r="499" s="2336" customFormat="1" customHeight="1" spans="10:26">
      <c r="J499" s="651"/>
      <c r="K499" s="651"/>
      <c r="L499" s="651"/>
      <c r="M499" s="651"/>
      <c r="N499" s="651"/>
      <c r="O499" s="651"/>
      <c r="P499" s="651"/>
      <c r="Q499" s="651"/>
      <c r="R499" s="651"/>
      <c r="S499" s="651"/>
      <c r="T499" s="651"/>
      <c r="U499" s="651"/>
      <c r="V499" s="651"/>
      <c r="W499" s="651"/>
      <c r="X499" s="651"/>
      <c r="Y499" s="651"/>
      <c r="Z499" s="651"/>
    </row>
    <row r="500" s="2336" customFormat="1" customHeight="1" spans="10:26">
      <c r="J500" s="651"/>
      <c r="K500" s="651"/>
      <c r="L500" s="651"/>
      <c r="M500" s="651"/>
      <c r="N500" s="651"/>
      <c r="O500" s="651"/>
      <c r="P500" s="651"/>
      <c r="Q500" s="651"/>
      <c r="R500" s="651"/>
      <c r="S500" s="651"/>
      <c r="T500" s="651"/>
      <c r="U500" s="651"/>
      <c r="V500" s="651"/>
      <c r="W500" s="651"/>
      <c r="X500" s="651"/>
      <c r="Y500" s="651"/>
      <c r="Z500" s="651"/>
    </row>
    <row r="501" s="2336" customFormat="1" customHeight="1" spans="10:26">
      <c r="J501" s="651"/>
      <c r="K501" s="651"/>
      <c r="L501" s="651"/>
      <c r="M501" s="651"/>
      <c r="N501" s="651"/>
      <c r="O501" s="651"/>
      <c r="P501" s="651"/>
      <c r="Q501" s="651"/>
      <c r="R501" s="651"/>
      <c r="S501" s="651"/>
      <c r="T501" s="651"/>
      <c r="U501" s="651"/>
      <c r="V501" s="651"/>
      <c r="W501" s="651"/>
      <c r="X501" s="651"/>
      <c r="Y501" s="651"/>
      <c r="Z501" s="651"/>
    </row>
    <row r="502" s="2336" customFormat="1" customHeight="1" spans="10:26">
      <c r="J502" s="651"/>
      <c r="K502" s="651"/>
      <c r="L502" s="651"/>
      <c r="M502" s="651"/>
      <c r="N502" s="651"/>
      <c r="O502" s="651"/>
      <c r="P502" s="651"/>
      <c r="Q502" s="651"/>
      <c r="R502" s="651"/>
      <c r="S502" s="651"/>
      <c r="T502" s="651"/>
      <c r="U502" s="651"/>
      <c r="V502" s="651"/>
      <c r="W502" s="651"/>
      <c r="X502" s="651"/>
      <c r="Y502" s="651"/>
      <c r="Z502" s="651"/>
    </row>
    <row r="503" s="2336" customFormat="1" customHeight="1" spans="10:26">
      <c r="J503" s="651"/>
      <c r="K503" s="651"/>
      <c r="L503" s="651"/>
      <c r="M503" s="651"/>
      <c r="N503" s="651"/>
      <c r="O503" s="651"/>
      <c r="P503" s="651"/>
      <c r="Q503" s="651"/>
      <c r="R503" s="651"/>
      <c r="S503" s="651"/>
      <c r="T503" s="651"/>
      <c r="U503" s="651"/>
      <c r="V503" s="651"/>
      <c r="W503" s="651"/>
      <c r="X503" s="651"/>
      <c r="Y503" s="651"/>
      <c r="Z503" s="651"/>
    </row>
    <row r="504" s="2336" customFormat="1" customHeight="1" spans="10:26">
      <c r="J504" s="651"/>
      <c r="K504" s="651"/>
      <c r="L504" s="651"/>
      <c r="M504" s="651"/>
      <c r="N504" s="651"/>
      <c r="O504" s="651"/>
      <c r="P504" s="651"/>
      <c r="Q504" s="651"/>
      <c r="R504" s="651"/>
      <c r="S504" s="651"/>
      <c r="T504" s="651"/>
      <c r="U504" s="651"/>
      <c r="V504" s="651"/>
      <c r="W504" s="651"/>
      <c r="X504" s="651"/>
      <c r="Y504" s="651"/>
      <c r="Z504" s="651"/>
    </row>
    <row r="505" s="2336" customFormat="1" customHeight="1" spans="10:26">
      <c r="J505" s="651"/>
      <c r="K505" s="651"/>
      <c r="L505" s="651"/>
      <c r="M505" s="651"/>
      <c r="N505" s="651"/>
      <c r="O505" s="651"/>
      <c r="P505" s="651"/>
      <c r="Q505" s="651"/>
      <c r="R505" s="651"/>
      <c r="S505" s="651"/>
      <c r="T505" s="651"/>
      <c r="U505" s="651"/>
      <c r="V505" s="651"/>
      <c r="W505" s="651"/>
      <c r="X505" s="651"/>
      <c r="Y505" s="651"/>
      <c r="Z505" s="651"/>
    </row>
    <row r="506" s="2336" customFormat="1" customHeight="1" spans="10:26">
      <c r="J506" s="651"/>
      <c r="K506" s="651"/>
      <c r="L506" s="651"/>
      <c r="M506" s="651"/>
      <c r="N506" s="651"/>
      <c r="O506" s="651"/>
      <c r="P506" s="651"/>
      <c r="Q506" s="651"/>
      <c r="R506" s="651"/>
      <c r="S506" s="651"/>
      <c r="T506" s="651"/>
      <c r="U506" s="651"/>
      <c r="V506" s="651"/>
      <c r="W506" s="651"/>
      <c r="X506" s="651"/>
      <c r="Y506" s="651"/>
      <c r="Z506" s="651"/>
    </row>
    <row r="507" s="2336" customFormat="1" customHeight="1" spans="10:26">
      <c r="J507" s="651"/>
      <c r="K507" s="651"/>
      <c r="L507" s="651"/>
      <c r="M507" s="651"/>
      <c r="N507" s="651"/>
      <c r="O507" s="651"/>
      <c r="P507" s="651"/>
      <c r="Q507" s="651"/>
      <c r="R507" s="651"/>
      <c r="S507" s="651"/>
      <c r="T507" s="651"/>
      <c r="U507" s="651"/>
      <c r="V507" s="651"/>
      <c r="W507" s="651"/>
      <c r="X507" s="651"/>
      <c r="Y507" s="651"/>
      <c r="Z507" s="651"/>
    </row>
    <row r="508" s="2336" customFormat="1" customHeight="1" spans="10:26">
      <c r="J508" s="651"/>
      <c r="K508" s="651"/>
      <c r="L508" s="651"/>
      <c r="M508" s="651"/>
      <c r="N508" s="651"/>
      <c r="O508" s="651"/>
      <c r="P508" s="651"/>
      <c r="Q508" s="651"/>
      <c r="R508" s="651"/>
      <c r="S508" s="651"/>
      <c r="T508" s="651"/>
      <c r="U508" s="651"/>
      <c r="V508" s="651"/>
      <c r="W508" s="651"/>
      <c r="X508" s="651"/>
      <c r="Y508" s="651"/>
      <c r="Z508" s="651"/>
    </row>
    <row r="509" s="2336" customFormat="1" customHeight="1" spans="10:26">
      <c r="J509" s="651"/>
      <c r="K509" s="651"/>
      <c r="L509" s="651"/>
      <c r="M509" s="651"/>
      <c r="N509" s="651"/>
      <c r="O509" s="651"/>
      <c r="P509" s="651"/>
      <c r="Q509" s="651"/>
      <c r="R509" s="651"/>
      <c r="S509" s="651"/>
      <c r="T509" s="651"/>
      <c r="U509" s="651"/>
      <c r="V509" s="651"/>
      <c r="W509" s="651"/>
      <c r="X509" s="651"/>
      <c r="Y509" s="651"/>
      <c r="Z509" s="651"/>
    </row>
    <row r="510" s="2336" customFormat="1" customHeight="1" spans="10:26">
      <c r="J510" s="651"/>
      <c r="K510" s="651"/>
      <c r="L510" s="651"/>
      <c r="M510" s="651"/>
      <c r="N510" s="651"/>
      <c r="O510" s="651"/>
      <c r="P510" s="651"/>
      <c r="Q510" s="651"/>
      <c r="R510" s="651"/>
      <c r="S510" s="651"/>
      <c r="T510" s="651"/>
      <c r="U510" s="651"/>
      <c r="V510" s="651"/>
      <c r="W510" s="651"/>
      <c r="X510" s="651"/>
      <c r="Y510" s="651"/>
      <c r="Z510" s="651"/>
    </row>
    <row r="511" s="2336" customFormat="1" customHeight="1" spans="10:26">
      <c r="J511" s="651"/>
      <c r="K511" s="651"/>
      <c r="L511" s="651"/>
      <c r="M511" s="651"/>
      <c r="N511" s="651"/>
      <c r="O511" s="651"/>
      <c r="P511" s="651"/>
      <c r="Q511" s="651"/>
      <c r="R511" s="651"/>
      <c r="S511" s="651"/>
      <c r="T511" s="651"/>
      <c r="U511" s="651"/>
      <c r="V511" s="651"/>
      <c r="W511" s="651"/>
      <c r="X511" s="651"/>
      <c r="Y511" s="651"/>
      <c r="Z511" s="651"/>
    </row>
    <row r="512" s="2336" customFormat="1" customHeight="1" spans="10:26">
      <c r="J512" s="651"/>
      <c r="K512" s="651"/>
      <c r="L512" s="651"/>
      <c r="M512" s="651"/>
      <c r="N512" s="651"/>
      <c r="O512" s="651"/>
      <c r="P512" s="651"/>
      <c r="Q512" s="651"/>
      <c r="R512" s="651"/>
      <c r="S512" s="651"/>
      <c r="T512" s="651"/>
      <c r="U512" s="651"/>
      <c r="V512" s="651"/>
      <c r="W512" s="651"/>
      <c r="X512" s="651"/>
      <c r="Y512" s="651"/>
      <c r="Z512" s="651"/>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33">
      <formula1>"成本比率,收益比率,自定义"</formula1>
    </dataValidation>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55:H56">
      <formula1>"个人住宅,正常"</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16:C117">
      <formula1>"土地面积,分摊土地面积,（分摊）土地面积"</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Normal="70" topLeftCell="A6" workbookViewId="0">
      <selection activeCell="C6" sqref="C6"/>
    </sheetView>
  </sheetViews>
  <sheetFormatPr defaultColWidth="8.33333333333333" defaultRowHeight="13.2"/>
  <cols>
    <col min="1" max="1" width="10.3333333333333" style="556" customWidth="1"/>
    <col min="2" max="2" width="29.2222222222222" style="557" customWidth="1"/>
    <col min="3" max="3" width="12.1111111111111" style="557" customWidth="1"/>
    <col min="4" max="5" width="11.2222222222222" style="558" customWidth="1"/>
    <col min="6" max="6" width="9.44444444444444" style="557" customWidth="1"/>
    <col min="7" max="7" width="31.8888888888889" style="557" customWidth="1"/>
    <col min="8" max="254" width="9" style="557" customWidth="1"/>
    <col min="255" max="16384" width="8.33333333333333" style="557"/>
  </cols>
  <sheetData>
    <row r="1" s="551" customFormat="1" ht="21" spans="1:7">
      <c r="A1" s="559" t="s">
        <v>936</v>
      </c>
      <c r="B1" s="2316"/>
      <c r="C1" s="561"/>
      <c r="D1" s="561"/>
      <c r="E1" s="561"/>
      <c r="F1" s="561"/>
      <c r="G1" s="2318">
        <f>MATCH(B1,'数据-取费表'!A6:A16,0)+5</f>
        <v>7</v>
      </c>
    </row>
    <row r="2" s="551" customFormat="1" ht="18" customHeight="1" spans="1:7">
      <c r="A2" s="29" t="s">
        <v>937</v>
      </c>
      <c r="B2" s="563">
        <f ca="1">IF(D2="——",C52,C52-E2)</f>
        <v>17753</v>
      </c>
      <c r="C2" s="562" t="s">
        <v>938</v>
      </c>
      <c r="D2" s="2319" t="s">
        <v>124</v>
      </c>
      <c r="E2" s="2320" t="e">
        <f ca="1">SUMIF(INDIRECT("'"&amp;G2&amp;"'"&amp;"!A:A"),"承租人权益价值",INDIRECT("'"&amp;G2&amp;"'"&amp;"!c:c"))</f>
        <v>#REF!</v>
      </c>
      <c r="F2" s="2321" t="s">
        <v>938</v>
      </c>
      <c r="G2" s="2322"/>
    </row>
    <row r="3" s="551" customFormat="1" ht="18" customHeight="1" spans="1:7">
      <c r="A3" s="33" t="s">
        <v>939</v>
      </c>
      <c r="B3" s="565">
        <f ca="1">ROUND(B2*10000/(IF(B1="",'数据-汇总表'!E3,INDIRECT("'数据-取费表'!k"&amp;$G$1))),0)</f>
        <v>9390</v>
      </c>
      <c r="C3" s="562" t="s">
        <v>940</v>
      </c>
      <c r="D3" s="562"/>
      <c r="E3" s="562"/>
      <c r="F3" s="562"/>
      <c r="G3" s="562"/>
    </row>
    <row r="4" s="552" customFormat="1" ht="15.6" spans="1:7">
      <c r="A4" s="566" t="s">
        <v>941</v>
      </c>
      <c r="B4" s="567"/>
      <c r="C4" s="567"/>
      <c r="D4" s="567"/>
      <c r="E4" s="567"/>
      <c r="F4" s="567"/>
      <c r="G4" s="568"/>
    </row>
    <row r="5" s="553" customFormat="1" ht="13.5" customHeight="1" spans="1:7">
      <c r="A5" s="569" t="s">
        <v>942</v>
      </c>
      <c r="B5" s="570" t="s">
        <v>943</v>
      </c>
      <c r="C5" s="571">
        <f ca="1">C6+C7+C8</f>
        <v>6101</v>
      </c>
      <c r="D5" s="571" t="s">
        <v>944</v>
      </c>
      <c r="E5" s="572" t="s">
        <v>945</v>
      </c>
      <c r="F5" s="572" t="s">
        <v>842</v>
      </c>
      <c r="G5" s="573"/>
    </row>
    <row r="6" s="553" customFormat="1" ht="13.5" customHeight="1" spans="1:7">
      <c r="A6" s="574" t="s">
        <v>946</v>
      </c>
      <c r="B6" s="575" t="s">
        <v>947</v>
      </c>
      <c r="C6" s="576">
        <f>'土地比较法-工业'!F61</f>
        <v>5920</v>
      </c>
      <c r="D6" s="179"/>
      <c r="E6" s="171"/>
      <c r="F6" s="171"/>
      <c r="G6" s="577"/>
    </row>
    <row r="7" s="553" customFormat="1" ht="13.5" customHeight="1" spans="1:7">
      <c r="A7" s="574" t="s">
        <v>948</v>
      </c>
      <c r="B7" s="575" t="s">
        <v>949</v>
      </c>
      <c r="C7" s="578">
        <f>ROUND(C6*F7,0)</f>
        <v>181</v>
      </c>
      <c r="D7" s="578"/>
      <c r="E7" s="171"/>
      <c r="F7" s="579">
        <f>IF(项目基本情况!B8="出让",0,'数据-取费表'!B48+'数据-取费表'!B49)</f>
        <v>0.0305</v>
      </c>
      <c r="G7" s="577"/>
    </row>
    <row r="8" s="554" customFormat="1" spans="1:7">
      <c r="A8" s="574" t="s">
        <v>950</v>
      </c>
      <c r="B8" s="575" t="s">
        <v>951</v>
      </c>
      <c r="C8" s="578">
        <f ca="1">IF(G8="已包含在土地购买价格中","0",IF(B1="",'数据-取费表'!B29,IF(G9="全部缴纳",C9+C10,H9)))</f>
        <v>0</v>
      </c>
      <c r="D8" s="580"/>
      <c r="E8" s="578"/>
      <c r="F8" s="579"/>
      <c r="G8" s="2323" t="s">
        <v>952</v>
      </c>
    </row>
    <row r="9" s="553" customFormat="1" ht="13.5" customHeight="1" spans="1:9">
      <c r="A9" s="582" t="s">
        <v>953</v>
      </c>
      <c r="B9" s="583" t="s">
        <v>954</v>
      </c>
      <c r="C9" s="584">
        <f ca="1">ROUND(D9*E9/10000,0)</f>
        <v>0</v>
      </c>
      <c r="D9" s="585">
        <f ca="1">IF(B1="",'数据-汇总表'!E5,IF(INDIRECT("'数据-取费表'!c"&amp;$G$1)="住宅",INDIRECT("'数据-取费表'!k"&amp;$G$1),0))</f>
        <v>0</v>
      </c>
      <c r="E9" s="584">
        <f>'数据-取费表'!B27</f>
        <v>0</v>
      </c>
      <c r="F9" s="579"/>
      <c r="G9" s="2330"/>
      <c r="H9" s="2331"/>
      <c r="I9" s="2332" t="s">
        <v>955</v>
      </c>
    </row>
    <row r="10" s="553" customFormat="1" ht="13.5" customHeight="1" spans="1:7">
      <c r="A10" s="582" t="s">
        <v>956</v>
      </c>
      <c r="B10" s="583" t="s">
        <v>957</v>
      </c>
      <c r="C10" s="584">
        <f ca="1">ROUND(D10*E10/10000,0)</f>
        <v>0</v>
      </c>
      <c r="D10" s="585">
        <f ca="1">IF(B1="",'数据-汇总表'!E6,IF(INDIRECT("'数据-取费表'!c"&amp;$G$1)="住宅",INDIRECT("'数据-取费表'!s"&amp;$G$1),INDIRECT("'数据-取费表'!k"&amp;$G$1)+INDIRECT("'数据-取费表'!s"&amp;$G$1)))</f>
        <v>18907.05</v>
      </c>
      <c r="E10" s="584">
        <f>'数据-取费表'!B28</f>
        <v>0</v>
      </c>
      <c r="F10" s="579"/>
      <c r="G10" s="586"/>
    </row>
    <row r="11" s="553" customFormat="1" ht="13.5" hidden="1" customHeight="1" spans="1:7">
      <c r="A11" s="587" t="s">
        <v>958</v>
      </c>
      <c r="B11" s="575" t="s">
        <v>959</v>
      </c>
      <c r="C11" s="571"/>
      <c r="D11" s="588"/>
      <c r="E11" s="171"/>
      <c r="F11" s="171"/>
      <c r="G11" s="577"/>
    </row>
    <row r="12" s="553" customFormat="1" ht="13.5" hidden="1" customHeight="1" spans="1:7">
      <c r="A12" s="587" t="s">
        <v>960</v>
      </c>
      <c r="B12" s="575" t="s">
        <v>878</v>
      </c>
      <c r="C12" s="571">
        <v>0</v>
      </c>
      <c r="D12" s="588"/>
      <c r="E12" s="589"/>
      <c r="F12" s="579">
        <v>0.0305</v>
      </c>
      <c r="G12" s="577"/>
    </row>
    <row r="13" s="553" customFormat="1" ht="13.5" hidden="1" customHeight="1" spans="1:7">
      <c r="A13" s="587" t="s">
        <v>961</v>
      </c>
      <c r="B13" s="575" t="s">
        <v>962</v>
      </c>
      <c r="C13" s="571"/>
      <c r="D13" s="588"/>
      <c r="E13" s="171"/>
      <c r="F13" s="171"/>
      <c r="G13" s="577"/>
    </row>
    <row r="14" s="553" customFormat="1" ht="13.5" hidden="1" customHeight="1" spans="1:7">
      <c r="A14" s="587" t="s">
        <v>963</v>
      </c>
      <c r="B14" s="575" t="s">
        <v>951</v>
      </c>
      <c r="C14" s="571"/>
      <c r="D14" s="588"/>
      <c r="E14" s="171"/>
      <c r="F14" s="171"/>
      <c r="G14" s="577" t="s">
        <v>964</v>
      </c>
    </row>
    <row r="15" s="553" customFormat="1" ht="13.5" hidden="1" customHeight="1" spans="1:7">
      <c r="A15" s="587" t="s">
        <v>965</v>
      </c>
      <c r="B15" s="575" t="s">
        <v>966</v>
      </c>
      <c r="C15" s="578"/>
      <c r="D15" s="588"/>
      <c r="E15" s="171"/>
      <c r="F15" s="171"/>
      <c r="G15" s="577" t="s">
        <v>967</v>
      </c>
    </row>
    <row r="16" s="553" customFormat="1" ht="13.5" hidden="1" customHeight="1" spans="1:7">
      <c r="A16" s="587" t="s">
        <v>968</v>
      </c>
      <c r="B16" s="575" t="s">
        <v>951</v>
      </c>
      <c r="C16" s="578"/>
      <c r="D16" s="588"/>
      <c r="E16" s="171"/>
      <c r="F16" s="171"/>
      <c r="G16" s="577"/>
    </row>
    <row r="17" s="553" customFormat="1" ht="13.5" hidden="1" customHeight="1" spans="1:7">
      <c r="A17" s="587" t="s">
        <v>969</v>
      </c>
      <c r="B17" s="575" t="s">
        <v>970</v>
      </c>
      <c r="C17" s="590"/>
      <c r="D17" s="591"/>
      <c r="E17" s="590"/>
      <c r="F17" s="590"/>
      <c r="G17" s="577" t="s">
        <v>967</v>
      </c>
    </row>
    <row r="18" s="553" customFormat="1" ht="13.5" hidden="1" customHeight="1" spans="1:7">
      <c r="A18" s="587" t="s">
        <v>971</v>
      </c>
      <c r="B18" s="575" t="s">
        <v>972</v>
      </c>
      <c r="C18" s="578">
        <v>0</v>
      </c>
      <c r="D18" s="588"/>
      <c r="E18" s="171"/>
      <c r="F18" s="579">
        <v>0.0305</v>
      </c>
      <c r="G18" s="577" t="s">
        <v>973</v>
      </c>
    </row>
    <row r="19" s="554" customFormat="1" ht="13.5" customHeight="1" spans="1:7">
      <c r="A19" s="569" t="s">
        <v>974</v>
      </c>
      <c r="B19" s="570" t="s">
        <v>975</v>
      </c>
      <c r="C19" s="571" t="str">
        <f ca="1">IF(G19="已包含在土地取得成本中","0",ROUND(D19*E19/10000,0))</f>
        <v>0</v>
      </c>
      <c r="D19" s="593">
        <f ca="1">D9+D10</f>
        <v>18907.05</v>
      </c>
      <c r="E19" s="571">
        <f>'数据-取费表'!B31</f>
        <v>200</v>
      </c>
      <c r="F19" s="594"/>
      <c r="G19" s="2323" t="s">
        <v>976</v>
      </c>
    </row>
    <row r="20" s="553" customFormat="1" ht="13.5" customHeight="1" spans="1:7">
      <c r="A20" s="569" t="s">
        <v>977</v>
      </c>
      <c r="B20" s="570" t="s">
        <v>978</v>
      </c>
      <c r="C20" s="595">
        <f ca="1">ROUND((C5+C19)*F20,0)</f>
        <v>122</v>
      </c>
      <c r="D20" s="595"/>
      <c r="E20" s="595"/>
      <c r="F20" s="596">
        <f>'数据-取费表'!B37</f>
        <v>0.02</v>
      </c>
      <c r="G20" s="600" t="s">
        <v>979</v>
      </c>
    </row>
    <row r="21" s="553" customFormat="1" ht="13.5" customHeight="1" spans="1:7">
      <c r="A21" s="569" t="s">
        <v>980</v>
      </c>
      <c r="B21" s="570" t="s">
        <v>981</v>
      </c>
      <c r="C21" s="598">
        <f>F21</f>
        <v>0.02</v>
      </c>
      <c r="D21" s="599" t="s">
        <v>982</v>
      </c>
      <c r="E21" s="595"/>
      <c r="F21" s="596">
        <f>'数据-取费表'!B38</f>
        <v>0.02</v>
      </c>
      <c r="G21" s="600" t="s">
        <v>983</v>
      </c>
    </row>
    <row r="22" s="553" customFormat="1" ht="13.5" customHeight="1" spans="1:7">
      <c r="A22" s="569" t="s">
        <v>984</v>
      </c>
      <c r="B22" s="570" t="s">
        <v>985</v>
      </c>
      <c r="C22" s="601">
        <f ca="1">ROUND(SUM(C23:C25),0)</f>
        <v>308</v>
      </c>
      <c r="D22" s="598">
        <f ca="1">C26</f>
        <v>0.0005</v>
      </c>
      <c r="E22" s="599" t="s">
        <v>982</v>
      </c>
      <c r="F22" s="602">
        <f ca="1">'数据-取费表'!B40</f>
        <v>0.0415</v>
      </c>
      <c r="G22" s="600" t="str">
        <f>IF('数据-取费表'!B22&lt;=1,"单利计息","复利计息")</f>
        <v>复利计息</v>
      </c>
    </row>
    <row r="23" s="553" customFormat="1" ht="13.5" customHeight="1" spans="1:7">
      <c r="A23" s="603" t="s">
        <v>946</v>
      </c>
      <c r="B23" s="575" t="s">
        <v>986</v>
      </c>
      <c r="C23" s="604">
        <f ca="1">ROUND(IF('数据-取费表'!B22&lt;=1,C5*F22*'数据-取费表'!B23,C5*(POWER((1+F22),'数据-取费表'!B23)-1)),0)</f>
        <v>305</v>
      </c>
      <c r="D23" s="605"/>
      <c r="E23" s="605"/>
      <c r="F23" s="606"/>
      <c r="G23" s="607" t="s">
        <v>987</v>
      </c>
    </row>
    <row r="24" s="553" customFormat="1" ht="13.5" customHeight="1" spans="1:7">
      <c r="A24" s="603" t="s">
        <v>948</v>
      </c>
      <c r="B24" s="575" t="s">
        <v>988</v>
      </c>
      <c r="C24" s="604">
        <f ca="1">ROUND(IF('数据-取费表'!B22&lt;=1,C19*F22*('数据-取费表'!B19/2+'数据-取费表'!B21),C19*(POWER((1+F22),('数据-取费表'!B19/2+'数据-取费表'!B21))-1)),0)</f>
        <v>0</v>
      </c>
      <c r="D24" s="605"/>
      <c r="E24" s="605"/>
      <c r="F24" s="606"/>
      <c r="G24" s="607" t="s">
        <v>989</v>
      </c>
    </row>
    <row r="25" s="553" customFormat="1" ht="24" spans="1:7">
      <c r="A25" s="603" t="s">
        <v>950</v>
      </c>
      <c r="B25" s="575" t="s">
        <v>990</v>
      </c>
      <c r="C25" s="604">
        <f ca="1">ROUND(IF('数据-取费表'!B22&lt;=1,C20*F22*'数据-取费表'!B23/2,C20*(POWER((1+F22),'数据-取费表'!B23/2)-1)),0)</f>
        <v>3</v>
      </c>
      <c r="D25" s="605"/>
      <c r="E25" s="608"/>
      <c r="F25" s="606"/>
      <c r="G25" s="609" t="s">
        <v>991</v>
      </c>
    </row>
    <row r="26" s="553" customFormat="1" spans="1:7">
      <c r="A26" s="603" t="s">
        <v>992</v>
      </c>
      <c r="B26" s="575" t="s">
        <v>993</v>
      </c>
      <c r="C26" s="605">
        <f ca="1">ROUND(IF('数据-取费表'!B22&lt;=1,F21*F22*'数据-取费表'!B23/2,F21*(POWER((1+F22),'数据-取费表'!B23/2)-1)),4)</f>
        <v>0.0005</v>
      </c>
      <c r="D26" s="605"/>
      <c r="E26" s="608"/>
      <c r="F26" s="606"/>
      <c r="G26" s="610"/>
    </row>
    <row r="27" s="553" customFormat="1" ht="26.4" spans="1:7">
      <c r="A27" s="569" t="s">
        <v>994</v>
      </c>
      <c r="B27" s="611" t="s">
        <v>995</v>
      </c>
      <c r="C27" s="612">
        <f ca="1">C28</f>
        <v>498</v>
      </c>
      <c r="D27" s="598">
        <f ca="1">C29</f>
        <v>0.0016</v>
      </c>
      <c r="E27" s="599" t="s">
        <v>982</v>
      </c>
      <c r="F27" s="613">
        <f ca="1">IF(B1="",'数据-取费表'!Q16,INDIRECT("'数据-取费表'!q"&amp;$G$1))</f>
        <v>0.1</v>
      </c>
      <c r="G27" s="614" t="s">
        <v>996</v>
      </c>
    </row>
    <row r="28" s="553" customFormat="1" ht="13.5" customHeight="1" spans="1:7">
      <c r="A28" s="603" t="s">
        <v>946</v>
      </c>
      <c r="B28" s="615" t="s">
        <v>997</v>
      </c>
      <c r="C28" s="616">
        <f ca="1">ROUND((C5+C19+C20)*F27*'数据-取费表'!B21/'数据-取费表'!B20,0)</f>
        <v>498</v>
      </c>
      <c r="D28" s="598"/>
      <c r="E28" s="599"/>
      <c r="F28" s="613"/>
      <c r="G28" s="614"/>
    </row>
    <row r="29" s="553" customFormat="1" ht="13.5" customHeight="1" spans="1:7">
      <c r="A29" s="603" t="s">
        <v>948</v>
      </c>
      <c r="B29" s="615" t="s">
        <v>998</v>
      </c>
      <c r="C29" s="605">
        <f ca="1">ROUND(C21*F27*'数据-取费表'!B21/'数据-取费表'!B20,4)</f>
        <v>0.0016</v>
      </c>
      <c r="D29" s="598"/>
      <c r="E29" s="599"/>
      <c r="F29" s="613"/>
      <c r="G29" s="614"/>
    </row>
    <row r="30" s="553" customFormat="1" ht="13.5" customHeight="1" spans="1:7">
      <c r="A30" s="569" t="s">
        <v>999</v>
      </c>
      <c r="B30" s="570" t="s">
        <v>1000</v>
      </c>
      <c r="C30" s="598">
        <f>ROUND(F30/(1+'数据-取费表'!C42),4)</f>
        <v>0.0524</v>
      </c>
      <c r="D30" s="599" t="s">
        <v>982</v>
      </c>
      <c r="E30" s="608"/>
      <c r="F30" s="602">
        <f>'数据-取费表'!B41</f>
        <v>0.055</v>
      </c>
      <c r="G30" s="600" t="s">
        <v>1001</v>
      </c>
    </row>
    <row r="31" ht="16.5" customHeight="1" spans="1:7">
      <c r="A31" s="617">
        <v>1</v>
      </c>
      <c r="B31" s="570" t="s">
        <v>1002</v>
      </c>
      <c r="C31" s="571">
        <f ca="1">ROUND((C5+C19+C20+C22+C27)/(1-C21-D22-D27-C30),0)</f>
        <v>7595</v>
      </c>
      <c r="D31" s="618"/>
      <c r="E31" s="571"/>
      <c r="F31" s="619"/>
      <c r="G31" s="600" t="s">
        <v>1003</v>
      </c>
    </row>
    <row r="32" s="552" customFormat="1" ht="15.6" spans="1:7">
      <c r="A32" s="620" t="s">
        <v>1004</v>
      </c>
      <c r="B32" s="621"/>
      <c r="C32" s="621"/>
      <c r="D32" s="621"/>
      <c r="E32" s="621"/>
      <c r="F32" s="621"/>
      <c r="G32" s="622"/>
    </row>
    <row r="33" s="553" customFormat="1" ht="13.5" customHeight="1" spans="1:7">
      <c r="A33" s="569" t="s">
        <v>942</v>
      </c>
      <c r="B33" s="570" t="s">
        <v>1005</v>
      </c>
      <c r="C33" s="623">
        <f ca="1">SUM(C34:C38)</f>
        <v>8191</v>
      </c>
      <c r="D33" s="595"/>
      <c r="E33" s="572"/>
      <c r="F33" s="608"/>
      <c r="G33" s="600"/>
    </row>
    <row r="34" s="555" customFormat="1" ht="13.5" customHeight="1" spans="1:7">
      <c r="A34" s="603" t="s">
        <v>946</v>
      </c>
      <c r="B34" s="575" t="s">
        <v>1006</v>
      </c>
      <c r="C34" s="578">
        <f ca="1">IF(B1="",IF(F34=100%,'数据-取费表'!M16,'数据-取费表'!O16),IF(F34=100%,INDIRECT("'数据-取费表'!m"&amp;$G$1)+INDIRECT("'数据-取费表'!t"&amp;$G$1),INDIRECT("'数据-取费表'!o"&amp;$G$1)+INDIRECT("'数据-取费表'!aq"&amp;$G$1)))</f>
        <v>7549</v>
      </c>
      <c r="D34" s="179"/>
      <c r="E34" s="578"/>
      <c r="F34" s="624">
        <f ca="1">IF('数据-取费表'!B24=0,1,IF(B1="",'数据-取费表'!N16,INDIRECT("'数据-取费表'!n"&amp;$G$1)))</f>
        <v>0.8</v>
      </c>
      <c r="G34" s="577" t="s">
        <v>1007</v>
      </c>
    </row>
    <row r="35" ht="13.5" customHeight="1" spans="1:7">
      <c r="A35" s="603" t="s">
        <v>948</v>
      </c>
      <c r="B35" s="575" t="s">
        <v>1008</v>
      </c>
      <c r="C35" s="578">
        <f ca="1">ROUND(C34*F35,0)</f>
        <v>226</v>
      </c>
      <c r="D35" s="578"/>
      <c r="E35" s="578"/>
      <c r="F35" s="625">
        <f>'数据-取费表'!B33</f>
        <v>0.03</v>
      </c>
      <c r="G35" s="577" t="s">
        <v>1009</v>
      </c>
    </row>
    <row r="36" ht="24" spans="1:7">
      <c r="A36" s="603" t="s">
        <v>950</v>
      </c>
      <c r="B36" s="575" t="s">
        <v>1010</v>
      </c>
      <c r="C36" s="578">
        <f ca="1">ROUND(IF(B1="",SUMIF('数据-取费表'!C:C,"住宅",IF(F34=100%,'数据-取费表'!M:M,'数据-取费表'!O:O))*F36,IF(INDIRECT("'数据-取费表'!c"&amp;$G$1)="住宅",IF(F34=100%,INDIRECT("'数据-取费表'!m"&amp;$G$1)*F36,INDIRECT("'数据-取费表'!o"&amp;$G$1)*F36),0)),0)</f>
        <v>0</v>
      </c>
      <c r="D36" s="578"/>
      <c r="E36" s="578"/>
      <c r="F36" s="625">
        <f>'数据-取费表'!B34</f>
        <v>0</v>
      </c>
      <c r="G36" s="626" t="s">
        <v>1011</v>
      </c>
    </row>
    <row r="37" s="555" customFormat="1" ht="13.5" customHeight="1" spans="1:7">
      <c r="A37" s="603" t="s">
        <v>992</v>
      </c>
      <c r="B37" s="575" t="s">
        <v>1012</v>
      </c>
      <c r="C37" s="616">
        <f ca="1">ROUND(E37*D37*F34/10000,0)</f>
        <v>303</v>
      </c>
      <c r="D37" s="179">
        <f ca="1">D19</f>
        <v>18907.05</v>
      </c>
      <c r="E37" s="616">
        <f>'数据-取费表'!B35</f>
        <v>200</v>
      </c>
      <c r="F37" s="625"/>
      <c r="G37" s="627" t="s">
        <v>1013</v>
      </c>
    </row>
    <row r="38" ht="13.5" customHeight="1" spans="1:7">
      <c r="A38" s="603" t="s">
        <v>1014</v>
      </c>
      <c r="B38" s="575" t="s">
        <v>878</v>
      </c>
      <c r="C38" s="578">
        <f ca="1">ROUND(C34*F38,0)</f>
        <v>113</v>
      </c>
      <c r="D38" s="578"/>
      <c r="E38" s="578"/>
      <c r="F38" s="625">
        <f>'数据-取费表'!B36</f>
        <v>0.015</v>
      </c>
      <c r="G38" s="577" t="s">
        <v>1009</v>
      </c>
    </row>
    <row r="39" s="553" customFormat="1" ht="13.5" customHeight="1" spans="1:7">
      <c r="A39" s="569" t="s">
        <v>974</v>
      </c>
      <c r="B39" s="570" t="s">
        <v>978</v>
      </c>
      <c r="C39" s="595">
        <f ca="1">ROUND(C33*F20,0)</f>
        <v>164</v>
      </c>
      <c r="D39" s="595"/>
      <c r="E39" s="595"/>
      <c r="F39" s="2326">
        <f>F20</f>
        <v>0.02</v>
      </c>
      <c r="G39" s="600" t="s">
        <v>1015</v>
      </c>
    </row>
    <row r="40" s="553" customFormat="1" ht="13.5" customHeight="1" spans="1:7">
      <c r="A40" s="569" t="s">
        <v>977</v>
      </c>
      <c r="B40" s="570" t="s">
        <v>981</v>
      </c>
      <c r="C40" s="2327">
        <f>F21</f>
        <v>0.02</v>
      </c>
      <c r="D40" s="599" t="s">
        <v>1016</v>
      </c>
      <c r="E40" s="595"/>
      <c r="F40" s="2326">
        <f>F21</f>
        <v>0.02</v>
      </c>
      <c r="G40" s="600" t="s">
        <v>1017</v>
      </c>
    </row>
    <row r="41" s="553" customFormat="1" ht="13.5" customHeight="1" spans="1:7">
      <c r="A41" s="569" t="s">
        <v>980</v>
      </c>
      <c r="B41" s="570" t="s">
        <v>985</v>
      </c>
      <c r="C41" s="595">
        <f ca="1">ROUND(SUM(C42:C43),0)</f>
        <v>206</v>
      </c>
      <c r="D41" s="598">
        <f ca="1">C44</f>
        <v>0.0005</v>
      </c>
      <c r="E41" s="599" t="s">
        <v>1016</v>
      </c>
      <c r="F41" s="2328">
        <f ca="1">F22</f>
        <v>0.0415</v>
      </c>
      <c r="G41" s="600" t="str">
        <f>IF('数据-取费表'!B22&lt;=1,"单利计息","复利计息")</f>
        <v>复利计息</v>
      </c>
    </row>
    <row r="42" ht="13.5" customHeight="1" spans="1:7">
      <c r="A42" s="603" t="s">
        <v>946</v>
      </c>
      <c r="B42" s="575" t="s">
        <v>986</v>
      </c>
      <c r="C42" s="605">
        <f ca="1">ROUND(IF('数据-取费表'!B22&lt;=1,C33*F22*'数据-取费表'!B21/2,C33*(POWER((1+F22),'数据-取费表'!B21/2)-1)),0)</f>
        <v>202</v>
      </c>
      <c r="D42" s="605"/>
      <c r="E42" s="605"/>
      <c r="F42" s="606"/>
      <c r="G42" s="629" t="s">
        <v>1018</v>
      </c>
    </row>
    <row r="43" ht="13.5" customHeight="1" spans="1:7">
      <c r="A43" s="603" t="s">
        <v>948</v>
      </c>
      <c r="B43" s="575" t="s">
        <v>988</v>
      </c>
      <c r="C43" s="605">
        <f ca="1">ROUND(IF('数据-取费表'!B22&lt;=1,C39*F22*'数据-取费表'!B21/2,C39*(POWER((1+F22),'数据-取费表'!B21/2)-1)),0)</f>
        <v>4</v>
      </c>
      <c r="D43" s="605"/>
      <c r="E43" s="605"/>
      <c r="F43" s="606"/>
      <c r="G43" s="630"/>
    </row>
    <row r="44" ht="13.5" customHeight="1" spans="1:7">
      <c r="A44" s="603" t="s">
        <v>950</v>
      </c>
      <c r="B44" s="575" t="s">
        <v>990</v>
      </c>
      <c r="C44" s="605">
        <f ca="1">ROUND(IF('数据-取费表'!B22&lt;=1,C40*F22*'数据-取费表'!B21/2,C40*(POWER((1+F22),'数据-取费表'!B21/2)-1)),4)</f>
        <v>0.0005</v>
      </c>
      <c r="D44" s="605"/>
      <c r="E44" s="605"/>
      <c r="F44" s="606"/>
      <c r="G44" s="631"/>
    </row>
    <row r="45" s="553" customFormat="1" ht="13.5" customHeight="1" spans="1:7">
      <c r="A45" s="569" t="s">
        <v>984</v>
      </c>
      <c r="B45" s="611" t="s">
        <v>995</v>
      </c>
      <c r="C45" s="612">
        <f ca="1">C46</f>
        <v>836</v>
      </c>
      <c r="D45" s="598">
        <f ca="1">C47</f>
        <v>0.002</v>
      </c>
      <c r="E45" s="599" t="s">
        <v>1016</v>
      </c>
      <c r="F45" s="2329">
        <f ca="1">F27</f>
        <v>0.1</v>
      </c>
      <c r="G45" s="614" t="s">
        <v>1019</v>
      </c>
    </row>
    <row r="46" s="553" customFormat="1" ht="13.5" customHeight="1" spans="1:7">
      <c r="A46" s="603" t="s">
        <v>946</v>
      </c>
      <c r="B46" s="615" t="s">
        <v>1020</v>
      </c>
      <c r="C46" s="616">
        <f ca="1">ROUND((C33+C39)*F27,0)</f>
        <v>836</v>
      </c>
      <c r="D46" s="632"/>
      <c r="E46" s="599"/>
      <c r="F46" s="613"/>
      <c r="G46" s="614"/>
    </row>
    <row r="47" s="553" customFormat="1" ht="13.5" customHeight="1" spans="1:7">
      <c r="A47" s="603" t="s">
        <v>948</v>
      </c>
      <c r="B47" s="615" t="s">
        <v>1021</v>
      </c>
      <c r="C47" s="605">
        <f ca="1">ROUND(C40*F27,4)</f>
        <v>0.002</v>
      </c>
      <c r="D47" s="632"/>
      <c r="E47" s="599"/>
      <c r="F47" s="613"/>
      <c r="G47" s="614"/>
    </row>
    <row r="48" s="553" customFormat="1" ht="13.5" customHeight="1" spans="1:7">
      <c r="A48" s="569" t="s">
        <v>994</v>
      </c>
      <c r="B48" s="570" t="s">
        <v>1000</v>
      </c>
      <c r="C48" s="2327">
        <f>ROUND(F30/(1+'数据-取费表'!C42),4)</f>
        <v>0.0524</v>
      </c>
      <c r="D48" s="599" t="s">
        <v>1016</v>
      </c>
      <c r="E48" s="595"/>
      <c r="F48" s="2328">
        <f>F30</f>
        <v>0.055</v>
      </c>
      <c r="G48" s="600" t="s">
        <v>1022</v>
      </c>
    </row>
    <row r="49" ht="16.5" customHeight="1" spans="1:7">
      <c r="A49" s="569" t="s">
        <v>999</v>
      </c>
      <c r="B49" s="570" t="s">
        <v>1023</v>
      </c>
      <c r="C49" s="595">
        <f ca="1">ROUND((C33+C39+C41+C45)/(1-C40-D41-D45-C48),0)</f>
        <v>10158</v>
      </c>
      <c r="D49" s="595"/>
      <c r="E49" s="595"/>
      <c r="F49" s="633"/>
      <c r="G49" s="600" t="s">
        <v>1024</v>
      </c>
    </row>
    <row r="50" s="555" customFormat="1" ht="24" spans="1:7">
      <c r="A50" s="569" t="s">
        <v>1025</v>
      </c>
      <c r="B50" s="570" t="s">
        <v>1026</v>
      </c>
      <c r="C50" s="595"/>
      <c r="D50" s="595"/>
      <c r="E50" s="595"/>
      <c r="F50" s="633">
        <f>IF('数据-取费表'!B24=0,'数据-取费表'!N16,1)</f>
        <v>1</v>
      </c>
      <c r="G50" s="614" t="s">
        <v>1027</v>
      </c>
    </row>
    <row r="51" ht="16.5" customHeight="1" spans="1:7">
      <c r="A51" s="569" t="s">
        <v>1028</v>
      </c>
      <c r="B51" s="570" t="s">
        <v>1029</v>
      </c>
      <c r="C51" s="595">
        <f ca="1">ROUND(C49*F50,0)</f>
        <v>10158</v>
      </c>
      <c r="D51" s="595"/>
      <c r="E51" s="595"/>
      <c r="F51" s="633"/>
      <c r="G51" s="600" t="s">
        <v>1030</v>
      </c>
    </row>
    <row r="52" s="552" customFormat="1" ht="16.35" spans="1:7">
      <c r="A52" s="634" t="s">
        <v>1031</v>
      </c>
      <c r="B52" s="635"/>
      <c r="C52" s="636">
        <f ca="1">C31+C51</f>
        <v>17753</v>
      </c>
      <c r="D52" s="635"/>
      <c r="E52" s="635"/>
      <c r="F52" s="635"/>
      <c r="G52" s="637"/>
    </row>
    <row r="55" ht="15" spans="2:3">
      <c r="B55" s="638" t="s">
        <v>1032</v>
      </c>
      <c r="C55" s="639"/>
    </row>
    <row r="56" spans="2:3">
      <c r="B56" s="640" t="s">
        <v>1033</v>
      </c>
      <c r="C56" s="642">
        <f ca="1">1-C57</f>
        <v>0.428</v>
      </c>
    </row>
    <row r="57" spans="2:3">
      <c r="B57" s="640" t="s">
        <v>1034</v>
      </c>
      <c r="C57" s="641">
        <f ca="1">ROUND(C51/C52,3)</f>
        <v>0.572</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9">
      <formula1>"部分缴纳,全部缴纳"</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4"/>
  <cols>
    <col min="1" max="1" width="3.44444444444444" style="3492" customWidth="1"/>
    <col min="2" max="9" width="10" style="3492" customWidth="1"/>
    <col min="10" max="16384" width="9" style="3492"/>
  </cols>
  <sheetData>
    <row r="36" spans="1:2">
      <c r="A36" s="3491" t="s">
        <v>75</v>
      </c>
      <c r="B36" s="3491" t="s">
        <v>76</v>
      </c>
    </row>
    <row r="37" ht="27.75" customHeight="1" spans="1:9">
      <c r="A37" s="3491"/>
      <c r="B37" s="3493" t="str">
        <f>项目基本情况!B1</f>
        <v>北京市预评估</v>
      </c>
      <c r="C37" s="3493"/>
      <c r="D37" s="3493"/>
      <c r="E37" s="3493"/>
      <c r="F37" s="3493"/>
      <c r="G37" s="3493"/>
      <c r="H37" s="3493"/>
      <c r="I37" s="3493"/>
    </row>
    <row r="38" spans="1:2">
      <c r="A38" s="3494"/>
      <c r="B38" s="3494"/>
    </row>
    <row r="39" spans="1:2">
      <c r="A39" s="3491" t="s">
        <v>75</v>
      </c>
      <c r="B39" s="3491" t="s">
        <v>77</v>
      </c>
    </row>
    <row r="40" spans="1:2">
      <c r="A40" s="3491"/>
      <c r="B40" s="3495">
        <f>项目基本情况!B5</f>
        <v>0</v>
      </c>
    </row>
    <row r="41" spans="1:2">
      <c r="A41" s="3491"/>
      <c r="B41" s="3491"/>
    </row>
    <row r="42" spans="1:2">
      <c r="A42" s="3491" t="s">
        <v>75</v>
      </c>
      <c r="B42" s="3491" t="s">
        <v>78</v>
      </c>
    </row>
    <row r="43" spans="1:2">
      <c r="A43" s="3491"/>
      <c r="B43" s="3495" t="s">
        <v>79</v>
      </c>
    </row>
    <row r="44" spans="1:2">
      <c r="A44" s="3491"/>
      <c r="B44" s="3491"/>
    </row>
    <row r="45" spans="1:2">
      <c r="A45" s="3491" t="s">
        <v>75</v>
      </c>
      <c r="B45" s="3491" t="s">
        <v>80</v>
      </c>
    </row>
    <row r="46" s="3491" customFormat="1" spans="2:2">
      <c r="B46" s="3495" t="str">
        <f ca="1">项目基本情况!K4</f>
        <v>（注册号：0)、（注册号：0)</v>
      </c>
    </row>
    <row r="47" spans="1:2">
      <c r="A47" s="3491"/>
      <c r="B47" s="3491" t="str">
        <f ca="1">项目基本情况!K5</f>
        <v>（注册号：0)、（注册号：0)</v>
      </c>
    </row>
    <row r="48" spans="1:2">
      <c r="A48" s="3491" t="s">
        <v>75</v>
      </c>
      <c r="B48" s="3491" t="s">
        <v>81</v>
      </c>
    </row>
    <row r="49" spans="2:2">
      <c r="B49" s="3495" t="str">
        <f>"康正预评字"&amp;项目基本情况!B2&amp;"号"</f>
        <v>康正预评字号</v>
      </c>
    </row>
  </sheetData>
  <sheetProtection password="C66D"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topLeftCell="A19" workbookViewId="0">
      <selection activeCell="K38" sqref="K38"/>
    </sheetView>
  </sheetViews>
  <sheetFormatPr defaultColWidth="8.33333333333333" defaultRowHeight="13.2" outlineLevelCol="7"/>
  <cols>
    <col min="1" max="1" width="9.33333333333333" style="556" customWidth="1"/>
    <col min="2" max="2" width="29.2222222222222" style="557" customWidth="1"/>
    <col min="3" max="3" width="12.1111111111111" style="557" customWidth="1"/>
    <col min="4" max="5" width="11.2222222222222" style="558" customWidth="1"/>
    <col min="6" max="6" width="9.44444444444444" style="557" customWidth="1"/>
    <col min="7" max="7" width="31.8888888888889" style="557" customWidth="1"/>
    <col min="8" max="8" width="10.7777777777778" style="557" customWidth="1"/>
    <col min="9" max="254" width="9" style="557" customWidth="1"/>
    <col min="255" max="16384" width="8.33333333333333" style="557"/>
  </cols>
  <sheetData>
    <row r="1" s="551" customFormat="1" ht="21" spans="1:8">
      <c r="A1" s="559" t="s">
        <v>936</v>
      </c>
      <c r="B1" s="2316"/>
      <c r="C1" s="2317" t="s">
        <v>1035</v>
      </c>
      <c r="D1" s="561"/>
      <c r="E1" s="561"/>
      <c r="F1" s="561"/>
      <c r="G1" s="2318">
        <f>MATCH(B1,'数据-取费表'!A6:A16,0)+5</f>
        <v>7</v>
      </c>
      <c r="H1" s="1667" t="str">
        <f>IF(ISERROR(FIND("住宅",B1)),"非住宅","住宅")</f>
        <v>非住宅</v>
      </c>
    </row>
    <row r="2" s="551" customFormat="1" ht="18" customHeight="1" spans="1:7">
      <c r="A2" s="29" t="s">
        <v>937</v>
      </c>
      <c r="B2" s="563">
        <f ca="1">ROUND(IF(D2="——",C52/10000,C52/10000-E2),0)</f>
        <v>13254</v>
      </c>
      <c r="C2" s="562" t="s">
        <v>938</v>
      </c>
      <c r="D2" s="2319" t="s">
        <v>124</v>
      </c>
      <c r="E2" s="2320" t="e">
        <f ca="1">SUMIF(INDIRECT("'"&amp;G2&amp;"'"&amp;"!A:A"),"承租人权益价值",INDIRECT("'"&amp;G2&amp;"'"&amp;"!c:c"))</f>
        <v>#REF!</v>
      </c>
      <c r="F2" s="2321" t="s">
        <v>938</v>
      </c>
      <c r="G2" s="2322"/>
    </row>
    <row r="3" s="551" customFormat="1" ht="18" customHeight="1" spans="1:7">
      <c r="A3" s="33" t="s">
        <v>939</v>
      </c>
      <c r="B3" s="565">
        <f ca="1">ROUND(B2*10000/(IF(B1="",'数据-汇总表'!E3,INDIRECT("'数据-取费表'!k"&amp;$G$1))),0)</f>
        <v>7010</v>
      </c>
      <c r="C3" s="562" t="s">
        <v>940</v>
      </c>
      <c r="D3" s="562"/>
      <c r="E3" s="562"/>
      <c r="F3" s="562"/>
      <c r="G3" s="562"/>
    </row>
    <row r="4" s="552" customFormat="1" ht="15.6" spans="1:7">
      <c r="A4" s="566" t="s">
        <v>941</v>
      </c>
      <c r="B4" s="567"/>
      <c r="C4" s="567"/>
      <c r="D4" s="567"/>
      <c r="E4" s="567"/>
      <c r="F4" s="567"/>
      <c r="G4" s="568"/>
    </row>
    <row r="5" s="553" customFormat="1" ht="13.5" customHeight="1" spans="1:7">
      <c r="A5" s="569" t="s">
        <v>942</v>
      </c>
      <c r="B5" s="570" t="s">
        <v>943</v>
      </c>
      <c r="C5" s="571">
        <f ca="1">C6+C7+C8</f>
        <v>0</v>
      </c>
      <c r="D5" s="571" t="s">
        <v>944</v>
      </c>
      <c r="E5" s="572" t="s">
        <v>945</v>
      </c>
      <c r="F5" s="572" t="s">
        <v>842</v>
      </c>
      <c r="G5" s="573"/>
    </row>
    <row r="6" s="553" customFormat="1" ht="13.5" customHeight="1" spans="1:7">
      <c r="A6" s="574" t="s">
        <v>946</v>
      </c>
      <c r="B6" s="575" t="s">
        <v>947</v>
      </c>
      <c r="C6" s="576"/>
      <c r="D6" s="179"/>
      <c r="E6" s="171"/>
      <c r="F6" s="171"/>
      <c r="G6" s="577"/>
    </row>
    <row r="7" s="553" customFormat="1" ht="13.5" customHeight="1" spans="1:7">
      <c r="A7" s="574" t="s">
        <v>948</v>
      </c>
      <c r="B7" s="575" t="s">
        <v>949</v>
      </c>
      <c r="C7" s="578">
        <f>ROUND(C6*F7,0)</f>
        <v>0</v>
      </c>
      <c r="D7" s="578"/>
      <c r="E7" s="171"/>
      <c r="F7" s="579">
        <f>IF(项目基本情况!B8="出让",0,'数据-取费表'!B48+'数据-取费表'!B49)</f>
        <v>0.0305</v>
      </c>
      <c r="G7" s="577"/>
    </row>
    <row r="8" s="554" customFormat="1" spans="1:7">
      <c r="A8" s="574" t="s">
        <v>950</v>
      </c>
      <c r="B8" s="575" t="s">
        <v>951</v>
      </c>
      <c r="C8" s="578">
        <f ca="1">IF(G8="已包含在土地购买价格中",0,C9+C10)</f>
        <v>0</v>
      </c>
      <c r="D8" s="580"/>
      <c r="E8" s="578"/>
      <c r="F8" s="579"/>
      <c r="G8" s="2323"/>
    </row>
    <row r="9" s="553" customFormat="1" ht="13.5" customHeight="1" spans="1:7">
      <c r="A9" s="582" t="s">
        <v>953</v>
      </c>
      <c r="B9" s="583" t="s">
        <v>954</v>
      </c>
      <c r="C9" s="584">
        <f ca="1">ROUND(D9*E9,0)</f>
        <v>0</v>
      </c>
      <c r="D9" s="585">
        <f ca="1">IF(B1="",'数据-汇总表'!E5,IF(INDIRECT("'数据-取费表'!c"&amp;$G$1)="住宅",INDIRECT("'数据-取费表'!k"&amp;$G$1),0))</f>
        <v>0</v>
      </c>
      <c r="E9" s="584">
        <f>'数据-取费表'!B27</f>
        <v>0</v>
      </c>
      <c r="F9" s="579"/>
      <c r="G9" s="586"/>
    </row>
    <row r="10" s="553" customFormat="1" ht="13.5" customHeight="1" spans="1:7">
      <c r="A10" s="582" t="s">
        <v>956</v>
      </c>
      <c r="B10" s="583" t="s">
        <v>957</v>
      </c>
      <c r="C10" s="584">
        <f ca="1">ROUND(D10*E10,0)</f>
        <v>0</v>
      </c>
      <c r="D10" s="585">
        <f ca="1">IF(B1="",'数据-汇总表'!E6,IF(INDIRECT("'数据-取费表'!c"&amp;$G$1)="住宅",INDIRECT("'数据-取费表'!s"&amp;$G$1),INDIRECT("'数据-取费表'!k"&amp;$G$1)+INDIRECT("'数据-取费表'!s"&amp;$G$1)))</f>
        <v>18907.05</v>
      </c>
      <c r="E10" s="584">
        <f>'数据-取费表'!B28</f>
        <v>0</v>
      </c>
      <c r="F10" s="579"/>
      <c r="G10" s="586"/>
    </row>
    <row r="11" s="553" customFormat="1" ht="13.5" hidden="1" customHeight="1" spans="1:7">
      <c r="A11" s="587" t="s">
        <v>958</v>
      </c>
      <c r="B11" s="575" t="s">
        <v>959</v>
      </c>
      <c r="C11" s="571"/>
      <c r="D11" s="588"/>
      <c r="E11" s="171"/>
      <c r="F11" s="171"/>
      <c r="G11" s="577"/>
    </row>
    <row r="12" s="553" customFormat="1" ht="13.5" hidden="1" customHeight="1" spans="1:7">
      <c r="A12" s="587" t="s">
        <v>960</v>
      </c>
      <c r="B12" s="575" t="s">
        <v>878</v>
      </c>
      <c r="C12" s="571">
        <v>0</v>
      </c>
      <c r="D12" s="588"/>
      <c r="E12" s="589"/>
      <c r="F12" s="579">
        <v>0.0305</v>
      </c>
      <c r="G12" s="577"/>
    </row>
    <row r="13" s="553" customFormat="1" ht="13.5" hidden="1" customHeight="1" spans="1:7">
      <c r="A13" s="587" t="s">
        <v>961</v>
      </c>
      <c r="B13" s="575" t="s">
        <v>962</v>
      </c>
      <c r="C13" s="571"/>
      <c r="D13" s="588"/>
      <c r="E13" s="171"/>
      <c r="F13" s="171"/>
      <c r="G13" s="577"/>
    </row>
    <row r="14" s="553" customFormat="1" ht="13.5" hidden="1" customHeight="1" spans="1:7">
      <c r="A14" s="587" t="s">
        <v>963</v>
      </c>
      <c r="B14" s="575" t="s">
        <v>951</v>
      </c>
      <c r="C14" s="571"/>
      <c r="D14" s="588"/>
      <c r="E14" s="171"/>
      <c r="F14" s="171"/>
      <c r="G14" s="577" t="s">
        <v>964</v>
      </c>
    </row>
    <row r="15" s="553" customFormat="1" ht="13.5" hidden="1" customHeight="1" spans="1:7">
      <c r="A15" s="587" t="s">
        <v>965</v>
      </c>
      <c r="B15" s="575" t="s">
        <v>966</v>
      </c>
      <c r="C15" s="578"/>
      <c r="D15" s="588"/>
      <c r="E15" s="171"/>
      <c r="F15" s="171"/>
      <c r="G15" s="577" t="s">
        <v>967</v>
      </c>
    </row>
    <row r="16" s="553" customFormat="1" ht="13.5" hidden="1" customHeight="1" spans="1:7">
      <c r="A16" s="587" t="s">
        <v>968</v>
      </c>
      <c r="B16" s="575" t="s">
        <v>951</v>
      </c>
      <c r="C16" s="578"/>
      <c r="D16" s="588"/>
      <c r="E16" s="171"/>
      <c r="F16" s="171"/>
      <c r="G16" s="577"/>
    </row>
    <row r="17" s="553" customFormat="1" ht="13.5" hidden="1" customHeight="1" spans="1:7">
      <c r="A17" s="587" t="s">
        <v>969</v>
      </c>
      <c r="B17" s="575" t="s">
        <v>970</v>
      </c>
      <c r="C17" s="590"/>
      <c r="D17" s="591"/>
      <c r="E17" s="590"/>
      <c r="F17" s="590"/>
      <c r="G17" s="577" t="s">
        <v>967</v>
      </c>
    </row>
    <row r="18" s="553" customFormat="1" ht="13.5" hidden="1" customHeight="1" spans="1:7">
      <c r="A18" s="587" t="s">
        <v>971</v>
      </c>
      <c r="B18" s="575" t="s">
        <v>972</v>
      </c>
      <c r="C18" s="578">
        <v>0</v>
      </c>
      <c r="D18" s="588"/>
      <c r="E18" s="171"/>
      <c r="F18" s="579">
        <v>0.0305</v>
      </c>
      <c r="G18" s="577" t="s">
        <v>973</v>
      </c>
    </row>
    <row r="19" s="554" customFormat="1" ht="13.5" customHeight="1" spans="1:7">
      <c r="A19" s="569" t="s">
        <v>974</v>
      </c>
      <c r="B19" s="570" t="s">
        <v>975</v>
      </c>
      <c r="C19" s="571">
        <f ca="1">IF(G19="已包含在土地取得成本中","0",ROUND(D19*E19,0))</f>
        <v>3781410</v>
      </c>
      <c r="D19" s="593">
        <f ca="1">D9+D10</f>
        <v>18907.05</v>
      </c>
      <c r="E19" s="571">
        <f>'数据-取费表'!B31</f>
        <v>200</v>
      </c>
      <c r="F19" s="594"/>
      <c r="G19" s="2323"/>
    </row>
    <row r="20" s="553" customFormat="1" ht="13.5" customHeight="1" spans="1:7">
      <c r="A20" s="569" t="s">
        <v>977</v>
      </c>
      <c r="B20" s="570" t="s">
        <v>978</v>
      </c>
      <c r="C20" s="595">
        <f ca="1">ROUND((C5+C19)*F20,0)</f>
        <v>75628</v>
      </c>
      <c r="D20" s="595"/>
      <c r="E20" s="595"/>
      <c r="F20" s="596">
        <f>'数据-取费表'!B37</f>
        <v>0.02</v>
      </c>
      <c r="G20" s="600" t="s">
        <v>979</v>
      </c>
    </row>
    <row r="21" s="553" customFormat="1" ht="13.5" customHeight="1" spans="1:7">
      <c r="A21" s="569" t="s">
        <v>980</v>
      </c>
      <c r="B21" s="570" t="s">
        <v>981</v>
      </c>
      <c r="C21" s="598">
        <f>F21</f>
        <v>0.02</v>
      </c>
      <c r="D21" s="599" t="s">
        <v>982</v>
      </c>
      <c r="E21" s="595"/>
      <c r="F21" s="596">
        <f>'数据-取费表'!B38</f>
        <v>0.02</v>
      </c>
      <c r="G21" s="600" t="s">
        <v>983</v>
      </c>
    </row>
    <row r="22" s="553" customFormat="1" ht="13.5" customHeight="1" spans="1:7">
      <c r="A22" s="569" t="s">
        <v>984</v>
      </c>
      <c r="B22" s="570" t="s">
        <v>985</v>
      </c>
      <c r="C22" s="2324">
        <f ca="1">ROUND(SUM(C23:C25),0)</f>
        <v>240160</v>
      </c>
      <c r="D22" s="598">
        <f ca="1">C26</f>
        <v>0.0006</v>
      </c>
      <c r="E22" s="599" t="s">
        <v>982</v>
      </c>
      <c r="F22" s="602">
        <f ca="1">'数据-取费表'!B40</f>
        <v>0.0415</v>
      </c>
      <c r="G22" s="600" t="str">
        <f>IF('数据-取费表'!B22&lt;=1,"单利计息","复利计息")</f>
        <v>复利计息</v>
      </c>
    </row>
    <row r="23" s="553" customFormat="1" ht="13.5" customHeight="1" spans="1:7">
      <c r="A23" s="603" t="s">
        <v>946</v>
      </c>
      <c r="B23" s="575" t="s">
        <v>986</v>
      </c>
      <c r="C23" s="2325">
        <f ca="1">ROUND(IF('数据-取费表'!B22&lt;=1,C5*F22*'数据-取费表'!B22,C5*(POWER((1+F22),'数据-取费表'!B22)-1)),0)</f>
        <v>0</v>
      </c>
      <c r="D23" s="605"/>
      <c r="E23" s="605"/>
      <c r="F23" s="606"/>
      <c r="G23" s="607" t="s">
        <v>987</v>
      </c>
    </row>
    <row r="24" s="553" customFormat="1" ht="13.5" customHeight="1" spans="1:7">
      <c r="A24" s="603" t="s">
        <v>948</v>
      </c>
      <c r="B24" s="575" t="s">
        <v>988</v>
      </c>
      <c r="C24" s="2325">
        <f ca="1">ROUND(IF('数据-取费表'!B22&lt;=1,C19*F22*('数据-取费表'!B19/2+'数据-取费表'!B20),C19*(POWER((1+F22),('数据-取费表'!B19/2+'数据-取费表'!B20))-1)),0)</f>
        <v>237818</v>
      </c>
      <c r="D24" s="605"/>
      <c r="E24" s="605"/>
      <c r="F24" s="606"/>
      <c r="G24" s="607" t="s">
        <v>989</v>
      </c>
    </row>
    <row r="25" s="553" customFormat="1" ht="24" spans="1:7">
      <c r="A25" s="603" t="s">
        <v>950</v>
      </c>
      <c r="B25" s="575" t="s">
        <v>990</v>
      </c>
      <c r="C25" s="2325">
        <f ca="1">ROUND(IF('数据-取费表'!B22&lt;=1,C20*F22*'数据-取费表'!B22/2,C20*(POWER((1+F22),'数据-取费表'!B22/2)-1)),0)</f>
        <v>2342</v>
      </c>
      <c r="D25" s="605"/>
      <c r="E25" s="608"/>
      <c r="F25" s="606"/>
      <c r="G25" s="609" t="s">
        <v>991</v>
      </c>
    </row>
    <row r="26" s="553" customFormat="1" spans="1:7">
      <c r="A26" s="603" t="s">
        <v>992</v>
      </c>
      <c r="B26" s="575" t="s">
        <v>993</v>
      </c>
      <c r="C26" s="605">
        <f ca="1">ROUND(IF('数据-取费表'!B22&lt;=1,F21*F22*'数据-取费表'!B22/2,F21*(POWER((1+F22),'数据-取费表'!B22/2)-1)),4)</f>
        <v>0.0006</v>
      </c>
      <c r="D26" s="605"/>
      <c r="E26" s="608"/>
      <c r="F26" s="606"/>
      <c r="G26" s="610"/>
    </row>
    <row r="27" s="553" customFormat="1" ht="26.4" spans="1:7">
      <c r="A27" s="569" t="s">
        <v>994</v>
      </c>
      <c r="B27" s="611" t="s">
        <v>995</v>
      </c>
      <c r="C27" s="612">
        <f ca="1">C28</f>
        <v>385704</v>
      </c>
      <c r="D27" s="598">
        <f ca="1">C29</f>
        <v>0.002</v>
      </c>
      <c r="E27" s="599" t="s">
        <v>982</v>
      </c>
      <c r="F27" s="613">
        <f ca="1">IF(B1="",'数据-取费表'!Q16,INDIRECT("'数据-取费表'!q"&amp;$G$1))</f>
        <v>0.1</v>
      </c>
      <c r="G27" s="614" t="s">
        <v>996</v>
      </c>
    </row>
    <row r="28" s="553" customFormat="1" ht="13.5" customHeight="1" spans="1:7">
      <c r="A28" s="603" t="s">
        <v>946</v>
      </c>
      <c r="B28" s="615" t="s">
        <v>997</v>
      </c>
      <c r="C28" s="616">
        <f ca="1">ROUND((C5+C19+C20)*F27,0)</f>
        <v>385704</v>
      </c>
      <c r="D28" s="598"/>
      <c r="E28" s="599"/>
      <c r="F28" s="613"/>
      <c r="G28" s="614"/>
    </row>
    <row r="29" s="553" customFormat="1" ht="13.5" customHeight="1" spans="1:7">
      <c r="A29" s="603" t="s">
        <v>948</v>
      </c>
      <c r="B29" s="615" t="s">
        <v>998</v>
      </c>
      <c r="C29" s="605">
        <f ca="1">ROUND(C21*F27,4)</f>
        <v>0.002</v>
      </c>
      <c r="D29" s="598"/>
      <c r="E29" s="599"/>
      <c r="F29" s="613"/>
      <c r="G29" s="614"/>
    </row>
    <row r="30" s="553" customFormat="1" ht="13.5" customHeight="1" spans="1:7">
      <c r="A30" s="569" t="s">
        <v>999</v>
      </c>
      <c r="B30" s="570" t="s">
        <v>1000</v>
      </c>
      <c r="C30" s="598">
        <f>ROUND(F30/(1+'数据-取费表'!C42),4)</f>
        <v>0.0524</v>
      </c>
      <c r="D30" s="599" t="s">
        <v>982</v>
      </c>
      <c r="E30" s="608"/>
      <c r="F30" s="602">
        <f>'数据-取费表'!B41</f>
        <v>0.055</v>
      </c>
      <c r="G30" s="600" t="s">
        <v>1001</v>
      </c>
    </row>
    <row r="31" ht="16.5" customHeight="1" spans="1:7">
      <c r="A31" s="617">
        <v>1</v>
      </c>
      <c r="B31" s="570" t="s">
        <v>1002</v>
      </c>
      <c r="C31" s="571">
        <f ca="1">ROUND((C5+C19+C20+C22+C27)/(1-C21-D22-D27-C30),0)</f>
        <v>4846381</v>
      </c>
      <c r="D31" s="618"/>
      <c r="E31" s="571"/>
      <c r="F31" s="619"/>
      <c r="G31" s="600" t="s">
        <v>1003</v>
      </c>
    </row>
    <row r="32" s="552" customFormat="1" ht="15.6" spans="1:7">
      <c r="A32" s="620" t="s">
        <v>1036</v>
      </c>
      <c r="B32" s="621"/>
      <c r="C32" s="621"/>
      <c r="D32" s="621"/>
      <c r="E32" s="621"/>
      <c r="F32" s="621"/>
      <c r="G32" s="622"/>
    </row>
    <row r="33" s="553" customFormat="1" ht="13.5" customHeight="1" spans="1:7">
      <c r="A33" s="569" t="s">
        <v>942</v>
      </c>
      <c r="B33" s="570" t="s">
        <v>1037</v>
      </c>
      <c r="C33" s="623">
        <f ca="1">SUM(C34:C38)</f>
        <v>102389335</v>
      </c>
      <c r="D33" s="595"/>
      <c r="E33" s="572"/>
      <c r="F33" s="608"/>
      <c r="G33" s="600"/>
    </row>
    <row r="34" s="555" customFormat="1" ht="13.5" customHeight="1" spans="1:7">
      <c r="A34" s="603" t="s">
        <v>946</v>
      </c>
      <c r="B34" s="575" t="s">
        <v>1006</v>
      </c>
      <c r="C34" s="578">
        <f ca="1">ROUND(IF(B1="",SUMPRODUCT('数据-取费表'!K6:K14,'数据-取费表'!L6:L14),INDIRECT("'数据-取费表'!l"&amp;$G$1)*INDIRECT("'数据-取费表'!k"&amp;$G$1)+'数据-取费表'!L14*INDIRECT("'数据-取费表'!S"&amp;$G$1)),0)</f>
        <v>94361650</v>
      </c>
      <c r="D34" s="179"/>
      <c r="E34" s="578"/>
      <c r="F34" s="624"/>
      <c r="G34" s="577"/>
    </row>
    <row r="35" ht="13.5" customHeight="1" spans="1:7">
      <c r="A35" s="603" t="s">
        <v>948</v>
      </c>
      <c r="B35" s="575" t="s">
        <v>1008</v>
      </c>
      <c r="C35" s="578">
        <f ca="1">ROUND(C34*F35,0)</f>
        <v>2830850</v>
      </c>
      <c r="D35" s="578"/>
      <c r="E35" s="578"/>
      <c r="F35" s="625">
        <f>'数据-取费表'!B33</f>
        <v>0.03</v>
      </c>
      <c r="G35" s="577" t="s">
        <v>1009</v>
      </c>
    </row>
    <row r="36" ht="24" spans="1:7">
      <c r="A36" s="603" t="s">
        <v>950</v>
      </c>
      <c r="B36" s="575" t="s">
        <v>1010</v>
      </c>
      <c r="C36" s="578">
        <f ca="1">ROUND(IF(B1="",SUM('数据-取费表'!AP6:AP13)*F36,IF(INDIRECT("'数据-取费表'!c"&amp;$G$1)="住宅",INDIRECT("'数据-取费表'!k"&amp;$G$1)*INDIRECT("'数据-取费表'!l"&amp;$G$1)*F36,0)),0)</f>
        <v>0</v>
      </c>
      <c r="D36" s="578"/>
      <c r="E36" s="578"/>
      <c r="F36" s="625">
        <f>'数据-取费表'!B34</f>
        <v>0</v>
      </c>
      <c r="G36" s="626" t="s">
        <v>1011</v>
      </c>
    </row>
    <row r="37" s="555" customFormat="1" ht="13.5" customHeight="1" spans="1:7">
      <c r="A37" s="603" t="s">
        <v>992</v>
      </c>
      <c r="B37" s="575" t="s">
        <v>1012</v>
      </c>
      <c r="C37" s="616">
        <f ca="1">ROUND(E37*D37,0)</f>
        <v>3781410</v>
      </c>
      <c r="D37" s="179">
        <f ca="1">D19</f>
        <v>18907.05</v>
      </c>
      <c r="E37" s="616">
        <f>'数据-取费表'!B35</f>
        <v>200</v>
      </c>
      <c r="F37" s="625"/>
      <c r="G37" s="627"/>
    </row>
    <row r="38" ht="13.5" customHeight="1" spans="1:7">
      <c r="A38" s="603" t="s">
        <v>1014</v>
      </c>
      <c r="B38" s="575" t="s">
        <v>878</v>
      </c>
      <c r="C38" s="578">
        <f ca="1">ROUND(C34*F38,0)</f>
        <v>1415425</v>
      </c>
      <c r="D38" s="578"/>
      <c r="E38" s="578"/>
      <c r="F38" s="625">
        <f>'数据-取费表'!B36</f>
        <v>0.015</v>
      </c>
      <c r="G38" s="577" t="s">
        <v>1009</v>
      </c>
    </row>
    <row r="39" s="553" customFormat="1" ht="13.5" customHeight="1" spans="1:7">
      <c r="A39" s="569" t="s">
        <v>974</v>
      </c>
      <c r="B39" s="570" t="s">
        <v>978</v>
      </c>
      <c r="C39" s="595">
        <f ca="1">ROUND(C33*F20,0)</f>
        <v>2047787</v>
      </c>
      <c r="D39" s="595"/>
      <c r="E39" s="595"/>
      <c r="F39" s="2326">
        <f>F20</f>
        <v>0.02</v>
      </c>
      <c r="G39" s="600" t="s">
        <v>1015</v>
      </c>
    </row>
    <row r="40" s="553" customFormat="1" ht="13.5" customHeight="1" spans="1:7">
      <c r="A40" s="569" t="s">
        <v>977</v>
      </c>
      <c r="B40" s="570" t="s">
        <v>981</v>
      </c>
      <c r="C40" s="2327">
        <f>F21</f>
        <v>0.02</v>
      </c>
      <c r="D40" s="599" t="s">
        <v>1016</v>
      </c>
      <c r="E40" s="595"/>
      <c r="F40" s="2326">
        <f>F21</f>
        <v>0.02</v>
      </c>
      <c r="G40" s="600" t="s">
        <v>1017</v>
      </c>
    </row>
    <row r="41" s="553" customFormat="1" ht="13.5" customHeight="1" spans="1:7">
      <c r="A41" s="569" t="s">
        <v>980</v>
      </c>
      <c r="B41" s="570" t="s">
        <v>985</v>
      </c>
      <c r="C41" s="595">
        <f ca="1">ROUND(SUM(C42:C43),0)</f>
        <v>3234028</v>
      </c>
      <c r="D41" s="598">
        <f ca="1">C44</f>
        <v>0.0006</v>
      </c>
      <c r="E41" s="599" t="s">
        <v>1016</v>
      </c>
      <c r="F41" s="2328">
        <f ca="1">F22</f>
        <v>0.0415</v>
      </c>
      <c r="G41" s="600" t="str">
        <f>IF('数据-取费表'!B22&lt;=1,"单利计息","复利计息")</f>
        <v>复利计息</v>
      </c>
    </row>
    <row r="42" ht="13.5" customHeight="1" spans="1:7">
      <c r="A42" s="603" t="s">
        <v>946</v>
      </c>
      <c r="B42" s="575" t="s">
        <v>986</v>
      </c>
      <c r="C42" s="605">
        <f ca="1">ROUND(IF('数据-取费表'!B22&lt;=1,C33*F22*'数据-取费表'!B20/2,C33*(POWER((1+F22),'数据-取费表'!B20/2)-1)),0)</f>
        <v>3170616</v>
      </c>
      <c r="D42" s="605"/>
      <c r="E42" s="605"/>
      <c r="F42" s="606"/>
      <c r="G42" s="629" t="s">
        <v>1038</v>
      </c>
    </row>
    <row r="43" ht="13.5" customHeight="1" spans="1:7">
      <c r="A43" s="603" t="s">
        <v>948</v>
      </c>
      <c r="B43" s="575" t="s">
        <v>988</v>
      </c>
      <c r="C43" s="605">
        <f ca="1">ROUND(IF('数据-取费表'!B22&lt;=1,C39*F22*'数据-取费表'!B20/2,C39*(POWER((1+F22),'数据-取费表'!B20/2)-1)),0)</f>
        <v>63412</v>
      </c>
      <c r="D43" s="605"/>
      <c r="E43" s="605"/>
      <c r="F43" s="606"/>
      <c r="G43" s="630"/>
    </row>
    <row r="44" ht="13.5" customHeight="1" spans="1:7">
      <c r="A44" s="603" t="s">
        <v>950</v>
      </c>
      <c r="B44" s="575" t="s">
        <v>990</v>
      </c>
      <c r="C44" s="605">
        <f ca="1">ROUND(IF('数据-取费表'!B22&lt;=1,C40*F22*'数据-取费表'!B20/2,C40*(POWER((1+F22),'数据-取费表'!B20/2)-1)),4)</f>
        <v>0.0006</v>
      </c>
      <c r="D44" s="605"/>
      <c r="E44" s="605"/>
      <c r="F44" s="606"/>
      <c r="G44" s="631"/>
    </row>
    <row r="45" s="553" customFormat="1" ht="13.5" customHeight="1" spans="1:7">
      <c r="A45" s="569" t="s">
        <v>984</v>
      </c>
      <c r="B45" s="611" t="s">
        <v>995</v>
      </c>
      <c r="C45" s="612">
        <f ca="1">C46</f>
        <v>10443712</v>
      </c>
      <c r="D45" s="598">
        <f ca="1">C47</f>
        <v>0.002</v>
      </c>
      <c r="E45" s="599" t="s">
        <v>1016</v>
      </c>
      <c r="F45" s="2329">
        <f ca="1">F27</f>
        <v>0.1</v>
      </c>
      <c r="G45" s="614" t="s">
        <v>1019</v>
      </c>
    </row>
    <row r="46" s="553" customFormat="1" ht="13.5" customHeight="1" spans="1:7">
      <c r="A46" s="603" t="s">
        <v>946</v>
      </c>
      <c r="B46" s="615" t="s">
        <v>1020</v>
      </c>
      <c r="C46" s="616">
        <f ca="1">ROUND((C33+C39)*F27,0)</f>
        <v>10443712</v>
      </c>
      <c r="D46" s="632"/>
      <c r="E46" s="599"/>
      <c r="F46" s="613"/>
      <c r="G46" s="614"/>
    </row>
    <row r="47" s="553" customFormat="1" ht="13.5" customHeight="1" spans="1:7">
      <c r="A47" s="603" t="s">
        <v>948</v>
      </c>
      <c r="B47" s="615" t="s">
        <v>1021</v>
      </c>
      <c r="C47" s="605">
        <f ca="1">ROUND(C40*F27,4)</f>
        <v>0.002</v>
      </c>
      <c r="D47" s="632"/>
      <c r="E47" s="599"/>
      <c r="F47" s="613"/>
      <c r="G47" s="614"/>
    </row>
    <row r="48" s="553" customFormat="1" ht="13.5" customHeight="1" spans="1:7">
      <c r="A48" s="569" t="s">
        <v>994</v>
      </c>
      <c r="B48" s="570" t="s">
        <v>1000</v>
      </c>
      <c r="C48" s="628">
        <f>ROUND(F30/(1+'数据-取费表'!C42),4)</f>
        <v>0.0524</v>
      </c>
      <c r="D48" s="599" t="s">
        <v>1016</v>
      </c>
      <c r="E48" s="595"/>
      <c r="F48" s="2328">
        <f>F30</f>
        <v>0.055</v>
      </c>
      <c r="G48" s="600" t="s">
        <v>1022</v>
      </c>
    </row>
    <row r="49" ht="16.5" customHeight="1" spans="1:7">
      <c r="A49" s="569" t="s">
        <v>999</v>
      </c>
      <c r="B49" s="570" t="s">
        <v>1039</v>
      </c>
      <c r="C49" s="595">
        <f ca="1">ROUND((C33+C39+C41+C45)/(1-C40-D41-D45-C48),0)</f>
        <v>127691743</v>
      </c>
      <c r="D49" s="595"/>
      <c r="E49" s="595"/>
      <c r="F49" s="633"/>
      <c r="G49" s="600" t="s">
        <v>1024</v>
      </c>
    </row>
    <row r="50" s="555" customFormat="1" spans="1:7">
      <c r="A50" s="569" t="s">
        <v>1025</v>
      </c>
      <c r="B50" s="570" t="s">
        <v>1026</v>
      </c>
      <c r="C50" s="595"/>
      <c r="D50" s="595"/>
      <c r="E50" s="595"/>
      <c r="F50" s="633">
        <f>IF('数据-取费表'!B24=0,'数据-取费表'!N16,1)</f>
        <v>1</v>
      </c>
      <c r="G50" s="614"/>
    </row>
    <row r="51" ht="16.5" customHeight="1" spans="1:7">
      <c r="A51" s="569" t="s">
        <v>1028</v>
      </c>
      <c r="B51" s="570" t="s">
        <v>1040</v>
      </c>
      <c r="C51" s="595">
        <f ca="1">ROUND(C49*F50,0)</f>
        <v>127691743</v>
      </c>
      <c r="D51" s="595"/>
      <c r="E51" s="595"/>
      <c r="F51" s="633"/>
      <c r="G51" s="600" t="s">
        <v>1030</v>
      </c>
    </row>
    <row r="52" s="552" customFormat="1" ht="16.35" spans="1:7">
      <c r="A52" s="634" t="s">
        <v>1031</v>
      </c>
      <c r="B52" s="635"/>
      <c r="C52" s="636">
        <f ca="1">C31+C51</f>
        <v>132538124</v>
      </c>
      <c r="D52" s="635"/>
      <c r="E52" s="635"/>
      <c r="F52" s="635"/>
      <c r="G52" s="637"/>
    </row>
    <row r="55" ht="15" spans="2:3">
      <c r="B55" s="638" t="s">
        <v>1032</v>
      </c>
      <c r="C55" s="639"/>
    </row>
    <row r="56" spans="2:3">
      <c r="B56" s="640" t="s">
        <v>1033</v>
      </c>
      <c r="C56" s="642">
        <f ca="1">1-C57</f>
        <v>0.037</v>
      </c>
    </row>
    <row r="57" spans="2:3">
      <c r="B57" s="640" t="s">
        <v>1034</v>
      </c>
      <c r="C57" s="641">
        <f ca="1">ROUND(C51/C52,3)</f>
        <v>0.963</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8"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Normal="70" workbookViewId="0">
      <selection activeCell="P18" sqref="P18"/>
    </sheetView>
  </sheetViews>
  <sheetFormatPr defaultColWidth="6.66666666666667" defaultRowHeight="13.2"/>
  <cols>
    <col min="1" max="1" width="9.77777777777778" style="750" customWidth="1"/>
    <col min="2" max="2" width="25.7777777777778" style="2229" customWidth="1"/>
    <col min="3" max="3" width="10.3333333333333" style="2230" customWidth="1"/>
    <col min="4" max="4" width="9.88888888888889" style="2229" customWidth="1"/>
    <col min="5" max="5" width="9.44444444444444" style="750" customWidth="1"/>
    <col min="6" max="6" width="10.1111111111111" style="2229" customWidth="1"/>
    <col min="7" max="7" width="10.7777777777778" style="2229" customWidth="1"/>
    <col min="8" max="8" width="10" style="2229" customWidth="1"/>
    <col min="9" max="11" width="9.44444444444444" style="2229" customWidth="1"/>
    <col min="12" max="12" width="9" style="2229" customWidth="1"/>
    <col min="13" max="13" width="10.4444444444444" style="2229" customWidth="1"/>
    <col min="14" max="254" width="9" style="2229" customWidth="1"/>
    <col min="255" max="16384" width="6.66666666666667" style="2229"/>
  </cols>
  <sheetData>
    <row r="1" ht="20.4" spans="1:11">
      <c r="A1" s="559" t="s">
        <v>1041</v>
      </c>
      <c r="B1" s="2041"/>
      <c r="C1" s="2231"/>
      <c r="D1" s="2232"/>
      <c r="E1" s="2233"/>
      <c r="F1" s="2233"/>
      <c r="G1" s="2234"/>
      <c r="H1" s="2233"/>
      <c r="I1" s="2233"/>
      <c r="J1" s="2233"/>
      <c r="K1" s="2303">
        <f>MATCH(C1,'数据-取费表'!A6:A16,0)+5</f>
        <v>7</v>
      </c>
    </row>
    <row r="2" ht="18" customHeight="1" spans="1:11">
      <c r="A2" s="29" t="s">
        <v>937</v>
      </c>
      <c r="B2" s="565">
        <f ca="1">C32</f>
        <v>13310</v>
      </c>
      <c r="C2" s="2235" t="s">
        <v>1042</v>
      </c>
      <c r="D2" s="2235"/>
      <c r="E2" s="2233"/>
      <c r="F2" s="2233"/>
      <c r="G2" s="2233"/>
      <c r="H2" s="2233"/>
      <c r="I2" s="2233"/>
      <c r="J2" s="2233"/>
      <c r="K2" s="2233"/>
    </row>
    <row r="3" ht="18" customHeight="1" spans="1:11">
      <c r="A3" s="33" t="s">
        <v>939</v>
      </c>
      <c r="B3" s="565">
        <f ca="1">ROUND(B2*10000/IF(C1="",'数据-汇总表'!E3,INDIRECT("'数据-取费表'!K"&amp;$K$1)),0)</f>
        <v>7040</v>
      </c>
      <c r="C3" s="2235" t="s">
        <v>1043</v>
      </c>
      <c r="D3" s="2235"/>
      <c r="E3" s="2233"/>
      <c r="F3" s="2233"/>
      <c r="G3" s="2233"/>
      <c r="H3" s="2233"/>
      <c r="I3" s="2233"/>
      <c r="J3" s="2233"/>
      <c r="K3" s="2233"/>
    </row>
    <row r="4" s="2220" customFormat="1" ht="16.5" customHeight="1" spans="1:11">
      <c r="A4" s="2236" t="s">
        <v>1044</v>
      </c>
      <c r="B4" s="2237"/>
      <c r="C4" s="2238">
        <f ca="1">SUM(C8:K8)</f>
        <v>17439</v>
      </c>
      <c r="D4" s="2237"/>
      <c r="E4" s="2237"/>
      <c r="F4" s="2237"/>
      <c r="G4" s="2237"/>
      <c r="H4" s="2237"/>
      <c r="I4" s="2237"/>
      <c r="J4" s="2237"/>
      <c r="K4" s="2304"/>
    </row>
    <row r="5" s="2221" customFormat="1" ht="14.4" spans="1:33">
      <c r="A5" s="2239" t="s">
        <v>1045</v>
      </c>
      <c r="B5" s="2240" t="s">
        <v>1046</v>
      </c>
      <c r="C5" s="2241" t="s">
        <v>454</v>
      </c>
      <c r="D5" s="2241"/>
      <c r="E5" s="2241"/>
      <c r="F5" s="2241"/>
      <c r="G5" s="2241"/>
      <c r="H5" s="2241"/>
      <c r="I5" s="2241"/>
      <c r="J5" s="2241"/>
      <c r="K5" s="2241"/>
      <c r="L5" s="2305"/>
      <c r="M5" s="2305"/>
      <c r="N5" s="2305"/>
      <c r="O5" s="2305"/>
      <c r="P5" s="2305"/>
      <c r="Q5" s="2305"/>
      <c r="R5" s="2305"/>
      <c r="S5" s="2305"/>
      <c r="T5" s="2305"/>
      <c r="U5" s="2305"/>
      <c r="V5" s="2305"/>
      <c r="W5" s="2305"/>
      <c r="X5" s="2305"/>
      <c r="Y5" s="2305"/>
      <c r="Z5" s="2305"/>
      <c r="AA5" s="2305"/>
      <c r="AB5" s="2305"/>
      <c r="AC5" s="2305"/>
      <c r="AD5" s="2305"/>
      <c r="AE5" s="2305"/>
      <c r="AF5" s="2305"/>
      <c r="AG5" s="2305"/>
    </row>
    <row r="6" s="2222" customFormat="1" ht="13.5" customHeight="1" spans="1:33">
      <c r="A6" s="2242" t="s">
        <v>847</v>
      </c>
      <c r="B6" s="2004" t="s">
        <v>1047</v>
      </c>
      <c r="C6" s="2243">
        <f ca="1">收益法!C43</f>
        <v>9241</v>
      </c>
      <c r="D6" s="2243"/>
      <c r="E6" s="2243"/>
      <c r="F6" s="2243"/>
      <c r="G6" s="2243"/>
      <c r="H6" s="2243"/>
      <c r="I6" s="2243"/>
      <c r="J6" s="2243"/>
      <c r="K6" s="2306"/>
      <c r="L6" s="2307"/>
      <c r="M6" s="2307"/>
      <c r="N6" s="2307"/>
      <c r="O6" s="2307"/>
      <c r="P6" s="2307"/>
      <c r="Q6" s="2307"/>
      <c r="R6" s="2307"/>
      <c r="S6" s="2307"/>
      <c r="T6" s="2307"/>
      <c r="U6" s="2307"/>
      <c r="V6" s="2307"/>
      <c r="W6" s="2307"/>
      <c r="X6" s="2307"/>
      <c r="Y6" s="2307"/>
      <c r="Z6" s="2307"/>
      <c r="AA6" s="2307"/>
      <c r="AB6" s="2307"/>
      <c r="AC6" s="2307"/>
      <c r="AD6" s="2307"/>
      <c r="AE6" s="2307"/>
      <c r="AF6" s="2307"/>
      <c r="AG6" s="2307"/>
    </row>
    <row r="7" s="2222" customFormat="1" ht="13.5" customHeight="1" spans="1:33">
      <c r="A7" s="2242" t="s">
        <v>851</v>
      </c>
      <c r="B7" s="2004" t="s">
        <v>361</v>
      </c>
      <c r="C7" s="2244">
        <f>SUMIF('数据-汇总表'!$C19:$C33,假设开发法!C5,'数据-汇总表'!$E19:$E33)</f>
        <v>18872.33</v>
      </c>
      <c r="D7" s="2244">
        <f>SUMIF('数据-汇总表'!$C19:$C33,假设开发法!D5,'数据-汇总表'!$E19:$E33)</f>
        <v>0</v>
      </c>
      <c r="E7" s="2244">
        <f>SUMIF('数据-汇总表'!$C19:$C33,假设开发法!E5,'数据-汇总表'!$E19:$E33)</f>
        <v>0</v>
      </c>
      <c r="F7" s="2244">
        <f>SUMIF('数据-汇总表'!$C19:$C33,假设开发法!F5,'数据-汇总表'!$E19:$E33)</f>
        <v>0</v>
      </c>
      <c r="G7" s="2244">
        <f>SUMIF('数据-汇总表'!$C19:$C33,假设开发法!G5,'数据-汇总表'!$E19:$E33)</f>
        <v>0</v>
      </c>
      <c r="H7" s="2244">
        <f>SUMIF('数据-汇总表'!$C19:$C33,假设开发法!H5,'数据-汇总表'!$E19:$E33)</f>
        <v>0</v>
      </c>
      <c r="I7" s="2244">
        <f>SUMIF('数据-汇总表'!$C19:$C33,假设开发法!I5,'数据-汇总表'!$E19:$E33)</f>
        <v>0</v>
      </c>
      <c r="J7" s="2244">
        <f>SUMIF('数据-汇总表'!$C19:$C33,假设开发法!J5,'数据-汇总表'!$E19:$E33)</f>
        <v>0</v>
      </c>
      <c r="K7" s="2308">
        <f>SUMIF('数据-汇总表'!$C19:$C33,假设开发法!K5,'数据-汇总表'!$E19:$E33)</f>
        <v>0</v>
      </c>
      <c r="L7" s="2307"/>
      <c r="M7" s="2307"/>
      <c r="N7" s="2307"/>
      <c r="O7" s="2307"/>
      <c r="P7" s="2307"/>
      <c r="Q7" s="2307"/>
      <c r="R7" s="2307"/>
      <c r="S7" s="2307"/>
      <c r="T7" s="2307"/>
      <c r="U7" s="2307"/>
      <c r="V7" s="2307"/>
      <c r="W7" s="2307"/>
      <c r="X7" s="2307"/>
      <c r="Y7" s="2307"/>
      <c r="Z7" s="2307"/>
      <c r="AA7" s="2307"/>
      <c r="AB7" s="2307"/>
      <c r="AC7" s="2307"/>
      <c r="AD7" s="2307"/>
      <c r="AE7" s="2307"/>
      <c r="AF7" s="2307"/>
      <c r="AG7" s="2307"/>
    </row>
    <row r="8" s="2222" customFormat="1" ht="13.5" customHeight="1" spans="1:33">
      <c r="A8" s="2245" t="s">
        <v>896</v>
      </c>
      <c r="B8" s="2246" t="s">
        <v>1048</v>
      </c>
      <c r="C8" s="2247">
        <f ca="1">收益法!C40</f>
        <v>17439</v>
      </c>
      <c r="D8" s="2247"/>
      <c r="E8" s="2247"/>
      <c r="F8" s="2248"/>
      <c r="G8" s="2248"/>
      <c r="H8" s="2248"/>
      <c r="I8" s="2248"/>
      <c r="J8" s="2248"/>
      <c r="K8" s="2309"/>
      <c r="L8" s="2307"/>
      <c r="M8" s="2307"/>
      <c r="N8" s="2307"/>
      <c r="O8" s="2307"/>
      <c r="P8" s="2307"/>
      <c r="Q8" s="2307"/>
      <c r="R8" s="2307"/>
      <c r="S8" s="2307"/>
      <c r="T8" s="2307"/>
      <c r="U8" s="2307"/>
      <c r="V8" s="2307"/>
      <c r="W8" s="2307"/>
      <c r="X8" s="2307"/>
      <c r="Y8" s="2307"/>
      <c r="Z8" s="2307"/>
      <c r="AA8" s="2307"/>
      <c r="AB8" s="2307"/>
      <c r="AC8" s="2307"/>
      <c r="AD8" s="2307"/>
      <c r="AE8" s="2307"/>
      <c r="AF8" s="2307"/>
      <c r="AG8" s="2307"/>
    </row>
    <row r="9" s="2220" customFormat="1" ht="16.5" customHeight="1" spans="1:11">
      <c r="A9" s="2236" t="s">
        <v>1049</v>
      </c>
      <c r="B9" s="2237"/>
      <c r="C9" s="2237"/>
      <c r="D9" s="2237"/>
      <c r="E9" s="2237"/>
      <c r="F9" s="2237"/>
      <c r="G9" s="2237"/>
      <c r="H9" s="2237"/>
      <c r="I9" s="2237"/>
      <c r="J9" s="2237"/>
      <c r="K9" s="2304"/>
    </row>
    <row r="10" s="2223" customFormat="1" ht="13.5" customHeight="1" spans="1:11">
      <c r="A10" s="2239" t="s">
        <v>1045</v>
      </c>
      <c r="B10" s="2249" t="s">
        <v>1046</v>
      </c>
      <c r="C10" s="2250" t="s">
        <v>1050</v>
      </c>
      <c r="D10" s="2251" t="s">
        <v>1051</v>
      </c>
      <c r="E10" s="2251" t="s">
        <v>1052</v>
      </c>
      <c r="F10" s="2251" t="s">
        <v>1053</v>
      </c>
      <c r="G10" s="2249"/>
      <c r="H10" s="2252"/>
      <c r="I10" s="2252"/>
      <c r="J10" s="2252"/>
      <c r="K10" s="2310"/>
    </row>
    <row r="11" s="2224" customFormat="1" ht="13.5" customHeight="1" spans="1:11">
      <c r="A11" s="2253" t="s">
        <v>953</v>
      </c>
      <c r="B11" s="2254" t="s">
        <v>1054</v>
      </c>
      <c r="C11" s="2255">
        <f ca="1">IF(C1="",'数据-取费表'!P16,INDIRECT("'数据-取费表'!p"&amp;$K$1)+INDIRECT("'数据-取费表'!ar"&amp;$K$1))</f>
        <v>1887</v>
      </c>
      <c r="D11" s="2256"/>
      <c r="E11" s="2007"/>
      <c r="F11" s="2257">
        <f ca="1">1-IF('数据-取费表'!B24=0,1,IF(C1="",'数据-取费表'!N16,INDIRECT("'数据-取费表'!n"&amp;$K$1)))</f>
        <v>0.2</v>
      </c>
      <c r="G11" s="2249"/>
      <c r="H11" s="2252"/>
      <c r="I11" s="2252"/>
      <c r="J11" s="2252"/>
      <c r="K11" s="2310"/>
    </row>
    <row r="12" s="2224" customFormat="1" ht="13.5" customHeight="1" spans="1:11">
      <c r="A12" s="2253" t="s">
        <v>956</v>
      </c>
      <c r="B12" s="2254" t="s">
        <v>1055</v>
      </c>
      <c r="C12" s="707">
        <f ca="1">ROUND(C11*F12,0)</f>
        <v>57</v>
      </c>
      <c r="D12" s="2256"/>
      <c r="E12" s="2007"/>
      <c r="F12" s="2258">
        <f>'数据-取费表'!B33</f>
        <v>0.03</v>
      </c>
      <c r="G12" s="2249" t="s">
        <v>1056</v>
      </c>
      <c r="H12" s="2252"/>
      <c r="I12" s="2252"/>
      <c r="J12" s="2252"/>
      <c r="K12" s="2310"/>
    </row>
    <row r="13" s="2224" customFormat="1" ht="13.5" customHeight="1" spans="1:11">
      <c r="A13" s="2253" t="s">
        <v>1057</v>
      </c>
      <c r="B13" s="2254" t="s">
        <v>1058</v>
      </c>
      <c r="C13" s="707">
        <f ca="1">ROUND(IF(C1="",SUMIF('数据-取费表'!C:C,"住宅",'数据-取费表'!P:P)*F13,IF(INDIRECT("'数据-取费表'!c"&amp;$K$1)="住宅",INDIRECT("'数据-取费表'!P"&amp;$K$1)*F13,0)),0)</f>
        <v>0</v>
      </c>
      <c r="D13" s="2259"/>
      <c r="E13" s="2007"/>
      <c r="F13" s="2258">
        <f>'数据-取费表'!B34</f>
        <v>0</v>
      </c>
      <c r="G13" s="2249" t="s">
        <v>1059</v>
      </c>
      <c r="H13" s="2252"/>
      <c r="I13" s="2252"/>
      <c r="J13" s="2252"/>
      <c r="K13" s="2310"/>
    </row>
    <row r="14" s="2225" customFormat="1" ht="13.5" customHeight="1" spans="1:33">
      <c r="A14" s="2253" t="s">
        <v>1060</v>
      </c>
      <c r="B14" s="2254" t="s">
        <v>1061</v>
      </c>
      <c r="C14" s="707">
        <f ca="1">ROUND(D14*E14*F11/10000,0)</f>
        <v>76</v>
      </c>
      <c r="D14" s="2259">
        <f ca="1">IF(C1="",'数据-汇总表'!E3,INDIRECT("'数据-取费表'!K"&amp;$K$1)+INDIRECT("'数据-取费表'!S"&amp;$K$1))</f>
        <v>18907.05</v>
      </c>
      <c r="E14" s="707">
        <f>'数据-取费表'!B35</f>
        <v>200</v>
      </c>
      <c r="F14" s="2258"/>
      <c r="G14" s="2249" t="s">
        <v>1062</v>
      </c>
      <c r="H14" s="2252"/>
      <c r="I14" s="2252"/>
      <c r="J14" s="2252"/>
      <c r="K14" s="2310"/>
      <c r="L14" s="2224"/>
      <c r="M14" s="2224"/>
      <c r="N14" s="2224"/>
      <c r="O14" s="2224"/>
      <c r="P14" s="2224"/>
      <c r="Q14" s="2224"/>
      <c r="R14" s="2224"/>
      <c r="S14" s="2224"/>
      <c r="T14" s="2224"/>
      <c r="U14" s="2224"/>
      <c r="V14" s="2224"/>
      <c r="W14" s="2224"/>
      <c r="X14" s="2224"/>
      <c r="Y14" s="2224"/>
      <c r="Z14" s="2224"/>
      <c r="AA14" s="2224"/>
      <c r="AB14" s="2224"/>
      <c r="AC14" s="2224"/>
      <c r="AD14" s="2224"/>
      <c r="AE14" s="2224"/>
      <c r="AF14" s="2224"/>
      <c r="AG14" s="2224"/>
    </row>
    <row r="15" s="2225" customFormat="1" ht="13.5" customHeight="1" spans="1:33">
      <c r="A15" s="2253" t="s">
        <v>1063</v>
      </c>
      <c r="B15" s="2254" t="s">
        <v>1064</v>
      </c>
      <c r="C15" s="2260">
        <f ca="1">ROUND(C11*F15,0)</f>
        <v>28</v>
      </c>
      <c r="D15" s="2261"/>
      <c r="E15" s="2260"/>
      <c r="F15" s="2262">
        <f>'数据-取费表'!B36</f>
        <v>0.015</v>
      </c>
      <c r="G15" s="2004" t="s">
        <v>1065</v>
      </c>
      <c r="H15" s="2118"/>
      <c r="I15" s="2118"/>
      <c r="J15" s="2118"/>
      <c r="K15" s="2119"/>
      <c r="L15" s="2224"/>
      <c r="M15" s="2224"/>
      <c r="N15" s="2224"/>
      <c r="O15" s="2224"/>
      <c r="P15" s="2224"/>
      <c r="Q15" s="2224"/>
      <c r="R15" s="2224"/>
      <c r="S15" s="2224"/>
      <c r="T15" s="2224"/>
      <c r="U15" s="2224"/>
      <c r="V15" s="2224"/>
      <c r="W15" s="2224"/>
      <c r="X15" s="2224"/>
      <c r="Y15" s="2224"/>
      <c r="Z15" s="2224"/>
      <c r="AA15" s="2224"/>
      <c r="AB15" s="2224"/>
      <c r="AC15" s="2224"/>
      <c r="AD15" s="2224"/>
      <c r="AE15" s="2224"/>
      <c r="AF15" s="2224"/>
      <c r="AG15" s="2224"/>
    </row>
    <row r="16" s="2225" customFormat="1" ht="13.5" customHeight="1" spans="1:33">
      <c r="A16" s="2253" t="s">
        <v>870</v>
      </c>
      <c r="B16" s="2254" t="s">
        <v>1066</v>
      </c>
      <c r="C16" s="2260">
        <f ca="1">SUM(C11:C15)</f>
        <v>2048</v>
      </c>
      <c r="D16" s="2261"/>
      <c r="E16" s="2260"/>
      <c r="F16" s="2262"/>
      <c r="G16" s="2004"/>
      <c r="H16" s="2263"/>
      <c r="I16" s="2118"/>
      <c r="J16" s="2118"/>
      <c r="K16" s="2119"/>
      <c r="L16" s="2224"/>
      <c r="M16" s="2224"/>
      <c r="N16" s="2224"/>
      <c r="O16" s="2224"/>
      <c r="P16" s="2224"/>
      <c r="Q16" s="2224"/>
      <c r="R16" s="2224"/>
      <c r="S16" s="2224"/>
      <c r="T16" s="2224"/>
      <c r="U16" s="2224"/>
      <c r="V16" s="2224"/>
      <c r="W16" s="2224"/>
      <c r="X16" s="2224"/>
      <c r="Y16" s="2224"/>
      <c r="Z16" s="2224"/>
      <c r="AA16" s="2224"/>
      <c r="AB16" s="2224"/>
      <c r="AC16" s="2224"/>
      <c r="AD16" s="2224"/>
      <c r="AE16" s="2224"/>
      <c r="AF16" s="2224"/>
      <c r="AG16" s="2224"/>
    </row>
    <row r="17" s="2225" customFormat="1" ht="13.5" customHeight="1" spans="1:33">
      <c r="A17" s="2253" t="s">
        <v>874</v>
      </c>
      <c r="B17" s="2254" t="s">
        <v>1067</v>
      </c>
      <c r="C17" s="707">
        <f ca="1">ROUND(D17*E17/10000,0)</f>
        <v>0</v>
      </c>
      <c r="D17" s="2259">
        <f ca="1">D14</f>
        <v>18907.05</v>
      </c>
      <c r="E17" s="707">
        <f>'数据-取费表'!B32</f>
        <v>0</v>
      </c>
      <c r="F17" s="2261"/>
      <c r="G17" s="2004" t="s">
        <v>1068</v>
      </c>
      <c r="H17" s="2263"/>
      <c r="I17" s="2118"/>
      <c r="J17" s="2118"/>
      <c r="K17" s="2119"/>
      <c r="L17" s="2224"/>
      <c r="M17" s="2224"/>
      <c r="N17" s="2224"/>
      <c r="O17" s="2224"/>
      <c r="P17" s="2224"/>
      <c r="Q17" s="2224"/>
      <c r="R17" s="2224"/>
      <c r="S17" s="2224"/>
      <c r="T17" s="2224"/>
      <c r="U17" s="2224"/>
      <c r="V17" s="2224"/>
      <c r="W17" s="2224"/>
      <c r="X17" s="2224"/>
      <c r="Y17" s="2224"/>
      <c r="Z17" s="2224"/>
      <c r="AA17" s="2224"/>
      <c r="AB17" s="2224"/>
      <c r="AC17" s="2224"/>
      <c r="AD17" s="2224"/>
      <c r="AE17" s="2224"/>
      <c r="AF17" s="2224"/>
      <c r="AG17" s="2224"/>
    </row>
    <row r="18" s="2224" customFormat="1" ht="13.5" customHeight="1" spans="1:11">
      <c r="A18" s="2253" t="s">
        <v>1069</v>
      </c>
      <c r="B18" s="2254" t="s">
        <v>1070</v>
      </c>
      <c r="C18" s="707">
        <f ca="1">C19+C20-IF(C1="",'数据-取费表'!B29,IF(G18="已全部缴纳",C19+C20,H18))</f>
        <v>0</v>
      </c>
      <c r="D18" s="2259"/>
      <c r="E18" s="707"/>
      <c r="F18" s="2258"/>
      <c r="G18" s="2264"/>
      <c r="H18" s="2265"/>
      <c r="I18" s="2311" t="s">
        <v>1071</v>
      </c>
      <c r="J18" s="2118"/>
      <c r="K18" s="2119"/>
    </row>
    <row r="19" s="2224" customFormat="1" ht="13.5" customHeight="1" spans="1:11">
      <c r="A19" s="2253" t="s">
        <v>953</v>
      </c>
      <c r="B19" s="2254" t="s">
        <v>349</v>
      </c>
      <c r="C19" s="707">
        <f ca="1">ROUND(D19*E19/10000,0)</f>
        <v>0</v>
      </c>
      <c r="D19" s="2259">
        <f ca="1">IF(C1="",'数据-汇总表'!E5,IF(INDIRECT("'数据-取费表'!c"&amp;$K$1)="住宅",INDIRECT("'数据-取费表'!k"&amp;$K$1),0))</f>
        <v>0</v>
      </c>
      <c r="E19" s="707">
        <f>'数据-取费表'!B27</f>
        <v>0</v>
      </c>
      <c r="F19" s="2258"/>
      <c r="G19" s="2117"/>
      <c r="H19" s="2266"/>
      <c r="I19" s="2267"/>
      <c r="J19" s="2267"/>
      <c r="K19" s="2312"/>
    </row>
    <row r="20" s="2224" customFormat="1" ht="13.5" customHeight="1" spans="1:11">
      <c r="A20" s="2253" t="s">
        <v>956</v>
      </c>
      <c r="B20" s="2254" t="s">
        <v>1072</v>
      </c>
      <c r="C20" s="707">
        <f ca="1">ROUND(D20*E20/10000,0)</f>
        <v>0</v>
      </c>
      <c r="D20" s="2259">
        <f ca="1">IF(C1="",'数据-汇总表'!E6,IF(INDIRECT("'数据-取费表'!c"&amp;$K$1)="住宅",INDIRECT("'数据-取费表'!s"&amp;$K$1),INDIRECT("'数据-取费表'!k"&amp;$K$1)+INDIRECT("'数据-取费表'!s"&amp;$K$1)))</f>
        <v>18907.05</v>
      </c>
      <c r="E20" s="707">
        <f>'数据-取费表'!B28</f>
        <v>0</v>
      </c>
      <c r="F20" s="2258"/>
      <c r="G20" s="2117"/>
      <c r="H20" s="2267"/>
      <c r="I20" s="2267"/>
      <c r="J20" s="2267"/>
      <c r="K20" s="2312"/>
    </row>
    <row r="21" s="2224" customFormat="1" ht="13.5" customHeight="1" spans="1:11">
      <c r="A21" s="2242" t="s">
        <v>847</v>
      </c>
      <c r="B21" s="2268" t="s">
        <v>1073</v>
      </c>
      <c r="C21" s="2269">
        <f ca="1">C16+C17+C18</f>
        <v>2048</v>
      </c>
      <c r="D21" s="2270"/>
      <c r="E21" s="2271"/>
      <c r="F21" s="2271"/>
      <c r="G21" s="2004" t="s">
        <v>1074</v>
      </c>
      <c r="H21" s="2118"/>
      <c r="I21" s="2118"/>
      <c r="J21" s="2118"/>
      <c r="K21" s="2119"/>
    </row>
    <row r="22" s="2224" customFormat="1" ht="13.5" customHeight="1" spans="1:11">
      <c r="A22" s="2242" t="s">
        <v>851</v>
      </c>
      <c r="B22" s="2268" t="s">
        <v>1075</v>
      </c>
      <c r="C22" s="2269">
        <f ca="1">ROUND(C21*F22,0)</f>
        <v>41</v>
      </c>
      <c r="D22" s="2271"/>
      <c r="E22" s="2271"/>
      <c r="F22" s="2272">
        <f>'数据-取费表'!B37</f>
        <v>0.02</v>
      </c>
      <c r="G22" s="2249" t="s">
        <v>1076</v>
      </c>
      <c r="H22" s="2252"/>
      <c r="I22" s="2252"/>
      <c r="J22" s="2252"/>
      <c r="K22" s="2310"/>
    </row>
    <row r="23" s="2224" customFormat="1" ht="13.5" customHeight="1" spans="1:11">
      <c r="A23" s="2242" t="s">
        <v>896</v>
      </c>
      <c r="B23" s="2268" t="s">
        <v>1077</v>
      </c>
      <c r="C23" s="2269">
        <f ca="1">ROUND(C4*F23*F11,0)</f>
        <v>70</v>
      </c>
      <c r="D23" s="2271"/>
      <c r="E23" s="2271"/>
      <c r="F23" s="2272">
        <f>'数据-取费表'!B38</f>
        <v>0.02</v>
      </c>
      <c r="G23" s="2249" t="s">
        <v>1078</v>
      </c>
      <c r="H23" s="2252"/>
      <c r="I23" s="2252"/>
      <c r="J23" s="2252"/>
      <c r="K23" s="2310"/>
    </row>
    <row r="24" s="2224" customFormat="1" ht="13.5" customHeight="1" spans="1:11">
      <c r="A24" s="2242" t="s">
        <v>899</v>
      </c>
      <c r="B24" s="2268" t="s">
        <v>1079</v>
      </c>
      <c r="C24" s="2273">
        <f>ROUND(F24/(1+'数据-取费表'!C42),4)</f>
        <v>0.029</v>
      </c>
      <c r="D24" s="2271" t="s">
        <v>1080</v>
      </c>
      <c r="E24" s="2271"/>
      <c r="F24" s="2272">
        <f>IF(项目基本情况!B8="出让",0,'数据-取费表'!B48+'数据-取费表'!B49)</f>
        <v>0.0305</v>
      </c>
      <c r="G24" s="2249" t="s">
        <v>1081</v>
      </c>
      <c r="H24" s="2274"/>
      <c r="I24" s="2274"/>
      <c r="J24" s="2274"/>
      <c r="K24" s="2313"/>
    </row>
    <row r="25" s="2224" customFormat="1" ht="13.5" customHeight="1" spans="1:11">
      <c r="A25" s="2242" t="s">
        <v>903</v>
      </c>
      <c r="B25" s="2270" t="s">
        <v>1082</v>
      </c>
      <c r="C25" s="2275">
        <f ca="1">C27</f>
        <v>13</v>
      </c>
      <c r="D25" s="2273">
        <f ca="1">C26</f>
        <v>0.0126</v>
      </c>
      <c r="E25" s="2276" t="s">
        <v>1080</v>
      </c>
      <c r="F25" s="2277">
        <f ca="1">'数据-取费表'!B40</f>
        <v>0.0415</v>
      </c>
      <c r="G25" s="2004" t="str">
        <f>IF('数据-取费表'!B22&lt;=1,"单利计息。","复利计息。")&amp;"后续开发成本、管理费用及销售费用产生的利息。"</f>
        <v>复利计息。后续开发成本、管理费用及销售费用产生的利息。</v>
      </c>
      <c r="H25" s="2274"/>
      <c r="I25" s="2274"/>
      <c r="J25" s="2274"/>
      <c r="K25" s="2313"/>
    </row>
    <row r="26" s="2226" customFormat="1" ht="13.5" customHeight="1" spans="1:11">
      <c r="A26" s="2253" t="s">
        <v>870</v>
      </c>
      <c r="B26" s="2278" t="s">
        <v>1083</v>
      </c>
      <c r="C26" s="2279">
        <f ca="1">ROUND(IF('数据-取费表'!B22&lt;=1,(1+C24)*F25*'数据-取费表'!B24,(1+C24)*(POWER((1+F25),'数据-取费表'!B24)-1)),4)</f>
        <v>0.0126</v>
      </c>
      <c r="D26" s="2280"/>
      <c r="E26" s="2281"/>
      <c r="F26" s="2282"/>
      <c r="G26" s="2283" t="str">
        <f>IF('数据-取费表'!B22&lt;=1,"（(1)+取得税费率/(1+5%)）×年利率×建设期","（(1)+取得税费率）/(1+5%)×((1+年利率)^建设期-1)")</f>
        <v>（(1)+取得税费率）/(1+5%)×((1+年利率)^建设期-1)</v>
      </c>
      <c r="H26" s="2118"/>
      <c r="I26" s="2118"/>
      <c r="J26" s="2118"/>
      <c r="K26" s="2119"/>
    </row>
    <row r="27" s="2226" customFormat="1" ht="13.5" customHeight="1" spans="1:11">
      <c r="A27" s="2253" t="s">
        <v>874</v>
      </c>
      <c r="B27" s="2278" t="s">
        <v>1084</v>
      </c>
      <c r="C27" s="2284">
        <f ca="1">ROUND(IF('数据-取费表'!B22&lt;=1,(C21+C22+C23)*F25*'数据-取费表'!B24/2,(C21+C22+C23)*(POWER((1+F25),'数据-取费表'!B24/2)-1)),0)</f>
        <v>13</v>
      </c>
      <c r="D27" s="2280"/>
      <c r="E27" s="2281"/>
      <c r="F27" s="2282"/>
      <c r="G27" s="2283" t="str">
        <f>IF('数据-取费表'!B22&lt;=1,"（1）-（3）项×年利率×建设期÷2","（1）-（3）项×((1+年利率)^(建设期÷2)-1)")</f>
        <v>（1）-（3）项×((1+年利率)^(建设期÷2)-1)</v>
      </c>
      <c r="H27" s="2118"/>
      <c r="I27" s="2118"/>
      <c r="J27" s="2118"/>
      <c r="K27" s="2119"/>
    </row>
    <row r="28" s="2227" customFormat="1" ht="13.5" customHeight="1" spans="1:11">
      <c r="A28" s="2242" t="s">
        <v>904</v>
      </c>
      <c r="B28" s="2285" t="s">
        <v>1085</v>
      </c>
      <c r="C28" s="2286">
        <f ca="1">C30</f>
        <v>216</v>
      </c>
      <c r="D28" s="2273">
        <f ca="1">C29</f>
        <v>0.0206</v>
      </c>
      <c r="E28" s="2276" t="s">
        <v>1080</v>
      </c>
      <c r="F28" s="294">
        <f ca="1">IF(C1="",'数据-取费表'!Q16,INDIRECT("'数据-取费表'!q"&amp;$K$1))</f>
        <v>0.1</v>
      </c>
      <c r="G28" s="2287"/>
      <c r="H28" s="2274"/>
      <c r="I28" s="2274"/>
      <c r="J28" s="2274"/>
      <c r="K28" s="2313"/>
    </row>
    <row r="29" s="2228" customFormat="1" ht="13.5" customHeight="1" spans="1:11">
      <c r="A29" s="2253" t="s">
        <v>870</v>
      </c>
      <c r="B29" s="2288" t="s">
        <v>1086</v>
      </c>
      <c r="C29" s="2280">
        <f ca="1">ROUND((1+C24)*F28*'数据-取费表'!B24/'数据-取费表'!B20,4)</f>
        <v>0.0206</v>
      </c>
      <c r="D29" s="2280"/>
      <c r="E29" s="2281"/>
      <c r="F29" s="2289"/>
      <c r="G29" s="2004" t="s">
        <v>1087</v>
      </c>
      <c r="H29" s="2118"/>
      <c r="I29" s="2118"/>
      <c r="J29" s="2118"/>
      <c r="K29" s="2119"/>
    </row>
    <row r="30" s="2228" customFormat="1" ht="13.5" customHeight="1" spans="1:11">
      <c r="A30" s="2253" t="s">
        <v>874</v>
      </c>
      <c r="B30" s="2288" t="s">
        <v>1088</v>
      </c>
      <c r="C30" s="2290">
        <f ca="1">ROUND((C21+C22+C23)*F28,0)</f>
        <v>216</v>
      </c>
      <c r="D30" s="2280"/>
      <c r="E30" s="2281"/>
      <c r="F30" s="2289"/>
      <c r="G30" s="2004"/>
      <c r="H30" s="2118"/>
      <c r="I30" s="2118"/>
      <c r="J30" s="2118"/>
      <c r="K30" s="2119"/>
    </row>
    <row r="31" s="2224" customFormat="1" ht="13.5" customHeight="1" spans="1:11">
      <c r="A31" s="2291" t="s">
        <v>1089</v>
      </c>
      <c r="B31" s="2292" t="s">
        <v>1090</v>
      </c>
      <c r="C31" s="2293">
        <f ca="1">ROUND(C4*F31/(1+'数据-取费表'!C42),0)</f>
        <v>913</v>
      </c>
      <c r="D31" s="2294"/>
      <c r="E31" s="2295"/>
      <c r="F31" s="2296">
        <f>'数据-取费表'!B41</f>
        <v>0.055</v>
      </c>
      <c r="G31" s="2297" t="s">
        <v>1091</v>
      </c>
      <c r="H31" s="2298"/>
      <c r="I31" s="2298"/>
      <c r="J31" s="2298"/>
      <c r="K31" s="2314"/>
    </row>
    <row r="32" s="2223" customFormat="1" ht="13.5" customHeight="1" spans="1:11">
      <c r="A32" s="2299" t="s">
        <v>1092</v>
      </c>
      <c r="B32" s="2300"/>
      <c r="C32" s="2301">
        <f ca="1">ROUND((C4-C21-C22-C23-C25-C28-C31)/(1+C24+D25+D28),0)</f>
        <v>13310</v>
      </c>
      <c r="D32" s="2300"/>
      <c r="E32" s="2300"/>
      <c r="F32" s="2300"/>
      <c r="G32" s="2302" t="s">
        <v>1093</v>
      </c>
      <c r="H32" s="2300"/>
      <c r="I32" s="2300"/>
      <c r="J32" s="2300"/>
      <c r="K32" s="2315"/>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Normal="70" workbookViewId="0">
      <selection activeCell="J48" sqref="J48"/>
    </sheetView>
  </sheetViews>
  <sheetFormatPr defaultColWidth="9" defaultRowHeight="13.2"/>
  <cols>
    <col min="1" max="1" width="9" style="555" customWidth="1"/>
    <col min="2" max="2" width="20.6666666666667" style="643" customWidth="1"/>
    <col min="3" max="3" width="11.8888888888889" style="643" customWidth="1"/>
    <col min="4" max="4" width="40.4444444444444" style="555" customWidth="1"/>
    <col min="5" max="5" width="15.7777777777778" style="555" customWidth="1"/>
    <col min="6" max="6" width="10.6666666666667" style="555" customWidth="1"/>
    <col min="7" max="7" width="4.88888888888889" style="555" customWidth="1"/>
    <col min="8" max="8" width="8.44444444444444" style="555" customWidth="1"/>
    <col min="9" max="9" width="21.2222222222222" style="555" customWidth="1"/>
    <col min="10" max="10" width="12.2222222222222" style="555" customWidth="1"/>
    <col min="11" max="11" width="45.1111111111111" style="1930" customWidth="1"/>
    <col min="12" max="12" width="16.3333333333333" style="555" customWidth="1"/>
    <col min="13" max="13" width="13" style="555" customWidth="1"/>
    <col min="14" max="14" width="13.7777777777778" style="1215" customWidth="1"/>
    <col min="15" max="15" width="5.11111111111111" style="1215" customWidth="1"/>
    <col min="16" max="16" width="25.7777777777778" style="1215" customWidth="1"/>
    <col min="17" max="17" width="13.7777777777778" style="1215" customWidth="1"/>
    <col min="18" max="18" width="20.4444444444444" style="1215" customWidth="1"/>
    <col min="19" max="19" width="13.2222222222222" style="1215" customWidth="1"/>
    <col min="20" max="37" width="9" style="1215"/>
    <col min="38" max="16384" width="9" style="555"/>
  </cols>
  <sheetData>
    <row r="1" s="1928" customFormat="1" ht="21" spans="1:37">
      <c r="A1" s="1931" t="s">
        <v>1094</v>
      </c>
      <c r="B1" s="282"/>
      <c r="C1" s="1932" t="s">
        <v>454</v>
      </c>
      <c r="D1" s="1933" t="s">
        <v>1095</v>
      </c>
      <c r="E1" s="1934" t="s">
        <v>1096</v>
      </c>
      <c r="F1" s="1935">
        <f ca="1">J53</f>
        <v>35.38</v>
      </c>
      <c r="G1" s="1936">
        <f>MATCH(C1,'数据-取费表'!A6:A16,0)+5</f>
        <v>6</v>
      </c>
      <c r="H1" s="1937"/>
      <c r="I1" s="2102"/>
      <c r="J1" s="2102"/>
      <c r="K1" s="2103"/>
      <c r="L1" s="2102"/>
      <c r="M1" s="2102"/>
      <c r="N1" s="2104"/>
      <c r="O1" s="2104"/>
      <c r="P1" s="2104"/>
      <c r="Q1" s="2104"/>
      <c r="R1" s="2104"/>
      <c r="S1" s="2104"/>
      <c r="T1" s="2104"/>
      <c r="U1" s="2104"/>
      <c r="V1" s="2104"/>
      <c r="W1" s="2104"/>
      <c r="X1" s="2104"/>
      <c r="Y1" s="2104"/>
      <c r="Z1" s="2104"/>
      <c r="AA1" s="2104"/>
      <c r="AB1" s="2104"/>
      <c r="AC1" s="2104"/>
      <c r="AD1" s="2104"/>
      <c r="AE1" s="2104"/>
      <c r="AF1" s="2104"/>
      <c r="AG1" s="2104"/>
      <c r="AH1" s="2104"/>
      <c r="AI1" s="2104"/>
      <c r="AJ1" s="2104"/>
      <c r="AK1" s="2104"/>
    </row>
    <row r="2" ht="18" customHeight="1" spans="1:13">
      <c r="A2" s="1752" t="s">
        <v>1097</v>
      </c>
      <c r="B2" s="1938">
        <f ca="1">C40+J29+L46</f>
        <v>17439</v>
      </c>
      <c r="C2" s="1939" t="s">
        <v>1098</v>
      </c>
      <c r="D2" s="1939"/>
      <c r="E2" s="1941"/>
      <c r="F2" s="1942"/>
      <c r="G2" s="1943"/>
      <c r="H2" s="1944"/>
      <c r="I2" s="1944"/>
      <c r="J2" s="1944"/>
      <c r="K2" s="2105"/>
      <c r="L2" s="1944"/>
      <c r="M2" s="1944"/>
    </row>
    <row r="3" ht="18" customHeight="1" spans="1:13">
      <c r="A3" s="1945" t="s">
        <v>1099</v>
      </c>
      <c r="B3" s="1946">
        <f ca="1">IF(ISERROR(B2*10000/F43),0,ROUND(B2*10000/F43,0))</f>
        <v>9241</v>
      </c>
      <c r="C3" s="1939" t="s">
        <v>1100</v>
      </c>
      <c r="D3" s="1939"/>
      <c r="E3" s="1941"/>
      <c r="F3" s="1942"/>
      <c r="G3" s="1943"/>
      <c r="H3" s="1947" t="s">
        <v>1101</v>
      </c>
      <c r="I3" s="2106"/>
      <c r="J3" s="2106"/>
      <c r="K3" s="2107"/>
      <c r="L3" s="2106"/>
      <c r="M3" s="2106"/>
    </row>
    <row r="4" ht="18" customHeight="1" spans="1:13">
      <c r="A4" s="1948" t="s">
        <v>1102</v>
      </c>
      <c r="B4" s="1949" t="s">
        <v>1103</v>
      </c>
      <c r="C4" s="1949" t="s">
        <v>1104</v>
      </c>
      <c r="D4" s="1949" t="s">
        <v>1105</v>
      </c>
      <c r="E4" s="1950" t="s">
        <v>1106</v>
      </c>
      <c r="F4" s="1951"/>
      <c r="G4" s="1215"/>
      <c r="H4" s="1948" t="s">
        <v>1102</v>
      </c>
      <c r="I4" s="1949" t="s">
        <v>1103</v>
      </c>
      <c r="J4" s="1949" t="s">
        <v>1104</v>
      </c>
      <c r="K4" s="1949" t="s">
        <v>1105</v>
      </c>
      <c r="L4" s="1950" t="s">
        <v>1106</v>
      </c>
      <c r="M4" s="1951"/>
    </row>
    <row r="5" ht="18" customHeight="1" spans="1:13">
      <c r="A5" s="1952">
        <v>1</v>
      </c>
      <c r="B5" s="1953" t="s">
        <v>1107</v>
      </c>
      <c r="C5" s="1954">
        <f ca="1">C6+C10+C12</f>
        <v>1552</v>
      </c>
      <c r="D5" s="1955" t="s">
        <v>1108</v>
      </c>
      <c r="E5" s="1956"/>
      <c r="F5" s="1957"/>
      <c r="G5" s="1215"/>
      <c r="H5" s="1952">
        <v>1</v>
      </c>
      <c r="I5" s="1953" t="s">
        <v>1107</v>
      </c>
      <c r="J5" s="1954">
        <f ca="1">J6+J10+J12</f>
        <v>0</v>
      </c>
      <c r="K5" s="1955" t="s">
        <v>1108</v>
      </c>
      <c r="L5" s="1956"/>
      <c r="M5" s="1957"/>
    </row>
    <row r="6" ht="18" customHeight="1" spans="1:13">
      <c r="A6" s="1958" t="s">
        <v>847</v>
      </c>
      <c r="B6" s="1959" t="s">
        <v>1109</v>
      </c>
      <c r="C6" s="1960">
        <f ca="1">ROUND(F6*F8*F7*(1-F9)/10000,0)</f>
        <v>1550</v>
      </c>
      <c r="D6" s="1961" t="s">
        <v>1110</v>
      </c>
      <c r="E6" s="1962" t="s">
        <v>1111</v>
      </c>
      <c r="F6" s="1963">
        <f ca="1">INDIRECT("'数据-取费表'!u"&amp;$G$1)</f>
        <v>2.5</v>
      </c>
      <c r="G6" s="1215"/>
      <c r="H6" s="1958" t="s">
        <v>847</v>
      </c>
      <c r="I6" s="1959" t="s">
        <v>1109</v>
      </c>
      <c r="J6" s="2036">
        <f ca="1">ROUND(M6*M8*M7*(1-M9)/10000,0)</f>
        <v>0</v>
      </c>
      <c r="K6" s="1961" t="s">
        <v>1112</v>
      </c>
      <c r="L6" s="1962" t="s">
        <v>1111</v>
      </c>
      <c r="M6" s="1963">
        <f ca="1">INDIRECT("'数据-取费表'!z"&amp;$G$1)</f>
        <v>0</v>
      </c>
    </row>
    <row r="7" ht="18" customHeight="1" spans="1:13">
      <c r="A7" s="1964"/>
      <c r="B7" s="1965"/>
      <c r="C7" s="1966"/>
      <c r="D7" s="1967"/>
      <c r="E7" s="1968" t="s">
        <v>1113</v>
      </c>
      <c r="F7" s="1963">
        <f ca="1">IF(INDIRECT("'数据-取费表'!ah"&amp;$G$1)="",INDIRECT("'数据-取费表'!k"&amp;$G$1),INDIRECT("'数据-取费表'!ah"&amp;$G$1))</f>
        <v>18872.33</v>
      </c>
      <c r="G7" s="1215"/>
      <c r="H7" s="1969"/>
      <c r="I7" s="1965"/>
      <c r="J7" s="1970"/>
      <c r="K7" s="1967"/>
      <c r="L7" s="1962" t="s">
        <v>1113</v>
      </c>
      <c r="M7" s="1963">
        <f ca="1">F7</f>
        <v>18872.33</v>
      </c>
    </row>
    <row r="8" ht="18" customHeight="1" spans="1:13">
      <c r="A8" s="1969"/>
      <c r="B8" s="1965"/>
      <c r="C8" s="1970"/>
      <c r="D8" s="1967"/>
      <c r="E8" s="1962" t="s">
        <v>1114</v>
      </c>
      <c r="F8" s="1963">
        <f ca="1">INDIRECT("'数据-取费表'!ai"&amp;$G$1)</f>
        <v>365</v>
      </c>
      <c r="G8" s="1215"/>
      <c r="H8" s="1969"/>
      <c r="I8" s="1965"/>
      <c r="J8" s="1970"/>
      <c r="K8" s="1967"/>
      <c r="L8" s="1962" t="s">
        <v>1114</v>
      </c>
      <c r="M8" s="1963">
        <f ca="1">INDIRECT("'数据-取费表'!ai"&amp;$G$1)</f>
        <v>365</v>
      </c>
    </row>
    <row r="9" ht="18" customHeight="1" spans="1:13">
      <c r="A9" s="1969"/>
      <c r="B9" s="1971"/>
      <c r="C9" s="1970"/>
      <c r="D9" s="1967"/>
      <c r="E9" s="1962" t="s">
        <v>1115</v>
      </c>
      <c r="F9" s="1972">
        <f ca="1">INDIRECT("'数据-取费表'!w"&amp;$G$1)</f>
        <v>0.1</v>
      </c>
      <c r="G9" s="1215"/>
      <c r="H9" s="1969"/>
      <c r="I9" s="1971"/>
      <c r="J9" s="1970"/>
      <c r="K9" s="1967"/>
      <c r="L9" s="1975" t="s">
        <v>1115</v>
      </c>
      <c r="M9" s="1980">
        <f ca="1">INDIRECT("'数据-取费表'!ab"&amp;$G$1)</f>
        <v>0</v>
      </c>
    </row>
    <row r="10" ht="18" customHeight="1" spans="1:13">
      <c r="A10" s="1958" t="s">
        <v>851</v>
      </c>
      <c r="B10" s="1973" t="s">
        <v>1116</v>
      </c>
      <c r="C10" s="706">
        <f ca="1">ROUND(IF(F10="押一",C6/12*F11,IF(F10="押二",C6/12*2*F11,IF(F10="押三",C6/12*3*F11,C11*F11))),0)</f>
        <v>2</v>
      </c>
      <c r="D10" s="1974" t="s">
        <v>1117</v>
      </c>
      <c r="E10" s="1975" t="s">
        <v>1118</v>
      </c>
      <c r="F10" s="1976" t="s">
        <v>1119</v>
      </c>
      <c r="G10" s="1215"/>
      <c r="H10" s="1958" t="s">
        <v>851</v>
      </c>
      <c r="I10" s="1973" t="s">
        <v>1116</v>
      </c>
      <c r="J10" s="2036">
        <f ca="1">ROUND(IF(M10="押一",J6/12*M11,IF(M10="押二",J6/12*2*M11,IF(M10="押三",J6/12*3*M11,J11*M11))),0)</f>
        <v>0</v>
      </c>
      <c r="K10" s="1974" t="s">
        <v>1117</v>
      </c>
      <c r="L10" s="1975" t="s">
        <v>1118</v>
      </c>
      <c r="M10" s="1976" t="s">
        <v>1120</v>
      </c>
    </row>
    <row r="11" ht="18" customHeight="1" spans="1:13">
      <c r="A11" s="1977"/>
      <c r="B11" s="1978" t="s">
        <v>1121</v>
      </c>
      <c r="C11" s="1979"/>
      <c r="D11" s="2213"/>
      <c r="E11" s="1975" t="s">
        <v>1122</v>
      </c>
      <c r="F11" s="1980">
        <f ca="1">'数据-取费表'!B39</f>
        <v>0.015</v>
      </c>
      <c r="G11" s="1215"/>
      <c r="H11" s="1981"/>
      <c r="I11" s="1978" t="s">
        <v>1121</v>
      </c>
      <c r="J11" s="1979"/>
      <c r="K11" s="2110"/>
      <c r="L11" s="1975" t="s">
        <v>1122</v>
      </c>
      <c r="M11" s="2111">
        <f ca="1">'数据-取费表'!B39</f>
        <v>0.015</v>
      </c>
    </row>
    <row r="12" ht="18" customHeight="1" spans="1:13">
      <c r="A12" s="1982" t="s">
        <v>896</v>
      </c>
      <c r="B12" s="1983" t="s">
        <v>1123</v>
      </c>
      <c r="C12" s="1984"/>
      <c r="D12" s="1985"/>
      <c r="E12" s="1986"/>
      <c r="F12" s="1987"/>
      <c r="G12" s="1215"/>
      <c r="H12" s="1982" t="s">
        <v>896</v>
      </c>
      <c r="I12" s="1983" t="s">
        <v>1123</v>
      </c>
      <c r="J12" s="1984"/>
      <c r="K12" s="2112"/>
      <c r="L12" s="1986"/>
      <c r="M12" s="2113"/>
    </row>
    <row r="13" ht="18" customHeight="1" spans="1:13">
      <c r="A13" s="1988">
        <v>2</v>
      </c>
      <c r="B13" s="1989" t="s">
        <v>1124</v>
      </c>
      <c r="C13" s="1990">
        <f ca="1">ROUND(C29*F13,0)</f>
        <v>12769</v>
      </c>
      <c r="D13" s="1991" t="s">
        <v>1125</v>
      </c>
      <c r="E13" s="1991" t="s">
        <v>1126</v>
      </c>
      <c r="F13" s="1992">
        <f ca="1">INDIRECT("'数据-取费表'!y"&amp;$G$1)</f>
        <v>1</v>
      </c>
      <c r="G13" s="1215"/>
      <c r="H13" s="1988">
        <v>2</v>
      </c>
      <c r="I13" s="1989" t="s">
        <v>1124</v>
      </c>
      <c r="J13" s="2114">
        <f ca="1">ROUND(J14*J15,0)</f>
        <v>0</v>
      </c>
      <c r="K13" s="2014" t="s">
        <v>1125</v>
      </c>
      <c r="L13" s="2115"/>
      <c r="M13" s="2116"/>
    </row>
    <row r="14" ht="18" customHeight="1" spans="1:13">
      <c r="A14" s="1993" t="s">
        <v>870</v>
      </c>
      <c r="B14" s="1962" t="s">
        <v>1127</v>
      </c>
      <c r="C14" s="1994">
        <f ca="1">INDIRECT("'数据-取费表'!m"&amp;$G$1)+INDIRECT("'数据-取费表'!t"&amp;$G$1)</f>
        <v>9436</v>
      </c>
      <c r="D14" s="1995" t="s">
        <v>1128</v>
      </c>
      <c r="E14" s="1996"/>
      <c r="F14" s="1997"/>
      <c r="G14" s="1215"/>
      <c r="H14" s="1993" t="s">
        <v>847</v>
      </c>
      <c r="I14" s="1962" t="s">
        <v>1129</v>
      </c>
      <c r="J14" s="707">
        <f ca="1">C29</f>
        <v>12769</v>
      </c>
      <c r="K14" s="2117"/>
      <c r="L14" s="2118"/>
      <c r="M14" s="2119"/>
    </row>
    <row r="15" s="1929" customFormat="1" ht="18" customHeight="1" spans="1:37">
      <c r="A15" s="1993" t="s">
        <v>874</v>
      </c>
      <c r="B15" s="1962" t="s">
        <v>1055</v>
      </c>
      <c r="C15" s="707">
        <f ca="1">ROUND(C14*F15,0)</f>
        <v>283</v>
      </c>
      <c r="D15" s="1998" t="s">
        <v>1130</v>
      </c>
      <c r="E15" s="1998" t="s">
        <v>1131</v>
      </c>
      <c r="F15" s="1999">
        <f>'数据-取费表'!B33</f>
        <v>0.03</v>
      </c>
      <c r="G15" s="2000"/>
      <c r="H15" s="2001" t="s">
        <v>851</v>
      </c>
      <c r="I15" s="1986" t="s">
        <v>1126</v>
      </c>
      <c r="J15" s="2113">
        <f ca="1">INDIRECT("'数据-取费表'!ad"&amp;$G$1)</f>
        <v>0</v>
      </c>
      <c r="K15" s="2120"/>
      <c r="L15" s="2121"/>
      <c r="M15" s="2122"/>
      <c r="N15" s="2000"/>
      <c r="O15" s="2000"/>
      <c r="P15" s="2000"/>
      <c r="Q15" s="2000"/>
      <c r="R15" s="2000"/>
      <c r="S15" s="2000"/>
      <c r="T15" s="2000"/>
      <c r="U15" s="2000"/>
      <c r="V15" s="2000"/>
      <c r="W15" s="2000"/>
      <c r="X15" s="2000"/>
      <c r="Y15" s="2000"/>
      <c r="Z15" s="2000"/>
      <c r="AA15" s="2000"/>
      <c r="AB15" s="2000"/>
      <c r="AC15" s="2000"/>
      <c r="AD15" s="2000"/>
      <c r="AE15" s="2000"/>
      <c r="AF15" s="2000"/>
      <c r="AG15" s="2000"/>
      <c r="AH15" s="2000"/>
      <c r="AI15" s="2000"/>
      <c r="AJ15" s="2000"/>
      <c r="AK15" s="2000"/>
    </row>
    <row r="16" ht="18" customHeight="1" spans="1:13">
      <c r="A16" s="1993" t="s">
        <v>877</v>
      </c>
      <c r="B16" s="1962" t="s">
        <v>1058</v>
      </c>
      <c r="C16" s="707">
        <f ca="1">ROUND(INDIRECT("'数据-取费表'!m"&amp;$G$1)*F16,0)</f>
        <v>0</v>
      </c>
      <c r="D16" s="1962" t="s">
        <v>1130</v>
      </c>
      <c r="E16" s="1962" t="s">
        <v>1131</v>
      </c>
      <c r="F16" s="2002">
        <f ca="1">IF(INDIRECT("'数据-取费表'!c"&amp;$G$1)="住宅",'数据-取费表'!B34,0)</f>
        <v>0</v>
      </c>
      <c r="G16" s="1215"/>
      <c r="H16" s="1988" t="s">
        <v>1132</v>
      </c>
      <c r="I16" s="1989" t="s">
        <v>1133</v>
      </c>
      <c r="J16" s="1990">
        <f ca="1">ROUND(J17+J22+J23+J24,0)</f>
        <v>238</v>
      </c>
      <c r="K16" s="2014" t="s">
        <v>1134</v>
      </c>
      <c r="L16" s="2015"/>
      <c r="M16" s="1957"/>
    </row>
    <row r="17" s="1929" customFormat="1" ht="18" customHeight="1" spans="1:37">
      <c r="A17" s="1993" t="s">
        <v>1135</v>
      </c>
      <c r="B17" s="1962" t="s">
        <v>1136</v>
      </c>
      <c r="C17" s="707">
        <f ca="1">ROUND(F17*(F43+INDIRECT("'数据-取费表'!S"&amp;$G$1))/10000,0)</f>
        <v>378</v>
      </c>
      <c r="D17" s="1962" t="s">
        <v>1137</v>
      </c>
      <c r="E17" s="1962" t="s">
        <v>1138</v>
      </c>
      <c r="F17" s="2003">
        <f>'数据-取费表'!B35</f>
        <v>200</v>
      </c>
      <c r="G17" s="2000"/>
      <c r="H17" s="1993" t="s">
        <v>847</v>
      </c>
      <c r="I17" s="1962" t="s">
        <v>1139</v>
      </c>
      <c r="J17" s="2017">
        <f ca="1">ROUND(IF(AND(项目基本情况!B11="自然人",项目基本情况!B10="北京市"),J6*M17/(1+'数据-取费表'!C42),J18+J19+J20),0)</f>
        <v>110</v>
      </c>
      <c r="K17" s="1995" t="s">
        <v>1140</v>
      </c>
      <c r="L17" s="2018" t="s">
        <v>1141</v>
      </c>
      <c r="M17" s="2019" t="str">
        <f ca="1">IF(项目基本情况!B11="企业","",IF('数据-取费表'!B10="住宅",IF(M6*M7*M8/12/(1+'数据-取费表'!F30)&gt;100000,4%,2.5%),IF(M6*M7*M8/12/(1+'数据-取费表'!F30)&gt;100000,12%,7%)))</f>
        <v/>
      </c>
      <c r="N17" s="2000"/>
      <c r="O17" s="2000"/>
      <c r="P17" s="2000"/>
      <c r="Q17" s="2000"/>
      <c r="R17" s="2000"/>
      <c r="S17" s="2000"/>
      <c r="T17" s="2000"/>
      <c r="U17" s="2000"/>
      <c r="V17" s="2000"/>
      <c r="W17" s="2000"/>
      <c r="X17" s="2000"/>
      <c r="Y17" s="2000"/>
      <c r="Z17" s="2000"/>
      <c r="AA17" s="2000"/>
      <c r="AB17" s="2000"/>
      <c r="AC17" s="2000"/>
      <c r="AD17" s="2000"/>
      <c r="AE17" s="2000"/>
      <c r="AF17" s="2000"/>
      <c r="AG17" s="2000"/>
      <c r="AH17" s="2000"/>
      <c r="AI17" s="2000"/>
      <c r="AJ17" s="2000"/>
      <c r="AK17" s="2000"/>
    </row>
    <row r="18" s="1929" customFormat="1" ht="18" customHeight="1" spans="1:37">
      <c r="A18" s="1993" t="s">
        <v>1142</v>
      </c>
      <c r="B18" s="1962" t="s">
        <v>1064</v>
      </c>
      <c r="C18" s="707">
        <f ca="1">ROUND(C14*F18,0)</f>
        <v>142</v>
      </c>
      <c r="D18" s="1962" t="s">
        <v>1130</v>
      </c>
      <c r="E18" s="1962" t="s">
        <v>1131</v>
      </c>
      <c r="F18" s="2002">
        <f>'数据-取费表'!B36</f>
        <v>0.015</v>
      </c>
      <c r="G18" s="2000"/>
      <c r="H18" s="1993" t="s">
        <v>870</v>
      </c>
      <c r="I18" s="1962" t="s">
        <v>1143</v>
      </c>
      <c r="J18" s="707">
        <f ca="1">ROUND(J6*M18/(1+'数据-取费表'!C42),2)</f>
        <v>0</v>
      </c>
      <c r="K18" s="2018" t="s">
        <v>1144</v>
      </c>
      <c r="L18" s="1962" t="s">
        <v>1131</v>
      </c>
      <c r="M18" s="2002">
        <f>'数据-取费表'!B41</f>
        <v>0.055</v>
      </c>
      <c r="N18" s="2000"/>
      <c r="O18" s="2000"/>
      <c r="P18" s="2000"/>
      <c r="Q18" s="2000"/>
      <c r="R18" s="2000"/>
      <c r="S18" s="2000"/>
      <c r="T18" s="2000"/>
      <c r="U18" s="2000"/>
      <c r="V18" s="2000"/>
      <c r="W18" s="2000"/>
      <c r="X18" s="2000"/>
      <c r="Y18" s="2000"/>
      <c r="Z18" s="2000"/>
      <c r="AA18" s="2000"/>
      <c r="AB18" s="2000"/>
      <c r="AC18" s="2000"/>
      <c r="AD18" s="2000"/>
      <c r="AE18" s="2000"/>
      <c r="AF18" s="2000"/>
      <c r="AG18" s="2000"/>
      <c r="AH18" s="2000"/>
      <c r="AI18" s="2000"/>
      <c r="AJ18" s="2000"/>
      <c r="AK18" s="2000"/>
    </row>
    <row r="19" ht="18" customHeight="1" spans="1:13">
      <c r="A19" s="1993" t="s">
        <v>847</v>
      </c>
      <c r="B19" s="1962" t="s">
        <v>1145</v>
      </c>
      <c r="C19" s="707">
        <f ca="1">SUM(C14:C18)</f>
        <v>10239</v>
      </c>
      <c r="D19" s="2004" t="s">
        <v>1146</v>
      </c>
      <c r="E19" s="709"/>
      <c r="F19" s="2003"/>
      <c r="G19" s="1215"/>
      <c r="H19" s="1993" t="s">
        <v>874</v>
      </c>
      <c r="I19" s="1962" t="s">
        <v>1147</v>
      </c>
      <c r="J19" s="707">
        <f ca="1">IF(K19="按租金收入计税",ROUND(J6*M19/(1+'数据-取费表'!C42),2),ROUND(C29*M19*0.7,2))</f>
        <v>107.26</v>
      </c>
      <c r="K19" s="2021" t="s">
        <v>1148</v>
      </c>
      <c r="L19" s="1962" t="s">
        <v>1131</v>
      </c>
      <c r="M19" s="2002">
        <f>IF(K19="按租金收入计税",'数据-取费表'!B51,'数据-取费表'!B50)</f>
        <v>0.012</v>
      </c>
    </row>
    <row r="20" s="1929" customFormat="1" ht="18" customHeight="1" spans="1:37">
      <c r="A20" s="1993" t="s">
        <v>851</v>
      </c>
      <c r="B20" s="1962" t="s">
        <v>1149</v>
      </c>
      <c r="C20" s="707">
        <f ca="1">ROUND(C19*F20,0)</f>
        <v>205</v>
      </c>
      <c r="D20" s="2005" t="s">
        <v>1150</v>
      </c>
      <c r="E20" s="1962" t="s">
        <v>1131</v>
      </c>
      <c r="F20" s="2002">
        <f>'数据-取费表'!B37</f>
        <v>0.02</v>
      </c>
      <c r="G20" s="2000"/>
      <c r="H20" s="1993" t="s">
        <v>877</v>
      </c>
      <c r="I20" s="1961" t="s">
        <v>1151</v>
      </c>
      <c r="J20" s="2023">
        <f ca="1">ROUND(M20*M21/10000,2)</f>
        <v>2.31</v>
      </c>
      <c r="K20" s="2024" t="s">
        <v>1152</v>
      </c>
      <c r="L20" s="1962" t="s">
        <v>1153</v>
      </c>
      <c r="M20" s="2008">
        <f>'数据-取费表'!B52</f>
        <v>1.5</v>
      </c>
      <c r="N20" s="2000"/>
      <c r="O20" s="2000"/>
      <c r="P20" s="2000"/>
      <c r="Q20" s="2000"/>
      <c r="R20" s="2000"/>
      <c r="S20" s="2000"/>
      <c r="T20" s="2000"/>
      <c r="U20" s="2000"/>
      <c r="V20" s="2000"/>
      <c r="W20" s="2000"/>
      <c r="X20" s="2000"/>
      <c r="Y20" s="2000"/>
      <c r="Z20" s="2000"/>
      <c r="AA20" s="2000"/>
      <c r="AB20" s="2000"/>
      <c r="AC20" s="2000"/>
      <c r="AD20" s="2000"/>
      <c r="AE20" s="2000"/>
      <c r="AF20" s="2000"/>
      <c r="AG20" s="2000"/>
      <c r="AH20" s="2000"/>
      <c r="AI20" s="2000"/>
      <c r="AJ20" s="2000"/>
      <c r="AK20" s="2000"/>
    </row>
    <row r="21" s="1929" customFormat="1" ht="18" customHeight="1" spans="1:37">
      <c r="A21" s="1993" t="s">
        <v>896</v>
      </c>
      <c r="B21" s="1962" t="s">
        <v>1154</v>
      </c>
      <c r="C21" s="707" t="s">
        <v>124</v>
      </c>
      <c r="D21" s="2005" t="s">
        <v>1155</v>
      </c>
      <c r="E21" s="1962" t="s">
        <v>1156</v>
      </c>
      <c r="F21" s="2002">
        <f>'数据-取费表'!B38</f>
        <v>0.02</v>
      </c>
      <c r="G21" s="2000"/>
      <c r="H21" s="2006"/>
      <c r="I21" s="2123"/>
      <c r="J21" s="2027"/>
      <c r="K21" s="2028"/>
      <c r="L21" s="1962" t="s">
        <v>1157</v>
      </c>
      <c r="M21" s="1963">
        <f ca="1">INDIRECT("'数据-取费表'!r"&amp;$G$1)</f>
        <v>15415.9</v>
      </c>
      <c r="N21" s="2000"/>
      <c r="O21" s="2000"/>
      <c r="P21" s="2000"/>
      <c r="Q21" s="2000"/>
      <c r="R21" s="2000"/>
      <c r="S21" s="2000"/>
      <c r="T21" s="2000"/>
      <c r="U21" s="2000"/>
      <c r="V21" s="2000"/>
      <c r="W21" s="2000"/>
      <c r="X21" s="2000"/>
      <c r="Y21" s="2000"/>
      <c r="Z21" s="2000"/>
      <c r="AA21" s="2000"/>
      <c r="AB21" s="2000"/>
      <c r="AC21" s="2000"/>
      <c r="AD21" s="2000"/>
      <c r="AE21" s="2000"/>
      <c r="AF21" s="2000"/>
      <c r="AG21" s="2000"/>
      <c r="AH21" s="2000"/>
      <c r="AI21" s="2000"/>
      <c r="AJ21" s="2000"/>
      <c r="AK21" s="2000"/>
    </row>
    <row r="22" ht="18" customHeight="1" spans="1:13">
      <c r="A22" s="1993" t="s">
        <v>899</v>
      </c>
      <c r="B22" s="1962" t="s">
        <v>1158</v>
      </c>
      <c r="C22" s="707"/>
      <c r="D22" s="2004" t="str">
        <f>IF(F23&lt;=1,"单利计息。","复利计息。")&amp;"建造成本、管理费用、销售费用产生的利息。"</f>
        <v>复利计息。建造成本、管理费用、销售费用产生的利息。</v>
      </c>
      <c r="E22" s="709"/>
      <c r="F22" s="2003"/>
      <c r="G22" s="1215"/>
      <c r="H22" s="1993" t="s">
        <v>851</v>
      </c>
      <c r="I22" s="1962" t="s">
        <v>1159</v>
      </c>
      <c r="J22" s="707">
        <f ca="1">ROUND(J14*M22,1)</f>
        <v>127.7</v>
      </c>
      <c r="K22" s="2018" t="s">
        <v>1160</v>
      </c>
      <c r="L22" s="1962" t="s">
        <v>1131</v>
      </c>
      <c r="M22" s="2030">
        <f ca="1">INDIRECT("'数据-取费表'!Ak"&amp;$G$1)</f>
        <v>0.01</v>
      </c>
    </row>
    <row r="23" s="1929" customFormat="1" ht="18" customHeight="1" spans="1:37">
      <c r="A23" s="1993" t="s">
        <v>870</v>
      </c>
      <c r="B23" s="1962" t="s">
        <v>1161</v>
      </c>
      <c r="C23" s="707">
        <f ca="1">IF('数据-取费表'!B22&lt;=1,ROUND(C19*F24*F23/2,0)+ROUND(C20*F24*F23/2,0),ROUND(C19*(POWER((1+F24),F23/2)-1),0)+ROUND(C20*(POWER((1+F24),F23/2)-1),0))</f>
        <v>323</v>
      </c>
      <c r="D23" s="2007" t="str">
        <f>IF(F23&lt;=1,"(建造成本+管理费用)×利率×(建设周期÷2)","(建造成本+管理费用)×((1+利率)^(建设周期÷2)-1)")</f>
        <v>(建造成本+管理费用)×((1+利率)^(建设周期÷2)-1)</v>
      </c>
      <c r="E23" s="1962" t="s">
        <v>1162</v>
      </c>
      <c r="F23" s="2008">
        <f>'数据-取费表'!B20</f>
        <v>1.5</v>
      </c>
      <c r="G23" s="2000"/>
      <c r="H23" s="1993" t="s">
        <v>896</v>
      </c>
      <c r="I23" s="1962" t="s">
        <v>1163</v>
      </c>
      <c r="J23" s="707">
        <f ca="1">ROUND(J13*M23,1)</f>
        <v>0</v>
      </c>
      <c r="K23" s="2018" t="s">
        <v>1164</v>
      </c>
      <c r="L23" s="1962" t="s">
        <v>1131</v>
      </c>
      <c r="M23" s="2031">
        <f ca="1">INDIRECT("'数据-取费表'!Al"&amp;$G$1)</f>
        <v>0.0015</v>
      </c>
      <c r="N23" s="2000"/>
      <c r="O23" s="2000"/>
      <c r="P23" s="2000"/>
      <c r="Q23" s="2000"/>
      <c r="R23" s="2000"/>
      <c r="S23" s="2000"/>
      <c r="T23" s="2000"/>
      <c r="U23" s="2000"/>
      <c r="V23" s="2000"/>
      <c r="W23" s="2000"/>
      <c r="X23" s="2000"/>
      <c r="Y23" s="2000"/>
      <c r="Z23" s="2000"/>
      <c r="AA23" s="2000"/>
      <c r="AB23" s="2000"/>
      <c r="AC23" s="2000"/>
      <c r="AD23" s="2000"/>
      <c r="AE23" s="2000"/>
      <c r="AF23" s="2000"/>
      <c r="AG23" s="2000"/>
      <c r="AH23" s="2000"/>
      <c r="AI23" s="2000"/>
      <c r="AJ23" s="2000"/>
      <c r="AK23" s="2000"/>
    </row>
    <row r="24" s="1929" customFormat="1" ht="18" customHeight="1" spans="1:37">
      <c r="A24" s="1993" t="s">
        <v>874</v>
      </c>
      <c r="B24" s="1962" t="s">
        <v>1165</v>
      </c>
      <c r="C24" s="707">
        <f ca="1">ROUND(IF('数据-取费表'!B22&lt;=1,F21*F24*F23/2,F21*(POWER((1+F24),F23/2)-1)),4)</f>
        <v>0.0006</v>
      </c>
      <c r="D24" s="2007" t="str">
        <f>IF(F23&lt;=1,"销售费用×利率×(建设周期÷2)","销售费用×((1+利率)^(建设周期÷2)-1)")</f>
        <v>销售费用×((1+利率)^(建设周期÷2)-1)</v>
      </c>
      <c r="E24" s="1962" t="s">
        <v>1166</v>
      </c>
      <c r="F24" s="2009">
        <f ca="1">'数据-取费表'!B40</f>
        <v>0.0415</v>
      </c>
      <c r="G24" s="2000"/>
      <c r="H24" s="2001" t="s">
        <v>899</v>
      </c>
      <c r="I24" s="1986" t="s">
        <v>1149</v>
      </c>
      <c r="J24" s="2010">
        <f ca="1">ROUND(J5*M24,1)</f>
        <v>0</v>
      </c>
      <c r="K24" s="2011" t="s">
        <v>1167</v>
      </c>
      <c r="L24" s="1986" t="s">
        <v>1131</v>
      </c>
      <c r="M24" s="1987">
        <f ca="1">INDIRECT("'数据-取费表'!Am"&amp;$G$1)</f>
        <v>0.01</v>
      </c>
      <c r="N24" s="2000"/>
      <c r="O24" s="2000"/>
      <c r="P24" s="2000"/>
      <c r="Q24" s="2000"/>
      <c r="R24" s="2000"/>
      <c r="S24" s="2000"/>
      <c r="T24" s="2000"/>
      <c r="U24" s="2000"/>
      <c r="V24" s="2000"/>
      <c r="W24" s="2000"/>
      <c r="X24" s="2000"/>
      <c r="Y24" s="2000"/>
      <c r="Z24" s="2000"/>
      <c r="AA24" s="2000"/>
      <c r="AB24" s="2000"/>
      <c r="AC24" s="2000"/>
      <c r="AD24" s="2000"/>
      <c r="AE24" s="2000"/>
      <c r="AF24" s="2000"/>
      <c r="AG24" s="2000"/>
      <c r="AH24" s="2000"/>
      <c r="AI24" s="2000"/>
      <c r="AJ24" s="2000"/>
      <c r="AK24" s="2000"/>
    </row>
    <row r="25" ht="24" customHeight="1" spans="1:13">
      <c r="A25" s="1993" t="s">
        <v>903</v>
      </c>
      <c r="B25" s="1962" t="s">
        <v>1168</v>
      </c>
      <c r="C25" s="707"/>
      <c r="D25" s="2004" t="s">
        <v>1169</v>
      </c>
      <c r="E25" s="709"/>
      <c r="F25" s="2003"/>
      <c r="G25" s="1215"/>
      <c r="H25" s="1988" t="s">
        <v>1170</v>
      </c>
      <c r="I25" s="2032" t="s">
        <v>1171</v>
      </c>
      <c r="J25" s="1990">
        <f ca="1">J5-J16</f>
        <v>-238</v>
      </c>
      <c r="K25" s="2033" t="s">
        <v>1172</v>
      </c>
      <c r="L25" s="2034"/>
      <c r="M25" s="2035"/>
    </row>
    <row r="26" spans="1:13">
      <c r="A26" s="1993" t="s">
        <v>870</v>
      </c>
      <c r="B26" s="1962" t="s">
        <v>1173</v>
      </c>
      <c r="C26" s="707">
        <f ca="1">ROUND((C19+C20)*F26,0)</f>
        <v>1044</v>
      </c>
      <c r="D26" s="2005" t="s">
        <v>1174</v>
      </c>
      <c r="E26" s="1975" t="s">
        <v>1175</v>
      </c>
      <c r="F26" s="1972">
        <f ca="1">INDIRECT("'数据-取费表'!q"&amp;$G$1)</f>
        <v>0.1</v>
      </c>
      <c r="G26" s="1215"/>
      <c r="H26" s="1952" t="s">
        <v>1176</v>
      </c>
      <c r="I26" s="1953" t="s">
        <v>1177</v>
      </c>
      <c r="J26" s="2036">
        <f ca="1">IF(J5&lt;&gt;0,ROUND(J25*(1-((1+M28)/(1+M26))^M27)/(M26-M28),0),0)</f>
        <v>0</v>
      </c>
      <c r="K26" s="2024" t="s">
        <v>1178</v>
      </c>
      <c r="L26" s="1962" t="s">
        <v>1179</v>
      </c>
      <c r="M26" s="1972">
        <f ca="1">INDIRECT("'数据-取费表'!I"&amp;$G$1)</f>
        <v>0.055</v>
      </c>
    </row>
    <row r="27" ht="18" customHeight="1" spans="1:13">
      <c r="A27" s="1993" t="s">
        <v>874</v>
      </c>
      <c r="B27" s="1962" t="s">
        <v>1180</v>
      </c>
      <c r="C27" s="707">
        <f ca="1">ROUND(F21*F26,4)</f>
        <v>0.002</v>
      </c>
      <c r="D27" s="2005" t="s">
        <v>1181</v>
      </c>
      <c r="E27" s="1998"/>
      <c r="F27" s="1999"/>
      <c r="G27" s="1215"/>
      <c r="H27" s="1969"/>
      <c r="I27" s="2038"/>
      <c r="J27" s="1970"/>
      <c r="K27" s="2039" t="s">
        <v>1182</v>
      </c>
      <c r="L27" s="1962" t="s">
        <v>1183</v>
      </c>
      <c r="M27" s="2040">
        <f ca="1">INDIRECT("'数据-取费表'!ag"&amp;$G$1)</f>
        <v>0</v>
      </c>
    </row>
    <row r="28" s="1929" customFormat="1" ht="18" customHeight="1" spans="1:37">
      <c r="A28" s="1993" t="s">
        <v>904</v>
      </c>
      <c r="B28" s="1962" t="s">
        <v>1184</v>
      </c>
      <c r="C28" s="707">
        <f>ROUND(F28/(1+'数据-取费表'!C42),4)</f>
        <v>0.0524</v>
      </c>
      <c r="D28" s="2005" t="s">
        <v>1185</v>
      </c>
      <c r="E28" s="1962" t="s">
        <v>1131</v>
      </c>
      <c r="F28" s="2002">
        <f>'数据-取费表'!B41</f>
        <v>0.055</v>
      </c>
      <c r="G28" s="2000"/>
      <c r="H28" s="1977"/>
      <c r="I28" s="2042"/>
      <c r="J28" s="1990"/>
      <c r="K28" s="2028"/>
      <c r="L28" s="1962" t="s">
        <v>1186</v>
      </c>
      <c r="M28" s="1972">
        <f ca="1">INDIRECT("'数据-取费表'!aa"&amp;$G$1)</f>
        <v>0</v>
      </c>
      <c r="N28" s="2000"/>
      <c r="O28" s="2000"/>
      <c r="P28" s="2000"/>
      <c r="Q28" s="2000"/>
      <c r="R28" s="2000"/>
      <c r="S28" s="2000"/>
      <c r="T28" s="2000"/>
      <c r="U28" s="2000"/>
      <c r="V28" s="2000"/>
      <c r="W28" s="2000"/>
      <c r="X28" s="2000"/>
      <c r="Y28" s="2000"/>
      <c r="Z28" s="2000"/>
      <c r="AA28" s="2000"/>
      <c r="AB28" s="2000"/>
      <c r="AC28" s="2000"/>
      <c r="AD28" s="2000"/>
      <c r="AE28" s="2000"/>
      <c r="AF28" s="2000"/>
      <c r="AG28" s="2000"/>
      <c r="AH28" s="2000"/>
      <c r="AI28" s="2000"/>
      <c r="AJ28" s="2000"/>
      <c r="AK28" s="2000"/>
    </row>
    <row r="29" s="1929" customFormat="1" ht="18" customHeight="1" spans="1:37">
      <c r="A29" s="2001" t="s">
        <v>1089</v>
      </c>
      <c r="B29" s="1986" t="s">
        <v>1187</v>
      </c>
      <c r="C29" s="2010">
        <f ca="1">ROUND((C19+C20+C23+C26)/(1-F21-C24-C27-C28),0)</f>
        <v>12769</v>
      </c>
      <c r="D29" s="2011"/>
      <c r="E29" s="1986"/>
      <c r="F29" s="2012"/>
      <c r="G29" s="2000"/>
      <c r="H29" s="2013" t="s">
        <v>1188</v>
      </c>
      <c r="I29" s="2043" t="s">
        <v>1189</v>
      </c>
      <c r="J29" s="2044">
        <f ca="1">ROUND(J26/(1+F40)^F41,0)</f>
        <v>0</v>
      </c>
      <c r="K29" s="2045" t="s">
        <v>1190</v>
      </c>
      <c r="L29" s="2046"/>
      <c r="M29" s="2047">
        <f ca="1">INDIRECT("'数据-取费表'!k"&amp;$G$1)</f>
        <v>18872.33</v>
      </c>
      <c r="N29" s="2000"/>
      <c r="O29" s="2000"/>
      <c r="P29" s="2000"/>
      <c r="Q29" s="2000"/>
      <c r="R29" s="2000"/>
      <c r="S29" s="2000"/>
      <c r="T29" s="2000"/>
      <c r="U29" s="2000"/>
      <c r="V29" s="2000"/>
      <c r="W29" s="2000"/>
      <c r="X29" s="2000"/>
      <c r="Y29" s="2000"/>
      <c r="Z29" s="2000"/>
      <c r="AA29" s="2000"/>
      <c r="AB29" s="2000"/>
      <c r="AC29" s="2000"/>
      <c r="AD29" s="2000"/>
      <c r="AE29" s="2000"/>
      <c r="AF29" s="2000"/>
      <c r="AG29" s="2000"/>
      <c r="AH29" s="2000"/>
      <c r="AI29" s="2000"/>
      <c r="AJ29" s="2000"/>
      <c r="AK29" s="2000"/>
    </row>
    <row r="30" ht="18" customHeight="1" spans="1:13">
      <c r="A30" s="1988" t="s">
        <v>1132</v>
      </c>
      <c r="B30" s="1989" t="s">
        <v>1133</v>
      </c>
      <c r="C30" s="1990">
        <f ca="1">ROUND(C31+C36+C37+C38,0)</f>
        <v>423</v>
      </c>
      <c r="D30" s="2014" t="s">
        <v>1134</v>
      </c>
      <c r="E30" s="2015"/>
      <c r="F30" s="1957"/>
      <c r="G30" s="1215"/>
      <c r="H30" s="2016"/>
      <c r="I30" s="2124"/>
      <c r="J30" s="2125"/>
      <c r="K30" s="2126"/>
      <c r="L30" s="2127"/>
      <c r="M30" s="2128"/>
    </row>
    <row r="31" ht="18" customHeight="1" spans="1:13">
      <c r="A31" s="1993" t="s">
        <v>847</v>
      </c>
      <c r="B31" s="1962" t="s">
        <v>1139</v>
      </c>
      <c r="C31" s="2017">
        <f ca="1">ROUND(IF(AND(项目基本情况!B11="自然人",项目基本情况!B10="北京市"),C6*F31/(1+'数据-取费表'!C42),C32+C33+C34),0)</f>
        <v>261</v>
      </c>
      <c r="D31" s="1995" t="s">
        <v>1140</v>
      </c>
      <c r="E31" s="2018" t="s">
        <v>1141</v>
      </c>
      <c r="F31" s="2019" t="str">
        <f ca="1">IF(项目基本情况!B11="企业","——",IF('数据-取费表'!B10="住宅",IF(F6*F7*F8/12/(1+'数据-取费表'!F30)&gt;100000,4%,2.5%),IF(F6*F7*F8/12/(1+'数据-取费表'!F30)&gt;100000,12%,7%)))</f>
        <v>——</v>
      </c>
      <c r="G31" s="1215"/>
      <c r="H31" s="2020" t="s">
        <v>1191</v>
      </c>
      <c r="I31" s="2124"/>
      <c r="J31" s="2125"/>
      <c r="K31" s="2126"/>
      <c r="L31" s="2127"/>
      <c r="M31" s="2128"/>
    </row>
    <row r="32" ht="18" customHeight="1" spans="1:13">
      <c r="A32" s="1993" t="s">
        <v>870</v>
      </c>
      <c r="B32" s="1962" t="s">
        <v>1143</v>
      </c>
      <c r="C32" s="707">
        <f ca="1">IF(项目基本情况!B11="自然人","——",ROUND(C6*F32/(1+'数据-取费表'!C42),2))</f>
        <v>81.19</v>
      </c>
      <c r="D32" s="2018" t="s">
        <v>1144</v>
      </c>
      <c r="E32" s="1962" t="s">
        <v>1131</v>
      </c>
      <c r="F32" s="2009">
        <f>'数据-取费表'!B41</f>
        <v>0.055</v>
      </c>
      <c r="G32" s="1215"/>
      <c r="H32" s="2016"/>
      <c r="I32" s="2124"/>
      <c r="J32" s="2125"/>
      <c r="K32" s="2126"/>
      <c r="L32" s="2127"/>
      <c r="M32" s="2128"/>
    </row>
    <row r="33" ht="18" customHeight="1" spans="1:13">
      <c r="A33" s="1993" t="s">
        <v>874</v>
      </c>
      <c r="B33" s="1962" t="s">
        <v>1147</v>
      </c>
      <c r="C33" s="707">
        <f ca="1">IF(项目基本情况!B11="自然人","——",IF(D33="按租金收入计税",ROUND(C6*F33/(1+'数据-取费表'!C42),2),IF(D33="按房产原值计税",ROUND(C29*F33*0.7,2),INDIRECT("'数据-取费表'!Aj"&amp;$G$1))))</f>
        <v>177.14</v>
      </c>
      <c r="D33" s="2021" t="s">
        <v>1192</v>
      </c>
      <c r="E33" s="1962" t="s">
        <v>1131</v>
      </c>
      <c r="F33" s="2002">
        <f>IF(D33="按票据","——",IF(D33="按租金收入计税",'数据-取费表'!B51,'数据-取费表'!B50))</f>
        <v>0.12</v>
      </c>
      <c r="G33" s="1215"/>
      <c r="H33" s="2022"/>
      <c r="I33" s="2124"/>
      <c r="J33" s="2125"/>
      <c r="K33" s="2129"/>
      <c r="L33" s="2022"/>
      <c r="M33" s="2022"/>
    </row>
    <row r="34" ht="18" customHeight="1" spans="1:13">
      <c r="A34" s="1958" t="s">
        <v>877</v>
      </c>
      <c r="B34" s="1961" t="s">
        <v>1151</v>
      </c>
      <c r="C34" s="2023">
        <f ca="1">IF(项目基本情况!B11="自然人","——",ROUND(F34*F35/10000,2))</f>
        <v>2.31</v>
      </c>
      <c r="D34" s="2024" t="s">
        <v>1152</v>
      </c>
      <c r="E34" s="1962" t="s">
        <v>1153</v>
      </c>
      <c r="F34" s="2008">
        <f>'数据-取费表'!B52</f>
        <v>1.5</v>
      </c>
      <c r="G34" s="1215"/>
      <c r="H34" s="2016"/>
      <c r="I34" s="2124"/>
      <c r="J34" s="2125"/>
      <c r="K34" s="2130"/>
      <c r="L34" s="2131"/>
      <c r="M34" s="2131"/>
    </row>
    <row r="35" ht="18" customHeight="1" spans="1:13">
      <c r="A35" s="2025"/>
      <c r="B35" s="2026"/>
      <c r="C35" s="2027"/>
      <c r="D35" s="2028"/>
      <c r="E35" s="1962" t="s">
        <v>1157</v>
      </c>
      <c r="F35" s="1963">
        <f ca="1">INDIRECT("'数据-取费表'!r"&amp;$G$1)</f>
        <v>15415.9</v>
      </c>
      <c r="G35" s="1215"/>
      <c r="H35" s="2016"/>
      <c r="I35" s="2124"/>
      <c r="J35" s="2125"/>
      <c r="K35" s="2129"/>
      <c r="L35" s="2022"/>
      <c r="M35" s="2022"/>
    </row>
    <row r="36" ht="18" customHeight="1" spans="1:13">
      <c r="A36" s="2029" t="s">
        <v>851</v>
      </c>
      <c r="B36" s="1962" t="s">
        <v>1159</v>
      </c>
      <c r="C36" s="707">
        <f ca="1">ROUND(C29*F36,1)</f>
        <v>127.7</v>
      </c>
      <c r="D36" s="2018" t="s">
        <v>1193</v>
      </c>
      <c r="E36" s="1962" t="s">
        <v>1131</v>
      </c>
      <c r="F36" s="2030">
        <f ca="1">INDIRECT("'数据-取费表'!Ak"&amp;$G$1)</f>
        <v>0.01</v>
      </c>
      <c r="G36" s="1215"/>
      <c r="H36" s="2022"/>
      <c r="I36" s="2124"/>
      <c r="J36" s="2125"/>
      <c r="K36" s="2132"/>
      <c r="L36" s="2022"/>
      <c r="M36" s="2022"/>
    </row>
    <row r="37" ht="18" customHeight="1" spans="1:13">
      <c r="A37" s="1993" t="s">
        <v>896</v>
      </c>
      <c r="B37" s="1962" t="s">
        <v>1163</v>
      </c>
      <c r="C37" s="707">
        <f ca="1">ROUND(C13*F37,1)</f>
        <v>19.2</v>
      </c>
      <c r="D37" s="2018" t="s">
        <v>1164</v>
      </c>
      <c r="E37" s="1962" t="s">
        <v>1131</v>
      </c>
      <c r="F37" s="2031">
        <f ca="1">INDIRECT("'数据-取费表'!Al"&amp;$G$1)</f>
        <v>0.0015</v>
      </c>
      <c r="G37" s="1215"/>
      <c r="H37" s="2022"/>
      <c r="I37" s="2124"/>
      <c r="J37" s="2125"/>
      <c r="K37" s="2132"/>
      <c r="L37" s="2022"/>
      <c r="M37" s="2022"/>
    </row>
    <row r="38" ht="18" customHeight="1" spans="1:13">
      <c r="A38" s="2001" t="s">
        <v>899</v>
      </c>
      <c r="B38" s="1986" t="s">
        <v>1149</v>
      </c>
      <c r="C38" s="2010">
        <f ca="1">ROUND(C5*F38,1)</f>
        <v>15.5</v>
      </c>
      <c r="D38" s="2011" t="s">
        <v>1167</v>
      </c>
      <c r="E38" s="1986" t="s">
        <v>1131</v>
      </c>
      <c r="F38" s="1987">
        <f ca="1">INDIRECT("'数据-取费表'!Am"&amp;$G$1)</f>
        <v>0.01</v>
      </c>
      <c r="G38" s="1215"/>
      <c r="H38" s="2022"/>
      <c r="I38" s="2124"/>
      <c r="J38" s="2125"/>
      <c r="K38" s="2133"/>
      <c r="L38" s="2022"/>
      <c r="M38" s="2022"/>
    </row>
    <row r="39" ht="24.6" customHeight="1" spans="1:13">
      <c r="A39" s="1988" t="s">
        <v>1170</v>
      </c>
      <c r="B39" s="2032" t="s">
        <v>1171</v>
      </c>
      <c r="C39" s="1990">
        <f ca="1">C5-C30</f>
        <v>1129</v>
      </c>
      <c r="D39" s="2033" t="s">
        <v>1172</v>
      </c>
      <c r="E39" s="2034"/>
      <c r="F39" s="2035"/>
      <c r="G39" s="1215"/>
      <c r="H39" s="2022"/>
      <c r="I39" s="2124"/>
      <c r="J39" s="2125"/>
      <c r="K39" s="2133"/>
      <c r="L39" s="2022"/>
      <c r="M39" s="2022"/>
    </row>
    <row r="40" ht="18" customHeight="1" spans="1:13">
      <c r="A40" s="1952" t="s">
        <v>1176</v>
      </c>
      <c r="B40" s="1953" t="s">
        <v>1194</v>
      </c>
      <c r="C40" s="2036">
        <f ca="1">ROUND(C39*(1-((1+F42)/(1+F40))^F41)/(F40-F42),0)</f>
        <v>17439</v>
      </c>
      <c r="D40" s="2024" t="s">
        <v>1178</v>
      </c>
      <c r="E40" s="1962" t="s">
        <v>1179</v>
      </c>
      <c r="F40" s="1972">
        <f ca="1">INDIRECT("'数据-取费表'!I"&amp;$G$1)</f>
        <v>0.055</v>
      </c>
      <c r="G40" s="1215"/>
      <c r="H40" s="2037"/>
      <c r="I40" s="2124"/>
      <c r="J40" s="2125"/>
      <c r="K40" s="2133"/>
      <c r="L40" s="2037"/>
      <c r="M40" s="2037"/>
    </row>
    <row r="41" ht="18" customHeight="1" spans="1:13">
      <c r="A41" s="1969"/>
      <c r="B41" s="2038"/>
      <c r="C41" s="1970"/>
      <c r="D41" s="2039" t="s">
        <v>1182</v>
      </c>
      <c r="E41" s="1962" t="s">
        <v>1183</v>
      </c>
      <c r="F41" s="2040">
        <f ca="1">IF(INDIRECT("'数据-取费表'!af"&amp;$G$1)=0,INDIRECT("'数据-取费表'!ae"&amp;$G$1),INDIRECT("'数据-取费表'!af"&amp;$G$1))</f>
        <v>35.38</v>
      </c>
      <c r="G41" s="1215"/>
      <c r="H41" s="2041"/>
      <c r="I41" s="2124"/>
      <c r="J41" s="2125"/>
      <c r="K41" s="2132"/>
      <c r="L41" s="2041"/>
      <c r="M41" s="2041"/>
    </row>
    <row r="42" ht="18" customHeight="1" spans="1:13">
      <c r="A42" s="1977"/>
      <c r="B42" s="2042"/>
      <c r="C42" s="1990"/>
      <c r="D42" s="2028"/>
      <c r="E42" s="1962" t="s">
        <v>1186</v>
      </c>
      <c r="F42" s="1972">
        <f ca="1">INDIRECT("'数据-取费表'!v"&amp;$G$1)</f>
        <v>0</v>
      </c>
      <c r="G42" s="1215"/>
      <c r="H42" s="2041"/>
      <c r="I42" s="2124"/>
      <c r="J42" s="2125"/>
      <c r="K42" s="2132"/>
      <c r="L42" s="2041"/>
      <c r="M42" s="2041"/>
    </row>
    <row r="43" ht="18" customHeight="1" spans="1:13">
      <c r="A43" s="2013" t="s">
        <v>1188</v>
      </c>
      <c r="B43" s="2043" t="s">
        <v>1195</v>
      </c>
      <c r="C43" s="2044">
        <f ca="1">ROUND(C40*10000/F43,0)</f>
        <v>9241</v>
      </c>
      <c r="D43" s="2045" t="s">
        <v>1196</v>
      </c>
      <c r="E43" s="2046" t="s">
        <v>1197</v>
      </c>
      <c r="F43" s="2047">
        <f ca="1">INDIRECT("'数据-取费表'!k"&amp;$G$1)</f>
        <v>18872.33</v>
      </c>
      <c r="G43" s="1215"/>
      <c r="H43" s="2041"/>
      <c r="I43" s="2041"/>
      <c r="J43" s="2041"/>
      <c r="K43" s="2132"/>
      <c r="L43" s="2041"/>
      <c r="M43" s="2041"/>
    </row>
    <row r="44" s="1215" customFormat="1" ht="18" customHeight="1" spans="1:11">
      <c r="A44" s="2048"/>
      <c r="B44" s="2048"/>
      <c r="C44" s="2049"/>
      <c r="D44" s="2048"/>
      <c r="E44" s="2048"/>
      <c r="F44" s="2048"/>
      <c r="K44" s="2134"/>
    </row>
    <row r="45" s="1215" customFormat="1" ht="18" customHeight="1" spans="1:18">
      <c r="A45" s="2048"/>
      <c r="B45" s="2048"/>
      <c r="C45" s="2049"/>
      <c r="D45" s="2048"/>
      <c r="E45" s="2048"/>
      <c r="F45" s="2048"/>
      <c r="J45" s="742"/>
      <c r="O45" s="2219" t="s">
        <v>1198</v>
      </c>
      <c r="P45" s="2037"/>
      <c r="Q45" s="2037"/>
      <c r="R45" s="2037"/>
    </row>
    <row r="46" s="1215" customFormat="1" ht="13.95" spans="1:18">
      <c r="A46" s="2052" t="s">
        <v>1199</v>
      </c>
      <c r="C46" s="2053">
        <f ca="1">C68-C40</f>
        <v>-36315</v>
      </c>
      <c r="D46" s="2054" t="str">
        <f>C2</f>
        <v>万元</v>
      </c>
      <c r="E46" s="2048"/>
      <c r="F46" s="2048"/>
      <c r="I46" s="2136" t="s">
        <v>1200</v>
      </c>
      <c r="J46" s="2137"/>
      <c r="K46" s="2138"/>
      <c r="L46" s="2139" t="str">
        <f ca="1">IF(M47="住宅",0,IF(L48&gt;J51,L60,J60))</f>
        <v>0</v>
      </c>
      <c r="O46" s="2140" t="s">
        <v>1201</v>
      </c>
      <c r="P46" s="2141" t="s">
        <v>1202</v>
      </c>
      <c r="Q46" s="2187" t="s">
        <v>1203</v>
      </c>
      <c r="R46" s="2187" t="s">
        <v>1204</v>
      </c>
    </row>
    <row r="47" s="1215" customFormat="1" ht="13.95" spans="1:18">
      <c r="A47" s="2055" t="s">
        <v>1102</v>
      </c>
      <c r="B47" s="2056" t="s">
        <v>1103</v>
      </c>
      <c r="C47" s="2214" t="s">
        <v>1104</v>
      </c>
      <c r="D47" s="2056" t="s">
        <v>1105</v>
      </c>
      <c r="E47" s="2057" t="s">
        <v>1106</v>
      </c>
      <c r="F47" s="700"/>
      <c r="G47" s="2058"/>
      <c r="I47" s="2142" t="s">
        <v>1205</v>
      </c>
      <c r="J47" s="2143" t="s">
        <v>1206</v>
      </c>
      <c r="K47" s="2144" t="s">
        <v>1207</v>
      </c>
      <c r="L47" s="2145">
        <f ca="1">INDIRECT("'数据-取费表'!d"&amp;$G$1)</f>
        <v>50</v>
      </c>
      <c r="M47" s="2146" t="str">
        <f>IF(ISNUMBER(FIND("住宅",C1)),"住宅","非住宅")</f>
        <v>非住宅</v>
      </c>
      <c r="O47" s="2147" t="s">
        <v>953</v>
      </c>
      <c r="P47" s="2148" t="s">
        <v>1208</v>
      </c>
      <c r="Q47" s="2188">
        <f ca="1">C40+J29</f>
        <v>17439</v>
      </c>
      <c r="R47" s="2188" t="s">
        <v>1209</v>
      </c>
    </row>
    <row r="48" s="1215" customFormat="1" ht="41.55" spans="1:18">
      <c r="A48" s="2059" t="s">
        <v>1210</v>
      </c>
      <c r="B48" s="1953" t="s">
        <v>1107</v>
      </c>
      <c r="C48" s="708">
        <f ca="1">C49+C53+C55</f>
        <v>0</v>
      </c>
      <c r="D48" s="2060"/>
      <c r="E48" s="2061"/>
      <c r="F48" s="2062"/>
      <c r="G48" s="2058"/>
      <c r="H48" s="2063"/>
      <c r="I48" s="1277" t="s">
        <v>1211</v>
      </c>
      <c r="J48" s="2149" t="s">
        <v>1212</v>
      </c>
      <c r="K48" s="2150" t="s">
        <v>1213</v>
      </c>
      <c r="L48" s="2151">
        <f ca="1">INDIRECT("'数据-取费表'!f"&amp;$G$1)</f>
        <v>35.68</v>
      </c>
      <c r="O48" s="2147" t="s">
        <v>956</v>
      </c>
      <c r="P48" s="2148" t="s">
        <v>1214</v>
      </c>
      <c r="Q48" s="2188" t="str">
        <f ca="1">J60</f>
        <v>0</v>
      </c>
      <c r="R48" s="2188" t="s">
        <v>1215</v>
      </c>
    </row>
    <row r="49" s="1215" customFormat="1" ht="13.95" spans="1:18">
      <c r="A49" s="2064" t="s">
        <v>1216</v>
      </c>
      <c r="B49" s="2065" t="s">
        <v>1217</v>
      </c>
      <c r="C49" s="2066">
        <f ca="1">ROUND(F49*F51*F50*(1-F52)/10000,0)</f>
        <v>0</v>
      </c>
      <c r="D49" s="2067" t="s">
        <v>1112</v>
      </c>
      <c r="E49" s="2068" t="s">
        <v>1218</v>
      </c>
      <c r="F49" s="2069"/>
      <c r="G49" s="2070"/>
      <c r="H49" s="2063"/>
      <c r="I49" s="1277" t="s">
        <v>1219</v>
      </c>
      <c r="J49" s="2152">
        <v>2022</v>
      </c>
      <c r="K49" s="2150" t="s">
        <v>1220</v>
      </c>
      <c r="L49" s="2153"/>
      <c r="O49" s="2154" t="s">
        <v>1221</v>
      </c>
      <c r="P49" s="2148" t="s">
        <v>1222</v>
      </c>
      <c r="Q49" s="2188">
        <f ca="1">C29</f>
        <v>12769</v>
      </c>
      <c r="R49" s="2188" t="s">
        <v>1209</v>
      </c>
    </row>
    <row r="50" s="1215" customFormat="1" ht="13.95" spans="1:18">
      <c r="A50" s="2071"/>
      <c r="B50" s="2072"/>
      <c r="C50" s="2215"/>
      <c r="D50" s="2074"/>
      <c r="E50" s="2075" t="s">
        <v>1113</v>
      </c>
      <c r="F50" s="2076">
        <f ca="1">F7</f>
        <v>18872.33</v>
      </c>
      <c r="H50" s="2063"/>
      <c r="I50" s="1277" t="s">
        <v>1223</v>
      </c>
      <c r="J50" s="2155">
        <f>SUMPRODUCT((I63:I65=J47)*(J62:L62=J48)*(J63:L65))</f>
        <v>60</v>
      </c>
      <c r="K50" s="2150" t="s">
        <v>1224</v>
      </c>
      <c r="L50" s="2153"/>
      <c r="M50" s="2156"/>
      <c r="O50" s="2154" t="s">
        <v>1225</v>
      </c>
      <c r="P50" s="2148" t="s">
        <v>1226</v>
      </c>
      <c r="Q50" s="2189" t="e">
        <f ca="1">J58</f>
        <v>#VALUE!</v>
      </c>
      <c r="R50" s="2188"/>
    </row>
    <row r="51" s="1215" customFormat="1" ht="13.95" spans="1:18">
      <c r="A51" s="2077"/>
      <c r="B51" s="2072"/>
      <c r="C51" s="2073"/>
      <c r="D51" s="2074"/>
      <c r="E51" s="2078" t="s">
        <v>1114</v>
      </c>
      <c r="F51" s="1963">
        <f ca="1">F8</f>
        <v>365</v>
      </c>
      <c r="I51" s="2157" t="s">
        <v>1227</v>
      </c>
      <c r="J51" s="2158">
        <f>IF(J49="",J50,J49+J50-YEAR('数据-取费表'!B2))</f>
        <v>60</v>
      </c>
      <c r="K51" s="2159" t="s">
        <v>1228</v>
      </c>
      <c r="L51" s="2160">
        <f ca="1">ROUND(-PV(INDIRECT("'数据-取费表'!h"&amp;$G$1),J51,(C39-C13*C76),0),0)</f>
        <v>4452</v>
      </c>
      <c r="M51" s="2161"/>
      <c r="O51" s="2154" t="s">
        <v>1229</v>
      </c>
      <c r="P51" s="2148" t="s">
        <v>1230</v>
      </c>
      <c r="Q51" s="2189">
        <f>J52</f>
        <v>0.075</v>
      </c>
      <c r="R51" s="2188"/>
    </row>
    <row r="52" s="1215" customFormat="1" ht="13.95" spans="1:18">
      <c r="A52" s="2077"/>
      <c r="B52" s="2072"/>
      <c r="C52" s="2073"/>
      <c r="D52" s="2074"/>
      <c r="E52" s="2078" t="s">
        <v>1115</v>
      </c>
      <c r="F52" s="2079"/>
      <c r="I52" s="2162" t="s">
        <v>1231</v>
      </c>
      <c r="J52" s="2163">
        <v>0.075</v>
      </c>
      <c r="K52" s="2162" t="s">
        <v>1232</v>
      </c>
      <c r="L52" s="2163"/>
      <c r="O52" s="2154" t="s">
        <v>1233</v>
      </c>
      <c r="P52" s="2148" t="s">
        <v>1234</v>
      </c>
      <c r="Q52" s="2188">
        <f ca="1">J53</f>
        <v>35.38</v>
      </c>
      <c r="R52" s="2188" t="s">
        <v>1235</v>
      </c>
    </row>
    <row r="53" s="1215" customFormat="1" ht="36.75" spans="1:18">
      <c r="A53" s="2216" t="s">
        <v>1236</v>
      </c>
      <c r="B53" s="2217" t="s">
        <v>1116</v>
      </c>
      <c r="C53" s="706">
        <f ca="1">ROUND(IF(F53="押一",C49/12*F11,IF(F53="押二",C49/12*2*F11,IF(F53="押三",C49/12*3*F11,C54*F11))),0)</f>
        <v>0</v>
      </c>
      <c r="D53" s="1974" t="s">
        <v>1117</v>
      </c>
      <c r="E53" s="1975" t="s">
        <v>1118</v>
      </c>
      <c r="F53" s="1976"/>
      <c r="I53" s="2164" t="s">
        <v>1237</v>
      </c>
      <c r="J53" s="2165">
        <f ca="1">IF(M47="住宅",IF(D1="——",MAX(J51,L48),MAX(J51,L48-'数据-取费表'!B24)),IF(D1="——",MIN(J51,L48),MIN(J51,L48-'数据-取费表'!B24)))</f>
        <v>35.38</v>
      </c>
      <c r="K53" s="2166" t="s">
        <v>1238</v>
      </c>
      <c r="L53" s="2167"/>
      <c r="O53" s="2147" t="s">
        <v>1057</v>
      </c>
      <c r="P53" s="2148" t="s">
        <v>1239</v>
      </c>
      <c r="Q53" s="2188">
        <f ca="1">Q47+Q48</f>
        <v>17439</v>
      </c>
      <c r="R53" s="2188" t="s">
        <v>1240</v>
      </c>
    </row>
    <row r="54" s="1215" customFormat="1" ht="24.75" spans="1:18">
      <c r="A54" s="2218"/>
      <c r="B54" s="1978" t="s">
        <v>1121</v>
      </c>
      <c r="C54" s="1979"/>
      <c r="D54" s="1974"/>
      <c r="E54" s="2082"/>
      <c r="F54" s="2083"/>
      <c r="I54" s="216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169"/>
      <c r="K54" s="2169"/>
      <c r="L54" s="2169"/>
      <c r="M54" s="2070"/>
      <c r="O54" s="2135" t="s">
        <v>1241</v>
      </c>
      <c r="P54" s="2170"/>
      <c r="Q54" s="2170"/>
      <c r="R54" s="2170"/>
    </row>
    <row r="55" s="1215" customFormat="1" ht="13.95" spans="1:18">
      <c r="A55" s="1982" t="s">
        <v>896</v>
      </c>
      <c r="B55" s="1983" t="s">
        <v>1123</v>
      </c>
      <c r="C55" s="1984"/>
      <c r="D55" s="1974"/>
      <c r="E55" s="2082"/>
      <c r="F55" s="2083"/>
      <c r="I55" s="2171" t="s">
        <v>1242</v>
      </c>
      <c r="J55" s="2172" t="e">
        <f ca="1">ROUND(IF(J47="钢混",J57/J50,1-(1-2%)*(J50-J57)/J50),3)</f>
        <v>#VALUE!</v>
      </c>
      <c r="K55" s="2173" t="s">
        <v>1243</v>
      </c>
      <c r="L55" s="2174" t="s">
        <v>1244</v>
      </c>
      <c r="O55" s="2140" t="s">
        <v>1201</v>
      </c>
      <c r="P55" s="2141" t="s">
        <v>1202</v>
      </c>
      <c r="Q55" s="2187" t="s">
        <v>1203</v>
      </c>
      <c r="R55" s="2187" t="s">
        <v>1204</v>
      </c>
    </row>
    <row r="56" s="1215" customFormat="1" ht="37.5" spans="1:18">
      <c r="A56" s="2084">
        <v>2</v>
      </c>
      <c r="B56" s="2085" t="s">
        <v>1124</v>
      </c>
      <c r="C56" s="595">
        <f ca="1">C13</f>
        <v>12769</v>
      </c>
      <c r="D56" s="2086"/>
      <c r="E56" s="2087"/>
      <c r="F56" s="2083"/>
      <c r="I56" s="2175" t="s">
        <v>1245</v>
      </c>
      <c r="J56" s="2176" t="s">
        <v>464</v>
      </c>
      <c r="K56" s="1277" t="s">
        <v>1246</v>
      </c>
      <c r="L56" s="2151" t="str">
        <f ca="1">IF(L48&lt;J51,"——",L48-J53)</f>
        <v>——</v>
      </c>
      <c r="O56" s="2147" t="s">
        <v>953</v>
      </c>
      <c r="P56" s="2148" t="s">
        <v>1208</v>
      </c>
      <c r="Q56" s="2188">
        <f ca="1">C40+J29</f>
        <v>17439</v>
      </c>
      <c r="R56" s="2188" t="s">
        <v>1209</v>
      </c>
    </row>
    <row r="57" s="1215" customFormat="1" ht="24.75" spans="1:18">
      <c r="A57" s="2088"/>
      <c r="B57" s="2089" t="s">
        <v>1187</v>
      </c>
      <c r="C57" s="605">
        <f ca="1">C29</f>
        <v>12769</v>
      </c>
      <c r="D57" s="2090"/>
      <c r="E57" s="2091"/>
      <c r="F57" s="2092"/>
      <c r="I57" s="2177" t="s">
        <v>1247</v>
      </c>
      <c r="J57" s="2178" t="str">
        <f ca="1">IF(OR(M47="住宅",J51&lt;L48,J56="是"),"——",J51-L48)</f>
        <v>——</v>
      </c>
      <c r="K57" s="1277" t="s">
        <v>1248</v>
      </c>
      <c r="L57" s="2151" t="str">
        <f ca="1">IF(L48&lt;J51,"——",IF(L55="比较法",L49,IF(L55="基准地价",L50,L51)))</f>
        <v>——</v>
      </c>
      <c r="O57" s="2147" t="s">
        <v>956</v>
      </c>
      <c r="P57" s="2148" t="s">
        <v>1249</v>
      </c>
      <c r="Q57" s="2188">
        <f ca="1">L60</f>
        <v>0</v>
      </c>
      <c r="R57" s="2188" t="s">
        <v>1250</v>
      </c>
    </row>
    <row r="58" s="1215" customFormat="1" ht="24.75" spans="1:18">
      <c r="A58" s="2093" t="s">
        <v>1132</v>
      </c>
      <c r="B58" s="2085" t="s">
        <v>1133</v>
      </c>
      <c r="C58" s="706">
        <f ca="1">ROUND(C59+C64+C65+C66,0)</f>
        <v>1222</v>
      </c>
      <c r="D58" s="2094" t="s">
        <v>1134</v>
      </c>
      <c r="E58" s="2095"/>
      <c r="F58" s="2062"/>
      <c r="I58" s="2177" t="s">
        <v>1251</v>
      </c>
      <c r="J58" s="2179" t="e">
        <f ca="1">IF(J55&lt;0.4,0.4,J55)</f>
        <v>#VALUE!</v>
      </c>
      <c r="K58" s="2159" t="s">
        <v>1252</v>
      </c>
      <c r="L58" s="2151" t="e">
        <f ca="1">ROUND(POWER(1+L52,L47-L48)*(POWER(1+L52,L48)-1)/(POWER(1+L52,L47)-1),4)</f>
        <v>#DIV/0!</v>
      </c>
      <c r="O58" s="2154" t="s">
        <v>1221</v>
      </c>
      <c r="P58" s="2148" t="s">
        <v>1253</v>
      </c>
      <c r="Q58" s="2188">
        <f>IF(L55="比较法",L49,IF(L55="基准地价",L50,0))</f>
        <v>0</v>
      </c>
      <c r="R58" s="2188" t="s">
        <v>1209</v>
      </c>
    </row>
    <row r="59" s="1215" customFormat="1" ht="24.75" spans="1:18">
      <c r="A59" s="1993" t="s">
        <v>847</v>
      </c>
      <c r="B59" s="2089" t="s">
        <v>1139</v>
      </c>
      <c r="C59" s="2017">
        <f ca="1">ROUND(IF(AND(项目基本情况!B11="自然人",项目基本情况!B10="北京市"),C49*F59/(1+'数据-取费表'!C42),C60+C61+C62),0)</f>
        <v>1075</v>
      </c>
      <c r="D59" s="2096" t="s">
        <v>1140</v>
      </c>
      <c r="E59" s="2097" t="s">
        <v>1141</v>
      </c>
      <c r="F59" s="2019" t="str">
        <f ca="1">IF(项目基本情况!B11="企业","——",IF('数据-取费表'!B10="住宅",IF(F49*F50*F51/12/(1+'数据-取费表'!F30)&gt;100000,4%,2.5%),IF(F49*F50*F51/12/(1+'数据-取费表'!F30)&gt;100000,12%,7%)))</f>
        <v>——</v>
      </c>
      <c r="I59" s="2177" t="s">
        <v>1254</v>
      </c>
      <c r="J59" s="2178" t="str">
        <f ca="1">IF(OR(M47="住宅",J51&lt;L48,J56="是"),"——",ROUND(C29*J58,0))</f>
        <v>——</v>
      </c>
      <c r="K59" s="1277"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2151" t="e">
        <f ca="1">ROUND(IF(D1="在建（套用方法）",M59,IF(D1="土地（套用方法）",N59,POWER(1+L52,L47-J51)*(POWER(1+L52,J51)-1)/(POWER(1+L52,L47)-1))),4)</f>
        <v>#DIV/0!</v>
      </c>
      <c r="M59" s="2146" t="e">
        <f ca="1">ROUND(POWER(1+L52,L47-(J51+'数据-取费表'!B24))*(POWER(1+L52,(J51+'数据-取费表'!B24))-1)/(POWER(1+L52,L47)-1),4)</f>
        <v>#DIV/0!</v>
      </c>
      <c r="N59" s="2146" t="e">
        <f ca="1">ROUND(POWER(1+L52,L47-(J51+'数据-取费表'!B20))*(POWER(1+L52,(J51+'数据-取费表'!B20))-1)/(POWER(1+L52,L47)-1),4)</f>
        <v>#DIV/0!</v>
      </c>
      <c r="O59" s="2154" t="s">
        <v>1225</v>
      </c>
      <c r="P59" s="2148" t="s">
        <v>1255</v>
      </c>
      <c r="Q59" s="2189">
        <f>L52</f>
        <v>0</v>
      </c>
      <c r="R59" s="2188"/>
    </row>
    <row r="60" s="1215" customFormat="1" ht="17.55" spans="1:18">
      <c r="A60" s="1993" t="s">
        <v>870</v>
      </c>
      <c r="B60" s="2089" t="s">
        <v>1143</v>
      </c>
      <c r="C60" s="707">
        <f ca="1">IF(项目基本情况!B11="自然人","——",ROUND(C48*F60/(1+'数据-取费表'!C42),2))</f>
        <v>0</v>
      </c>
      <c r="D60" s="2097" t="s">
        <v>1144</v>
      </c>
      <c r="E60" s="2089" t="s">
        <v>1131</v>
      </c>
      <c r="F60" s="2009">
        <f t="shared" ref="F60:F66" si="0">F32</f>
        <v>0.055</v>
      </c>
      <c r="I60" s="2180" t="s">
        <v>1256</v>
      </c>
      <c r="J60" s="2181" t="str">
        <f ca="1">IF(OR(M47="住宅",J51&lt;L48,J56="是"),"0",ROUND(J59/(1+J52)^J53,0))</f>
        <v>0</v>
      </c>
      <c r="K60" s="2182" t="s">
        <v>1257</v>
      </c>
      <c r="L60" s="2181">
        <f ca="1">IF(OR(M47="住宅",L48&lt;J51),0,ROUND(L57*(L58/L59-1),0))</f>
        <v>0</v>
      </c>
      <c r="O60" s="2154" t="s">
        <v>1229</v>
      </c>
      <c r="P60" s="2148" t="s">
        <v>1258</v>
      </c>
      <c r="Q60" s="2188" t="e">
        <f ca="1">L58</f>
        <v>#DIV/0!</v>
      </c>
      <c r="R60" s="2188" t="s">
        <v>1259</v>
      </c>
    </row>
    <row r="61" s="1215" customFormat="1" ht="13.95" spans="1:18">
      <c r="A61" s="1993" t="s">
        <v>874</v>
      </c>
      <c r="B61" s="2089" t="s">
        <v>1147</v>
      </c>
      <c r="C61" s="707">
        <f ca="1">IF(项目基本情况!B11="自然人","——",IF(D61="按租金收入计税",ROUND(C49*F61/(1+'数据-取费表'!C42),2),IF(D61="按房产原值计税",ROUND(C57*F61*0.7,2),INDIRECT("'数据-取费表'!Aj"&amp;$G$1))))</f>
        <v>1072.6</v>
      </c>
      <c r="D61" s="2021" t="s">
        <v>1148</v>
      </c>
      <c r="E61" s="2089" t="s">
        <v>1131</v>
      </c>
      <c r="F61" s="2002">
        <f t="shared" si="0"/>
        <v>0.12</v>
      </c>
      <c r="I61" s="2037"/>
      <c r="J61" s="2037"/>
      <c r="K61" s="2037"/>
      <c r="L61" s="2037"/>
      <c r="O61" s="2154" t="s">
        <v>1233</v>
      </c>
      <c r="P61" s="2148" t="str">
        <f>K59</f>
        <v>续建工期及建筑物耐用年限下的土地年期修正系数Kn</v>
      </c>
      <c r="Q61" s="2188" t="e">
        <f ca="1">L59</f>
        <v>#DIV/0!</v>
      </c>
      <c r="R61" s="2188" t="s">
        <v>1260</v>
      </c>
    </row>
    <row r="62" s="1215" customFormat="1" ht="13.95" spans="1:18">
      <c r="A62" s="1993" t="s">
        <v>877</v>
      </c>
      <c r="B62" s="2098" t="s">
        <v>1151</v>
      </c>
      <c r="C62" s="2023">
        <f ca="1">IF(项目基本情况!B11="自然人","——",ROUND(F62*F63/10000,2))</f>
        <v>2.31</v>
      </c>
      <c r="D62" s="2099" t="s">
        <v>1152</v>
      </c>
      <c r="E62" s="2089" t="s">
        <v>1153</v>
      </c>
      <c r="F62" s="2008">
        <f t="shared" si="0"/>
        <v>1.5</v>
      </c>
      <c r="I62" s="2183" t="s">
        <v>1261</v>
      </c>
      <c r="J62" s="2184" t="s">
        <v>1262</v>
      </c>
      <c r="K62" s="2184" t="s">
        <v>1263</v>
      </c>
      <c r="L62" s="2184" t="s">
        <v>1264</v>
      </c>
      <c r="M62" s="2185" t="s">
        <v>1265</v>
      </c>
      <c r="O62" s="2147" t="s">
        <v>1057</v>
      </c>
      <c r="P62" s="2148" t="s">
        <v>1239</v>
      </c>
      <c r="Q62" s="2188">
        <f ca="1">Q56+Q57</f>
        <v>17439</v>
      </c>
      <c r="R62" s="2188" t="s">
        <v>1240</v>
      </c>
    </row>
    <row r="63" s="1215" customFormat="1" ht="13.95" spans="1:18">
      <c r="A63" s="2006"/>
      <c r="B63" s="2100"/>
      <c r="C63" s="2027"/>
      <c r="D63" s="2101"/>
      <c r="E63" s="2089" t="s">
        <v>1157</v>
      </c>
      <c r="F63" s="1963">
        <f ca="1" t="shared" si="0"/>
        <v>15415.9</v>
      </c>
      <c r="I63" s="2183" t="s">
        <v>1266</v>
      </c>
      <c r="J63" s="2184">
        <v>70</v>
      </c>
      <c r="K63" s="2184">
        <v>50</v>
      </c>
      <c r="L63" s="2184">
        <v>80</v>
      </c>
      <c r="M63" s="2186">
        <v>0.02</v>
      </c>
      <c r="O63" s="2135" t="s">
        <v>1267</v>
      </c>
      <c r="P63" s="2170"/>
      <c r="Q63" s="2170"/>
      <c r="R63" s="2170"/>
    </row>
    <row r="64" s="1215" customFormat="1" ht="13.95" spans="1:18">
      <c r="A64" s="1993" t="s">
        <v>851</v>
      </c>
      <c r="B64" s="2089" t="s">
        <v>1159</v>
      </c>
      <c r="C64" s="707">
        <f ca="1">ROUND(C57*F64,1)</f>
        <v>127.7</v>
      </c>
      <c r="D64" s="2097" t="s">
        <v>1193</v>
      </c>
      <c r="E64" s="2089" t="s">
        <v>1131</v>
      </c>
      <c r="F64" s="2030">
        <f ca="1" t="shared" si="0"/>
        <v>0.01</v>
      </c>
      <c r="I64" s="2183" t="s">
        <v>1268</v>
      </c>
      <c r="J64" s="2184">
        <v>50</v>
      </c>
      <c r="K64" s="2184">
        <v>35</v>
      </c>
      <c r="L64" s="2184">
        <v>60</v>
      </c>
      <c r="M64" s="2185">
        <v>0</v>
      </c>
      <c r="O64" s="2140" t="s">
        <v>1201</v>
      </c>
      <c r="P64" s="2141" t="s">
        <v>1202</v>
      </c>
      <c r="Q64" s="2187" t="s">
        <v>1203</v>
      </c>
      <c r="R64" s="2187" t="s">
        <v>1204</v>
      </c>
    </row>
    <row r="65" s="1215" customFormat="1" ht="13.95" spans="1:18">
      <c r="A65" s="1993" t="s">
        <v>896</v>
      </c>
      <c r="B65" s="2089" t="s">
        <v>1163</v>
      </c>
      <c r="C65" s="707">
        <f ca="1">ROUND(C56*F65,1)</f>
        <v>19.2</v>
      </c>
      <c r="D65" s="2097" t="s">
        <v>1164</v>
      </c>
      <c r="E65" s="2089" t="s">
        <v>1131</v>
      </c>
      <c r="F65" s="2031">
        <f ca="1" t="shared" si="0"/>
        <v>0.0015</v>
      </c>
      <c r="I65" s="2183" t="s">
        <v>1269</v>
      </c>
      <c r="J65" s="2184">
        <v>40</v>
      </c>
      <c r="K65" s="2184">
        <v>30</v>
      </c>
      <c r="L65" s="2184">
        <v>50</v>
      </c>
      <c r="M65" s="2186">
        <v>0.02</v>
      </c>
      <c r="O65" s="2147" t="s">
        <v>953</v>
      </c>
      <c r="P65" s="2148" t="s">
        <v>1208</v>
      </c>
      <c r="Q65" s="2188">
        <f ca="1">C40+J29</f>
        <v>17439</v>
      </c>
      <c r="R65" s="2188" t="s">
        <v>1209</v>
      </c>
    </row>
    <row r="66" s="1215" customFormat="1" ht="17.55" spans="1:18">
      <c r="A66" s="1993" t="s">
        <v>899</v>
      </c>
      <c r="B66" s="2089" t="s">
        <v>1149</v>
      </c>
      <c r="C66" s="707">
        <f ca="1">ROUND(C48*F66,1)</f>
        <v>0</v>
      </c>
      <c r="D66" s="2097" t="s">
        <v>1167</v>
      </c>
      <c r="E66" s="2089" t="s">
        <v>1131</v>
      </c>
      <c r="F66" s="1972">
        <f ca="1" t="shared" si="0"/>
        <v>0.01</v>
      </c>
      <c r="O66" s="2147" t="s">
        <v>956</v>
      </c>
      <c r="P66" s="2148" t="s">
        <v>1249</v>
      </c>
      <c r="Q66" s="2188">
        <f ca="1">L60</f>
        <v>0</v>
      </c>
      <c r="R66" s="2188" t="s">
        <v>1250</v>
      </c>
    </row>
    <row r="67" s="1215" customFormat="1" ht="24.75" spans="1:18">
      <c r="A67" s="2084" t="s">
        <v>1170</v>
      </c>
      <c r="B67" s="2190" t="s">
        <v>1171</v>
      </c>
      <c r="C67" s="706">
        <f ca="1">C48-C58</f>
        <v>-1222</v>
      </c>
      <c r="D67" s="2096" t="s">
        <v>1172</v>
      </c>
      <c r="E67" s="2191"/>
      <c r="F67" s="2192"/>
      <c r="O67" s="2154" t="s">
        <v>1221</v>
      </c>
      <c r="P67" s="2148" t="s">
        <v>1253</v>
      </c>
      <c r="Q67" s="2212">
        <f ca="1">L51</f>
        <v>4452</v>
      </c>
      <c r="R67" s="2188" t="s">
        <v>1270</v>
      </c>
    </row>
    <row r="68" s="1215" customFormat="1" ht="17.55" spans="1:18">
      <c r="A68" s="2193" t="s">
        <v>1176</v>
      </c>
      <c r="B68" s="2194" t="s">
        <v>1194</v>
      </c>
      <c r="C68" s="2036">
        <f ca="1">ROUND(C67*(1-((1+F70)/(1+F68))^F69)/(F68-F70),0)</f>
        <v>-18876</v>
      </c>
      <c r="D68" s="2099" t="s">
        <v>1178</v>
      </c>
      <c r="E68" s="2089" t="s">
        <v>1179</v>
      </c>
      <c r="F68" s="1972">
        <f ca="1">F40</f>
        <v>0.055</v>
      </c>
      <c r="O68" s="2154" t="s">
        <v>1225</v>
      </c>
      <c r="P68" s="2211" t="s">
        <v>1271</v>
      </c>
      <c r="Q68" s="2188">
        <f ca="1">ROUND(Q69-Q70*Q71,0)</f>
        <v>235</v>
      </c>
      <c r="R68" s="2188" t="s">
        <v>1272</v>
      </c>
    </row>
    <row r="69" s="1215" customFormat="1" ht="13.95" spans="1:18">
      <c r="A69" s="2195"/>
      <c r="B69" s="2196"/>
      <c r="C69" s="1970"/>
      <c r="D69" s="2197" t="s">
        <v>1182</v>
      </c>
      <c r="E69" s="2089" t="s">
        <v>1183</v>
      </c>
      <c r="F69" s="2040">
        <f ca="1">F41</f>
        <v>35.38</v>
      </c>
      <c r="O69" s="2154" t="s">
        <v>1273</v>
      </c>
      <c r="P69" s="2211" t="s">
        <v>1274</v>
      </c>
      <c r="Q69" s="2188">
        <f ca="1">C39</f>
        <v>1129</v>
      </c>
      <c r="R69" s="2188" t="s">
        <v>1209</v>
      </c>
    </row>
    <row r="70" s="1215" customFormat="1" ht="13.95" spans="1:18">
      <c r="A70" s="2198"/>
      <c r="B70" s="2199"/>
      <c r="C70" s="1990"/>
      <c r="D70" s="2101"/>
      <c r="E70" s="2089" t="s">
        <v>1186</v>
      </c>
      <c r="F70" s="2079"/>
      <c r="O70" s="2154" t="s">
        <v>1275</v>
      </c>
      <c r="P70" s="2211" t="s">
        <v>1276</v>
      </c>
      <c r="Q70" s="2188">
        <f ca="1">C13</f>
        <v>12769</v>
      </c>
      <c r="R70" s="2188" t="s">
        <v>1209</v>
      </c>
    </row>
    <row r="71" s="1215" customFormat="1" ht="13.95" spans="1:18">
      <c r="A71" s="2200" t="s">
        <v>1188</v>
      </c>
      <c r="B71" s="2201" t="s">
        <v>1195</v>
      </c>
      <c r="C71" s="2044">
        <f ca="1">ROUND(C68*10000/F71,0)</f>
        <v>-10002</v>
      </c>
      <c r="D71" s="2202" t="s">
        <v>1196</v>
      </c>
      <c r="E71" s="2203" t="s">
        <v>1197</v>
      </c>
      <c r="F71" s="2047">
        <f ca="1">F43</f>
        <v>18872.33</v>
      </c>
      <c r="O71" s="2154" t="s">
        <v>1277</v>
      </c>
      <c r="P71" s="2211" t="s">
        <v>1278</v>
      </c>
      <c r="Q71" s="2189">
        <f ca="1">C76</f>
        <v>0.07</v>
      </c>
      <c r="R71" s="2188"/>
    </row>
    <row r="72" s="1215" customFormat="1" ht="13.95" spans="2:18">
      <c r="B72" s="742"/>
      <c r="C72" s="742"/>
      <c r="O72" s="2154" t="s">
        <v>1229</v>
      </c>
      <c r="P72" s="2148" t="s">
        <v>1255</v>
      </c>
      <c r="Q72" s="2189">
        <f>L52</f>
        <v>0</v>
      </c>
      <c r="R72" s="2188"/>
    </row>
    <row r="73" ht="17.55" spans="1:18">
      <c r="A73" s="1215"/>
      <c r="B73" s="742"/>
      <c r="C73" s="742"/>
      <c r="D73" s="1215"/>
      <c r="E73" s="1215"/>
      <c r="F73" s="1215"/>
      <c r="O73" s="2154" t="s">
        <v>1233</v>
      </c>
      <c r="P73" s="2148" t="s">
        <v>1258</v>
      </c>
      <c r="Q73" s="2188" t="e">
        <f ca="1">L58</f>
        <v>#DIV/0!</v>
      </c>
      <c r="R73" s="2188" t="s">
        <v>1259</v>
      </c>
    </row>
    <row r="74" ht="13.95" spans="1:18">
      <c r="A74" s="1215"/>
      <c r="B74" s="640" t="s">
        <v>1279</v>
      </c>
      <c r="C74" s="2204"/>
      <c r="D74" s="1215"/>
      <c r="E74" s="1215"/>
      <c r="F74" s="1215"/>
      <c r="O74" s="2154" t="s">
        <v>1280</v>
      </c>
      <c r="P74" s="2148" t="str">
        <f>K59</f>
        <v>续建工期及建筑物耐用年限下的土地年期修正系数Kn</v>
      </c>
      <c r="Q74" s="2188" t="e">
        <f ca="1">L59</f>
        <v>#DIV/0!</v>
      </c>
      <c r="R74" s="2188" t="s">
        <v>1260</v>
      </c>
    </row>
    <row r="75" ht="13.95" spans="1:18">
      <c r="A75" s="1215"/>
      <c r="B75" s="2205" t="s">
        <v>1281</v>
      </c>
      <c r="C75" s="2206">
        <f ca="1">ROUND(C13*C76,0)</f>
        <v>894</v>
      </c>
      <c r="D75" s="1215"/>
      <c r="E75" s="1215"/>
      <c r="F75" s="1215"/>
      <c r="K75" s="2134"/>
      <c r="L75" s="1215"/>
      <c r="O75" s="2147" t="s">
        <v>1057</v>
      </c>
      <c r="P75" s="2148" t="s">
        <v>1239</v>
      </c>
      <c r="Q75" s="2188">
        <f ca="1">Q65+Q66</f>
        <v>17439</v>
      </c>
      <c r="R75" s="2188" t="s">
        <v>1240</v>
      </c>
    </row>
    <row r="76" spans="2:12">
      <c r="B76" s="1027" t="s">
        <v>1282</v>
      </c>
      <c r="C76" s="2207">
        <f ca="1">INDIRECT("'数据-取费表'!j"&amp;$G$1)</f>
        <v>0.07</v>
      </c>
      <c r="I76" s="1215"/>
      <c r="J76" s="1215"/>
      <c r="K76" s="2134"/>
      <c r="L76" s="1215"/>
    </row>
    <row r="77" spans="2:12">
      <c r="B77" s="2208" t="s">
        <v>1283</v>
      </c>
      <c r="C77" s="2209"/>
      <c r="I77" s="1215"/>
      <c r="J77" s="1215"/>
      <c r="K77" s="2134"/>
      <c r="L77" s="1215"/>
    </row>
    <row r="78" spans="2:3">
      <c r="B78" s="638" t="s">
        <v>1284</v>
      </c>
      <c r="C78" s="2210"/>
    </row>
    <row r="79" spans="2:3">
      <c r="B79" s="2205" t="s">
        <v>1285</v>
      </c>
      <c r="C79" s="641">
        <f ca="1">1-C80</f>
        <v>0.208</v>
      </c>
    </row>
    <row r="80" spans="2:3">
      <c r="B80" s="2205" t="s">
        <v>1286</v>
      </c>
      <c r="C80" s="641">
        <f ca="1">ROUND(C75/C39,3)</f>
        <v>0.792</v>
      </c>
    </row>
    <row r="81" spans="2:3">
      <c r="B81" s="638" t="s">
        <v>1287</v>
      </c>
      <c r="C81" s="605"/>
    </row>
    <row r="82" spans="2:3">
      <c r="B82" s="640" t="s">
        <v>1033</v>
      </c>
      <c r="C82" s="642">
        <f ca="1">1-C83</f>
        <v>0.268</v>
      </c>
    </row>
    <row r="83" spans="2:3">
      <c r="B83" s="640" t="s">
        <v>1034</v>
      </c>
      <c r="C83" s="641">
        <f ca="1">ROUND(C13/C40,3)</f>
        <v>0.732</v>
      </c>
    </row>
  </sheetData>
  <sheetProtection formatCells="0" formatColumns="0" formatRows="0"/>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J47">
      <formula1>"钢,钢混,砖混"</formula1>
    </dataValidation>
    <dataValidation type="list" allowBlank="1" showInputMessage="1" showErrorMessage="1" sqref="K19">
      <formula1>"按租金收入计税,按房产原值计税"</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F33" sqref="F33"/>
    </sheetView>
  </sheetViews>
  <sheetFormatPr defaultColWidth="9" defaultRowHeight="13.2"/>
  <cols>
    <col min="1" max="1" width="9" style="555" customWidth="1"/>
    <col min="2" max="2" width="20.6666666666667" style="643" customWidth="1"/>
    <col min="3" max="3" width="11.8888888888889" style="643" customWidth="1"/>
    <col min="4" max="4" width="40.4444444444444" style="555" customWidth="1"/>
    <col min="5" max="5" width="15.7777777777778" style="555" customWidth="1"/>
    <col min="6" max="6" width="10.6666666666667" style="555" customWidth="1"/>
    <col min="7" max="7" width="4.88888888888889" style="555" customWidth="1"/>
    <col min="8" max="8" width="8.44444444444444" style="555" customWidth="1"/>
    <col min="9" max="9" width="21.2222222222222" style="555" customWidth="1"/>
    <col min="10" max="10" width="12.2222222222222" style="555" customWidth="1"/>
    <col min="11" max="11" width="40.1111111111111" style="1930" customWidth="1"/>
    <col min="12" max="12" width="16.3333333333333" style="555" customWidth="1"/>
    <col min="13" max="13" width="13" style="555" customWidth="1"/>
    <col min="14" max="14" width="13.7777777777778" style="1215" customWidth="1"/>
    <col min="15" max="15" width="5.11111111111111" style="1215" customWidth="1"/>
    <col min="16" max="16" width="25.7777777777778" style="1215" customWidth="1"/>
    <col min="17" max="17" width="13.7777777777778" style="1215" customWidth="1"/>
    <col min="18" max="18" width="20.4444444444444" style="1215" customWidth="1"/>
    <col min="19" max="19" width="13.2222222222222" style="1215" customWidth="1"/>
    <col min="20" max="37" width="9" style="1215"/>
    <col min="38" max="16384" width="9" style="555"/>
  </cols>
  <sheetData>
    <row r="1" s="1928" customFormat="1" ht="21" spans="1:37">
      <c r="A1" s="1931" t="s">
        <v>1094</v>
      </c>
      <c r="B1" s="282"/>
      <c r="C1" s="1932"/>
      <c r="D1" s="1933"/>
      <c r="E1" s="1934" t="s">
        <v>1096</v>
      </c>
      <c r="F1" s="1935">
        <f ca="1">J53</f>
        <v>-0.3</v>
      </c>
      <c r="G1" s="1936">
        <f>MATCH(C1,'数据-取费表'!A6:A16,0)+5</f>
        <v>7</v>
      </c>
      <c r="H1" s="1937"/>
      <c r="I1" s="2102"/>
      <c r="J1" s="2102"/>
      <c r="K1" s="2103"/>
      <c r="L1" s="2102"/>
      <c r="M1" s="2102"/>
      <c r="N1" s="2104"/>
      <c r="O1" s="2104"/>
      <c r="P1" s="2104"/>
      <c r="Q1" s="2104"/>
      <c r="R1" s="2104"/>
      <c r="S1" s="2104"/>
      <c r="T1" s="2104"/>
      <c r="U1" s="2104"/>
      <c r="V1" s="2104"/>
      <c r="W1" s="2104"/>
      <c r="X1" s="2104"/>
      <c r="Y1" s="2104"/>
      <c r="Z1" s="2104"/>
      <c r="AA1" s="2104"/>
      <c r="AB1" s="2104"/>
      <c r="AC1" s="2104"/>
      <c r="AD1" s="2104"/>
      <c r="AE1" s="2104"/>
      <c r="AF1" s="2104"/>
      <c r="AG1" s="2104"/>
      <c r="AH1" s="2104"/>
      <c r="AI1" s="2104"/>
      <c r="AJ1" s="2104"/>
      <c r="AK1" s="2104"/>
    </row>
    <row r="2" ht="18" customHeight="1" spans="1:13">
      <c r="A2" s="1752" t="s">
        <v>1097</v>
      </c>
      <c r="B2" s="1938" t="e">
        <f ca="1">ROUND(D2/10000,0)</f>
        <v>#DIV/0!</v>
      </c>
      <c r="C2" s="1939" t="s">
        <v>1098</v>
      </c>
      <c r="D2" s="1940" t="e">
        <f ca="1">C40+J29+L46</f>
        <v>#DIV/0!</v>
      </c>
      <c r="E2" s="1941" t="s">
        <v>1288</v>
      </c>
      <c r="F2" s="1942"/>
      <c r="G2" s="1943"/>
      <c r="H2" s="1944"/>
      <c r="I2" s="1944"/>
      <c r="J2" s="1944"/>
      <c r="K2" s="2105"/>
      <c r="L2" s="1944"/>
      <c r="M2" s="1944"/>
    </row>
    <row r="3" ht="18" customHeight="1" spans="1:13">
      <c r="A3" s="1945" t="s">
        <v>1099</v>
      </c>
      <c r="B3" s="1946">
        <f ca="1">IF(ISERROR(D2/F43),0,ROUND(D2/F43,0))</f>
        <v>0</v>
      </c>
      <c r="C3" s="1939" t="s">
        <v>1100</v>
      </c>
      <c r="D3" s="1939"/>
      <c r="E3" s="1941"/>
      <c r="F3" s="1942"/>
      <c r="G3" s="1943"/>
      <c r="H3" s="1947" t="s">
        <v>1101</v>
      </c>
      <c r="I3" s="2106"/>
      <c r="J3" s="2106"/>
      <c r="K3" s="2107"/>
      <c r="L3" s="2106"/>
      <c r="M3" s="2106"/>
    </row>
    <row r="4" ht="18" customHeight="1" spans="1:13">
      <c r="A4" s="1948" t="s">
        <v>1102</v>
      </c>
      <c r="B4" s="1949" t="s">
        <v>1103</v>
      </c>
      <c r="C4" s="1949" t="s">
        <v>1104</v>
      </c>
      <c r="D4" s="1949" t="s">
        <v>1105</v>
      </c>
      <c r="E4" s="1950" t="s">
        <v>1106</v>
      </c>
      <c r="F4" s="1951"/>
      <c r="G4" s="1215"/>
      <c r="H4" s="1948" t="s">
        <v>1102</v>
      </c>
      <c r="I4" s="1949" t="s">
        <v>1103</v>
      </c>
      <c r="J4" s="1949" t="s">
        <v>1104</v>
      </c>
      <c r="K4" s="1949" t="s">
        <v>1105</v>
      </c>
      <c r="L4" s="1950" t="s">
        <v>1106</v>
      </c>
      <c r="M4" s="1951"/>
    </row>
    <row r="5" ht="18" customHeight="1" spans="1:13">
      <c r="A5" s="1952">
        <v>1</v>
      </c>
      <c r="B5" s="1953" t="s">
        <v>1107</v>
      </c>
      <c r="C5" s="1954">
        <f ca="1">C6+C10+C12</f>
        <v>0</v>
      </c>
      <c r="D5" s="1955" t="s">
        <v>1108</v>
      </c>
      <c r="E5" s="1956"/>
      <c r="F5" s="1957"/>
      <c r="G5" s="1215"/>
      <c r="H5" s="1952">
        <v>1</v>
      </c>
      <c r="I5" s="1953" t="s">
        <v>1107</v>
      </c>
      <c r="J5" s="1954">
        <f ca="1">J6+J10+J12</f>
        <v>0</v>
      </c>
      <c r="K5" s="1955" t="s">
        <v>1108</v>
      </c>
      <c r="L5" s="1956"/>
      <c r="M5" s="1957"/>
    </row>
    <row r="6" ht="18" customHeight="1" spans="1:13">
      <c r="A6" s="1958" t="s">
        <v>847</v>
      </c>
      <c r="B6" s="1959" t="s">
        <v>1109</v>
      </c>
      <c r="C6" s="1960">
        <f ca="1">ROUND(F6*F8*F7*(1-F9),0)</f>
        <v>0</v>
      </c>
      <c r="D6" s="1961" t="s">
        <v>1289</v>
      </c>
      <c r="E6" s="1962" t="s">
        <v>1111</v>
      </c>
      <c r="F6" s="1963">
        <f ca="1">INDIRECT("'数据-取费表'!u"&amp;$G$1)</f>
        <v>0</v>
      </c>
      <c r="G6" s="1215"/>
      <c r="H6" s="1958" t="s">
        <v>847</v>
      </c>
      <c r="I6" s="1959" t="s">
        <v>1109</v>
      </c>
      <c r="J6" s="2036">
        <f ca="1">ROUND(M6*M8*M7*(1-M9),0)</f>
        <v>0</v>
      </c>
      <c r="K6" s="2108" t="s">
        <v>1290</v>
      </c>
      <c r="L6" s="1962" t="s">
        <v>1111</v>
      </c>
      <c r="M6" s="1963">
        <f ca="1">INDIRECT("'数据-取费表'!z"&amp;$G$1)</f>
        <v>0</v>
      </c>
    </row>
    <row r="7" ht="18" customHeight="1" spans="1:13">
      <c r="A7" s="1964"/>
      <c r="B7" s="1965"/>
      <c r="C7" s="1966"/>
      <c r="D7" s="1967"/>
      <c r="E7" s="1968" t="s">
        <v>1113</v>
      </c>
      <c r="F7" s="1963">
        <f ca="1">IF(INDIRECT("'数据-取费表'!ah"&amp;$G$1)="",INDIRECT("'数据-取费表'!k"&amp;$G$1),INDIRECT("'数据-取费表'!ah"&amp;$G$1))</f>
        <v>0</v>
      </c>
      <c r="G7" s="1215"/>
      <c r="H7" s="1969"/>
      <c r="I7" s="1965"/>
      <c r="J7" s="1970"/>
      <c r="K7" s="1967"/>
      <c r="L7" s="1962" t="s">
        <v>1113</v>
      </c>
      <c r="M7" s="1963">
        <f ca="1">F7</f>
        <v>0</v>
      </c>
    </row>
    <row r="8" ht="18" customHeight="1" spans="1:13">
      <c r="A8" s="1969"/>
      <c r="B8" s="1965"/>
      <c r="C8" s="1970"/>
      <c r="D8" s="1967"/>
      <c r="E8" s="1962" t="s">
        <v>1114</v>
      </c>
      <c r="F8" s="1963">
        <f ca="1">INDIRECT("'数据-取费表'!ai"&amp;$G$1)</f>
        <v>0</v>
      </c>
      <c r="G8" s="1215"/>
      <c r="H8" s="1969"/>
      <c r="I8" s="1965"/>
      <c r="J8" s="1970"/>
      <c r="K8" s="1967"/>
      <c r="L8" s="1962" t="s">
        <v>1114</v>
      </c>
      <c r="M8" s="1963">
        <f ca="1">INDIRECT("'数据-取费表'!ai"&amp;$G$1)</f>
        <v>0</v>
      </c>
    </row>
    <row r="9" ht="18" customHeight="1" spans="1:13">
      <c r="A9" s="1969"/>
      <c r="B9" s="1971"/>
      <c r="C9" s="1970"/>
      <c r="D9" s="1967"/>
      <c r="E9" s="1962" t="s">
        <v>1115</v>
      </c>
      <c r="F9" s="1972">
        <f ca="1">INDIRECT("'数据-取费表'!w"&amp;$G$1)</f>
        <v>0</v>
      </c>
      <c r="G9" s="1215"/>
      <c r="H9" s="1969"/>
      <c r="I9" s="1971"/>
      <c r="J9" s="1970"/>
      <c r="K9" s="1967"/>
      <c r="L9" s="1975" t="s">
        <v>1115</v>
      </c>
      <c r="M9" s="1980">
        <f ca="1">INDIRECT("'数据-取费表'!ab"&amp;$G$1)</f>
        <v>0</v>
      </c>
    </row>
    <row r="10" ht="18" customHeight="1" spans="1:13">
      <c r="A10" s="1958" t="s">
        <v>851</v>
      </c>
      <c r="B10" s="1973" t="s">
        <v>1116</v>
      </c>
      <c r="C10" s="706">
        <f ca="1">ROUND(IF(F10="押一",C6/12*F11,IF(F10="押二",C6/12*2*F11,IF(F10="押三",C6/12*3*F11,C11*F11))),0)</f>
        <v>0</v>
      </c>
      <c r="D10" s="1974" t="s">
        <v>1117</v>
      </c>
      <c r="E10" s="1975" t="s">
        <v>1118</v>
      </c>
      <c r="F10" s="1976"/>
      <c r="G10" s="1215"/>
      <c r="H10" s="1958" t="s">
        <v>851</v>
      </c>
      <c r="I10" s="1973" t="s">
        <v>1116</v>
      </c>
      <c r="J10" s="2036">
        <f ca="1">ROUND(IF(M10="押一",J6/12*M11,IF(M10="押二",J6/12*2*M11,IF(M10="押三",J6/12*3*M11,J11*M11))),0)</f>
        <v>0</v>
      </c>
      <c r="K10" s="2109" t="s">
        <v>1291</v>
      </c>
      <c r="L10" s="1975" t="s">
        <v>1118</v>
      </c>
      <c r="M10" s="1976"/>
    </row>
    <row r="11" ht="18" customHeight="1" spans="1:13">
      <c r="A11" s="1977"/>
      <c r="B11" s="1978" t="s">
        <v>1292</v>
      </c>
      <c r="C11" s="1979"/>
      <c r="D11" s="1967"/>
      <c r="E11" s="1975" t="s">
        <v>1122</v>
      </c>
      <c r="F11" s="1980">
        <f ca="1">'数据-取费表'!B39</f>
        <v>0.015</v>
      </c>
      <c r="G11" s="1215"/>
      <c r="H11" s="1981"/>
      <c r="I11" s="1978" t="s">
        <v>1293</v>
      </c>
      <c r="J11" s="1979"/>
      <c r="K11" s="2110"/>
      <c r="L11" s="1975" t="s">
        <v>1122</v>
      </c>
      <c r="M11" s="2111">
        <f ca="1">'数据-取费表'!B39</f>
        <v>0.015</v>
      </c>
    </row>
    <row r="12" ht="18" customHeight="1" spans="1:13">
      <c r="A12" s="1982" t="s">
        <v>896</v>
      </c>
      <c r="B12" s="1983" t="s">
        <v>1123</v>
      </c>
      <c r="C12" s="1984"/>
      <c r="D12" s="1985"/>
      <c r="E12" s="1986"/>
      <c r="F12" s="1987"/>
      <c r="G12" s="1215"/>
      <c r="H12" s="1982" t="s">
        <v>896</v>
      </c>
      <c r="I12" s="1983" t="s">
        <v>1123</v>
      </c>
      <c r="J12" s="1984"/>
      <c r="K12" s="2112"/>
      <c r="L12" s="1986"/>
      <c r="M12" s="2113"/>
    </row>
    <row r="13" ht="18" customHeight="1" spans="1:13">
      <c r="A13" s="1988">
        <v>2</v>
      </c>
      <c r="B13" s="1989" t="s">
        <v>1124</v>
      </c>
      <c r="C13" s="1990">
        <f ca="1">ROUND(C29*F13,0)</f>
        <v>0</v>
      </c>
      <c r="D13" s="1991" t="s">
        <v>1125</v>
      </c>
      <c r="E13" s="1991" t="s">
        <v>1126</v>
      </c>
      <c r="F13" s="1992">
        <f ca="1">INDIRECT("'数据-取费表'!y"&amp;$G$1)</f>
        <v>0</v>
      </c>
      <c r="G13" s="1215"/>
      <c r="H13" s="1988">
        <v>2</v>
      </c>
      <c r="I13" s="1989" t="s">
        <v>1124</v>
      </c>
      <c r="J13" s="2114">
        <f ca="1">ROUND(J14*J15,0)</f>
        <v>0</v>
      </c>
      <c r="K13" s="2014" t="s">
        <v>1125</v>
      </c>
      <c r="L13" s="2115"/>
      <c r="M13" s="2116"/>
    </row>
    <row r="14" ht="18" customHeight="1" spans="1:13">
      <c r="A14" s="1993" t="s">
        <v>870</v>
      </c>
      <c r="B14" s="1962" t="s">
        <v>1127</v>
      </c>
      <c r="C14" s="1994">
        <f ca="1">ROUND(INDIRECT("'数据-取费表'!l"&amp;$G$1)*F43+'数据-取费表'!L14*INDIRECT("'数据-取费表'!S"&amp;$G$1),0)</f>
        <v>0</v>
      </c>
      <c r="D14" s="1995" t="s">
        <v>1128</v>
      </c>
      <c r="E14" s="1996"/>
      <c r="F14" s="1997"/>
      <c r="G14" s="1215"/>
      <c r="H14" s="1993" t="s">
        <v>847</v>
      </c>
      <c r="I14" s="1962" t="s">
        <v>1129</v>
      </c>
      <c r="J14" s="707">
        <f ca="1">C29</f>
        <v>0</v>
      </c>
      <c r="K14" s="2117"/>
      <c r="L14" s="2118"/>
      <c r="M14" s="2119"/>
    </row>
    <row r="15" s="1929" customFormat="1" ht="18" customHeight="1" spans="1:37">
      <c r="A15" s="1993" t="s">
        <v>874</v>
      </c>
      <c r="B15" s="1962" t="s">
        <v>1055</v>
      </c>
      <c r="C15" s="707">
        <f ca="1">ROUND(C14*F15,0)</f>
        <v>0</v>
      </c>
      <c r="D15" s="1998" t="s">
        <v>1130</v>
      </c>
      <c r="E15" s="1998" t="s">
        <v>1131</v>
      </c>
      <c r="F15" s="1999">
        <f>'数据-取费表'!B33</f>
        <v>0.03</v>
      </c>
      <c r="G15" s="2000"/>
      <c r="H15" s="2001" t="s">
        <v>851</v>
      </c>
      <c r="I15" s="1986" t="s">
        <v>1126</v>
      </c>
      <c r="J15" s="2113">
        <f ca="1">INDIRECT("'数据-取费表'!ad"&amp;$G$1)</f>
        <v>0</v>
      </c>
      <c r="K15" s="2120"/>
      <c r="L15" s="2121"/>
      <c r="M15" s="2122"/>
      <c r="N15" s="2000"/>
      <c r="O15" s="2000"/>
      <c r="P15" s="2000"/>
      <c r="Q15" s="2000"/>
      <c r="R15" s="2000"/>
      <c r="S15" s="2000"/>
      <c r="T15" s="2000"/>
      <c r="U15" s="2000"/>
      <c r="V15" s="2000"/>
      <c r="W15" s="2000"/>
      <c r="X15" s="2000"/>
      <c r="Y15" s="2000"/>
      <c r="Z15" s="2000"/>
      <c r="AA15" s="2000"/>
      <c r="AB15" s="2000"/>
      <c r="AC15" s="2000"/>
      <c r="AD15" s="2000"/>
      <c r="AE15" s="2000"/>
      <c r="AF15" s="2000"/>
      <c r="AG15" s="2000"/>
      <c r="AH15" s="2000"/>
      <c r="AI15" s="2000"/>
      <c r="AJ15" s="2000"/>
      <c r="AK15" s="2000"/>
    </row>
    <row r="16" ht="18" customHeight="1" spans="1:13">
      <c r="A16" s="1993" t="s">
        <v>877</v>
      </c>
      <c r="B16" s="1962" t="s">
        <v>1058</v>
      </c>
      <c r="C16" s="707">
        <f ca="1">ROUND(INDIRECT("'数据-取费表'!l"&amp;$G$1)*F43*F16,0)</f>
        <v>0</v>
      </c>
      <c r="D16" s="1962" t="s">
        <v>1130</v>
      </c>
      <c r="E16" s="1962" t="s">
        <v>1131</v>
      </c>
      <c r="F16" s="2002">
        <f ca="1">IF(INDIRECT("'数据-取费表'!c"&amp;$G$1)="住宅",'数据-取费表'!B34,0)</f>
        <v>0</v>
      </c>
      <c r="G16" s="1215"/>
      <c r="H16" s="1988" t="s">
        <v>1132</v>
      </c>
      <c r="I16" s="1989" t="s">
        <v>1133</v>
      </c>
      <c r="J16" s="1990">
        <f ca="1">ROUND(J17+J22+J23+J24,0)</f>
        <v>0</v>
      </c>
      <c r="K16" s="2014" t="s">
        <v>1134</v>
      </c>
      <c r="L16" s="2015"/>
      <c r="M16" s="1957"/>
    </row>
    <row r="17" s="1929" customFormat="1" ht="18" customHeight="1" spans="1:37">
      <c r="A17" s="1993" t="s">
        <v>1135</v>
      </c>
      <c r="B17" s="1962" t="s">
        <v>1136</v>
      </c>
      <c r="C17" s="707">
        <f ca="1">ROUND(F17*(F43+INDIRECT("'数据-取费表'!S"&amp;$G$1)),0)</f>
        <v>0</v>
      </c>
      <c r="D17" s="1962" t="s">
        <v>1137</v>
      </c>
      <c r="E17" s="1962" t="s">
        <v>1138</v>
      </c>
      <c r="F17" s="2003">
        <f>'数据-取费表'!B35</f>
        <v>200</v>
      </c>
      <c r="G17" s="2000"/>
      <c r="H17" s="1993" t="s">
        <v>847</v>
      </c>
      <c r="I17" s="1962" t="s">
        <v>1139</v>
      </c>
      <c r="J17" s="2017">
        <f ca="1">ROUND(IF(AND(项目基本情况!B11="自然人",项目基本情况!B10="北京市"),J6*M17/(1+'数据-取费表'!C42),J18+J19+J20),0)</f>
        <v>0</v>
      </c>
      <c r="K17" s="1995" t="s">
        <v>1140</v>
      </c>
      <c r="L17" s="2018" t="s">
        <v>1141</v>
      </c>
      <c r="M17" s="2019" t="str">
        <f ca="1">IF(项目基本情况!B11="企业","",IF('数据-取费表'!B10="住宅",IF(M6*M7*M8/12/(1+'数据-取费表'!F30)&gt;100000,4%,2.5%),IF(M6*M7*M8/12/(1+'数据-取费表'!F30)&gt;100000,12%,7%)))</f>
        <v/>
      </c>
      <c r="N17" s="2000"/>
      <c r="O17" s="2000"/>
      <c r="P17" s="2000"/>
      <c r="Q17" s="2000"/>
      <c r="R17" s="2000"/>
      <c r="S17" s="2000"/>
      <c r="T17" s="2000"/>
      <c r="U17" s="2000"/>
      <c r="V17" s="2000"/>
      <c r="W17" s="2000"/>
      <c r="X17" s="2000"/>
      <c r="Y17" s="2000"/>
      <c r="Z17" s="2000"/>
      <c r="AA17" s="2000"/>
      <c r="AB17" s="2000"/>
      <c r="AC17" s="2000"/>
      <c r="AD17" s="2000"/>
      <c r="AE17" s="2000"/>
      <c r="AF17" s="2000"/>
      <c r="AG17" s="2000"/>
      <c r="AH17" s="2000"/>
      <c r="AI17" s="2000"/>
      <c r="AJ17" s="2000"/>
      <c r="AK17" s="2000"/>
    </row>
    <row r="18" s="1929" customFormat="1" ht="18" customHeight="1" spans="1:37">
      <c r="A18" s="1993" t="s">
        <v>1142</v>
      </c>
      <c r="B18" s="1962" t="s">
        <v>1064</v>
      </c>
      <c r="C18" s="707">
        <f ca="1">ROUND(C14*F18,0)</f>
        <v>0</v>
      </c>
      <c r="D18" s="1962" t="s">
        <v>1130</v>
      </c>
      <c r="E18" s="1962" t="s">
        <v>1131</v>
      </c>
      <c r="F18" s="2002">
        <f>'数据-取费表'!B36</f>
        <v>0.015</v>
      </c>
      <c r="G18" s="2000"/>
      <c r="H18" s="1993" t="s">
        <v>870</v>
      </c>
      <c r="I18" s="1962" t="s">
        <v>1143</v>
      </c>
      <c r="J18" s="707">
        <f ca="1">ROUND(J6*M18/(1+'数据-取费表'!C42),0)</f>
        <v>0</v>
      </c>
      <c r="K18" s="2018" t="s">
        <v>1144</v>
      </c>
      <c r="L18" s="1962" t="s">
        <v>1131</v>
      </c>
      <c r="M18" s="2002">
        <f>'数据-取费表'!B41</f>
        <v>0.055</v>
      </c>
      <c r="N18" s="2000"/>
      <c r="O18" s="2000"/>
      <c r="P18" s="2000"/>
      <c r="Q18" s="2000"/>
      <c r="R18" s="2000"/>
      <c r="S18" s="2000"/>
      <c r="T18" s="2000"/>
      <c r="U18" s="2000"/>
      <c r="V18" s="2000"/>
      <c r="W18" s="2000"/>
      <c r="X18" s="2000"/>
      <c r="Y18" s="2000"/>
      <c r="Z18" s="2000"/>
      <c r="AA18" s="2000"/>
      <c r="AB18" s="2000"/>
      <c r="AC18" s="2000"/>
      <c r="AD18" s="2000"/>
      <c r="AE18" s="2000"/>
      <c r="AF18" s="2000"/>
      <c r="AG18" s="2000"/>
      <c r="AH18" s="2000"/>
      <c r="AI18" s="2000"/>
      <c r="AJ18" s="2000"/>
      <c r="AK18" s="2000"/>
    </row>
    <row r="19" ht="18" customHeight="1" spans="1:13">
      <c r="A19" s="1993" t="s">
        <v>847</v>
      </c>
      <c r="B19" s="1962" t="s">
        <v>1145</v>
      </c>
      <c r="C19" s="707">
        <f ca="1">SUM(C14:C18)</f>
        <v>0</v>
      </c>
      <c r="D19" s="2004" t="s">
        <v>1146</v>
      </c>
      <c r="E19" s="709"/>
      <c r="F19" s="2003"/>
      <c r="G19" s="1215"/>
      <c r="H19" s="1993" t="s">
        <v>874</v>
      </c>
      <c r="I19" s="1962" t="s">
        <v>1147</v>
      </c>
      <c r="J19" s="707">
        <f ca="1">IF(K19="按租金收入计税",ROUND(J6*M19/(1+'数据-取费表'!C42),0),ROUND(C29*M19*0.7,0))</f>
        <v>0</v>
      </c>
      <c r="K19" s="2021" t="s">
        <v>1148</v>
      </c>
      <c r="L19" s="1962" t="s">
        <v>1131</v>
      </c>
      <c r="M19" s="2002">
        <f>IF(K19="按租金收入计税",'数据-取费表'!B51,'数据-取费表'!B50)</f>
        <v>0.012</v>
      </c>
    </row>
    <row r="20" s="1929" customFormat="1" ht="18" customHeight="1" spans="1:37">
      <c r="A20" s="1993" t="s">
        <v>851</v>
      </c>
      <c r="B20" s="1962" t="s">
        <v>1149</v>
      </c>
      <c r="C20" s="707">
        <f ca="1">ROUND(C19*F20,0)</f>
        <v>0</v>
      </c>
      <c r="D20" s="2005" t="s">
        <v>1150</v>
      </c>
      <c r="E20" s="1962" t="s">
        <v>1131</v>
      </c>
      <c r="F20" s="2002">
        <f>'数据-取费表'!B37</f>
        <v>0.02</v>
      </c>
      <c r="G20" s="2000"/>
      <c r="H20" s="1993" t="s">
        <v>877</v>
      </c>
      <c r="I20" s="1961" t="s">
        <v>1151</v>
      </c>
      <c r="J20" s="2023">
        <f ca="1">ROUND(M20*M21,0)</f>
        <v>0</v>
      </c>
      <c r="K20" s="2024" t="s">
        <v>1152</v>
      </c>
      <c r="L20" s="1962" t="s">
        <v>1153</v>
      </c>
      <c r="M20" s="2008">
        <f>'数据-取费表'!B52</f>
        <v>1.5</v>
      </c>
      <c r="N20" s="2000"/>
      <c r="O20" s="2000"/>
      <c r="P20" s="2000"/>
      <c r="Q20" s="2000"/>
      <c r="R20" s="2000"/>
      <c r="S20" s="2000"/>
      <c r="T20" s="2000"/>
      <c r="U20" s="2000"/>
      <c r="V20" s="2000"/>
      <c r="W20" s="2000"/>
      <c r="X20" s="2000"/>
      <c r="Y20" s="2000"/>
      <c r="Z20" s="2000"/>
      <c r="AA20" s="2000"/>
      <c r="AB20" s="2000"/>
      <c r="AC20" s="2000"/>
      <c r="AD20" s="2000"/>
      <c r="AE20" s="2000"/>
      <c r="AF20" s="2000"/>
      <c r="AG20" s="2000"/>
      <c r="AH20" s="2000"/>
      <c r="AI20" s="2000"/>
      <c r="AJ20" s="2000"/>
      <c r="AK20" s="2000"/>
    </row>
    <row r="21" s="1929" customFormat="1" ht="18" customHeight="1" spans="1:37">
      <c r="A21" s="1993" t="s">
        <v>896</v>
      </c>
      <c r="B21" s="1962" t="s">
        <v>1154</v>
      </c>
      <c r="C21" s="707" t="s">
        <v>124</v>
      </c>
      <c r="D21" s="2005" t="s">
        <v>1155</v>
      </c>
      <c r="E21" s="1962" t="s">
        <v>1156</v>
      </c>
      <c r="F21" s="2002">
        <f>'数据-取费表'!B38</f>
        <v>0.02</v>
      </c>
      <c r="G21" s="2000"/>
      <c r="H21" s="2006"/>
      <c r="I21" s="2123"/>
      <c r="J21" s="2027"/>
      <c r="K21" s="2028"/>
      <c r="L21" s="1962" t="s">
        <v>1157</v>
      </c>
      <c r="M21" s="1963">
        <f ca="1">INDIRECT("'数据-取费表'!r"&amp;$G$1)</f>
        <v>0</v>
      </c>
      <c r="N21" s="2000"/>
      <c r="O21" s="2000"/>
      <c r="P21" s="2000"/>
      <c r="Q21" s="2000"/>
      <c r="R21" s="2000"/>
      <c r="S21" s="2000"/>
      <c r="T21" s="2000"/>
      <c r="U21" s="2000"/>
      <c r="V21" s="2000"/>
      <c r="W21" s="2000"/>
      <c r="X21" s="2000"/>
      <c r="Y21" s="2000"/>
      <c r="Z21" s="2000"/>
      <c r="AA21" s="2000"/>
      <c r="AB21" s="2000"/>
      <c r="AC21" s="2000"/>
      <c r="AD21" s="2000"/>
      <c r="AE21" s="2000"/>
      <c r="AF21" s="2000"/>
      <c r="AG21" s="2000"/>
      <c r="AH21" s="2000"/>
      <c r="AI21" s="2000"/>
      <c r="AJ21" s="2000"/>
      <c r="AK21" s="2000"/>
    </row>
    <row r="22" ht="18" customHeight="1" spans="1:13">
      <c r="A22" s="1993" t="s">
        <v>899</v>
      </c>
      <c r="B22" s="1962" t="s">
        <v>1158</v>
      </c>
      <c r="C22" s="707"/>
      <c r="D22" s="2004" t="str">
        <f>IF(F23&lt;=1,"单利计息。","复利计息。")&amp;"建造成本、管理费用、销售费用产生的利息。"</f>
        <v>复利计息。建造成本、管理费用、销售费用产生的利息。</v>
      </c>
      <c r="E22" s="709"/>
      <c r="F22" s="2003"/>
      <c r="G22" s="1215"/>
      <c r="H22" s="1993" t="s">
        <v>851</v>
      </c>
      <c r="I22" s="1962" t="s">
        <v>1159</v>
      </c>
      <c r="J22" s="707">
        <f ca="1">ROUND(J14*M22,0)</f>
        <v>0</v>
      </c>
      <c r="K22" s="2018" t="s">
        <v>1160</v>
      </c>
      <c r="L22" s="1962" t="s">
        <v>1131</v>
      </c>
      <c r="M22" s="2030">
        <f ca="1">INDIRECT("'数据-取费表'!Ak"&amp;$G$1)</f>
        <v>0</v>
      </c>
    </row>
    <row r="23" s="1929" customFormat="1" ht="18" customHeight="1" spans="1:37">
      <c r="A23" s="1993" t="s">
        <v>870</v>
      </c>
      <c r="B23" s="1962" t="s">
        <v>1161</v>
      </c>
      <c r="C23" s="707">
        <f ca="1">IF('数据-取费表'!B22&lt;=1,ROUND(C19*F24*F23/2,0)+ROUND(C20*F24*F23/2,0),ROUND(C19*(POWER((1+F24),F23/2)-1),0)+ROUND(C20*(POWER((1+F24),F23/2)-1),0))</f>
        <v>0</v>
      </c>
      <c r="D23" s="2007" t="str">
        <f>IF(F23&lt;=1,"(建造成本+管理费用)×利率×(建设周期÷2)","(建造成本+管理费用)×((1+利率)^(建设周期÷2)-1)")</f>
        <v>(建造成本+管理费用)×((1+利率)^(建设周期÷2)-1)</v>
      </c>
      <c r="E23" s="1962" t="s">
        <v>1162</v>
      </c>
      <c r="F23" s="2008">
        <f>'数据-取费表'!B20</f>
        <v>1.5</v>
      </c>
      <c r="G23" s="2000"/>
      <c r="H23" s="1993" t="s">
        <v>896</v>
      </c>
      <c r="I23" s="1962" t="s">
        <v>1163</v>
      </c>
      <c r="J23" s="707">
        <f ca="1">ROUND(J13*M23,0)</f>
        <v>0</v>
      </c>
      <c r="K23" s="2018" t="s">
        <v>1164</v>
      </c>
      <c r="L23" s="1962" t="s">
        <v>1131</v>
      </c>
      <c r="M23" s="2031">
        <f ca="1">INDIRECT("'数据-取费表'!Al"&amp;$G$1)</f>
        <v>0</v>
      </c>
      <c r="N23" s="2000"/>
      <c r="O23" s="2000"/>
      <c r="P23" s="2000"/>
      <c r="Q23" s="2000"/>
      <c r="R23" s="2000"/>
      <c r="S23" s="2000"/>
      <c r="T23" s="2000"/>
      <c r="U23" s="2000"/>
      <c r="V23" s="2000"/>
      <c r="W23" s="2000"/>
      <c r="X23" s="2000"/>
      <c r="Y23" s="2000"/>
      <c r="Z23" s="2000"/>
      <c r="AA23" s="2000"/>
      <c r="AB23" s="2000"/>
      <c r="AC23" s="2000"/>
      <c r="AD23" s="2000"/>
      <c r="AE23" s="2000"/>
      <c r="AF23" s="2000"/>
      <c r="AG23" s="2000"/>
      <c r="AH23" s="2000"/>
      <c r="AI23" s="2000"/>
      <c r="AJ23" s="2000"/>
      <c r="AK23" s="2000"/>
    </row>
    <row r="24" s="1929" customFormat="1" ht="18" customHeight="1" spans="1:37">
      <c r="A24" s="1993" t="s">
        <v>874</v>
      </c>
      <c r="B24" s="1962" t="s">
        <v>1165</v>
      </c>
      <c r="C24" s="707">
        <f ca="1">ROUND(IF('数据-取费表'!B22&lt;=1,F21*F24*F23/2,F21*(POWER((1+F24),F23/2)-1)),4)</f>
        <v>0.0006</v>
      </c>
      <c r="D24" s="2007" t="str">
        <f>IF(F23&lt;=1,"销售费用×利率×(建设周期÷2)","销售费用×((1+利率)^(建设周期÷2)-1)")</f>
        <v>销售费用×((1+利率)^(建设周期÷2)-1)</v>
      </c>
      <c r="E24" s="1962" t="s">
        <v>1166</v>
      </c>
      <c r="F24" s="2009">
        <f ca="1">'数据-取费表'!B40</f>
        <v>0.0415</v>
      </c>
      <c r="G24" s="2000"/>
      <c r="H24" s="2001" t="s">
        <v>899</v>
      </c>
      <c r="I24" s="1986" t="s">
        <v>1149</v>
      </c>
      <c r="J24" s="2010">
        <f ca="1">ROUND(J5*M24,0)</f>
        <v>0</v>
      </c>
      <c r="K24" s="2011" t="s">
        <v>1167</v>
      </c>
      <c r="L24" s="1986" t="s">
        <v>1131</v>
      </c>
      <c r="M24" s="1987">
        <f ca="1">INDIRECT("'数据-取费表'!Am"&amp;$G$1)</f>
        <v>0</v>
      </c>
      <c r="N24" s="2000"/>
      <c r="O24" s="2000"/>
      <c r="P24" s="2000"/>
      <c r="Q24" s="2000"/>
      <c r="R24" s="2000"/>
      <c r="S24" s="2000"/>
      <c r="T24" s="2000"/>
      <c r="U24" s="2000"/>
      <c r="V24" s="2000"/>
      <c r="W24" s="2000"/>
      <c r="X24" s="2000"/>
      <c r="Y24" s="2000"/>
      <c r="Z24" s="2000"/>
      <c r="AA24" s="2000"/>
      <c r="AB24" s="2000"/>
      <c r="AC24" s="2000"/>
      <c r="AD24" s="2000"/>
      <c r="AE24" s="2000"/>
      <c r="AF24" s="2000"/>
      <c r="AG24" s="2000"/>
      <c r="AH24" s="2000"/>
      <c r="AI24" s="2000"/>
      <c r="AJ24" s="2000"/>
      <c r="AK24" s="2000"/>
    </row>
    <row r="25" ht="18" customHeight="1" spans="1:13">
      <c r="A25" s="1993" t="s">
        <v>903</v>
      </c>
      <c r="B25" s="1962" t="s">
        <v>1168</v>
      </c>
      <c r="C25" s="707"/>
      <c r="D25" s="2004" t="s">
        <v>1169</v>
      </c>
      <c r="E25" s="709"/>
      <c r="F25" s="2003"/>
      <c r="G25" s="1215"/>
      <c r="H25" s="1988" t="s">
        <v>1170</v>
      </c>
      <c r="I25" s="2032" t="s">
        <v>1171</v>
      </c>
      <c r="J25" s="1990">
        <f ca="1">J5-J16</f>
        <v>0</v>
      </c>
      <c r="K25" s="2033" t="s">
        <v>1172</v>
      </c>
      <c r="L25" s="2034"/>
      <c r="M25" s="2035"/>
    </row>
    <row r="26" ht="18" customHeight="1" spans="1:13">
      <c r="A26" s="1993" t="s">
        <v>870</v>
      </c>
      <c r="B26" s="1962" t="s">
        <v>1173</v>
      </c>
      <c r="C26" s="707">
        <f ca="1">ROUND((C19+C20)*F26,0)</f>
        <v>0</v>
      </c>
      <c r="D26" s="2005" t="s">
        <v>1174</v>
      </c>
      <c r="E26" s="1975" t="s">
        <v>1175</v>
      </c>
      <c r="F26" s="1972">
        <f ca="1">INDIRECT("'数据-取费表'!q"&amp;$G$1)</f>
        <v>0</v>
      </c>
      <c r="G26" s="1215"/>
      <c r="H26" s="1952" t="s">
        <v>1176</v>
      </c>
      <c r="I26" s="1953" t="s">
        <v>1177</v>
      </c>
      <c r="J26" s="2036">
        <f ca="1">IF(J5&lt;&gt;0,ROUND(J25*(1-((1+M28)/(1+M26))^M27)/(M26-M28),0),0)</f>
        <v>0</v>
      </c>
      <c r="K26" s="2024" t="s">
        <v>1178</v>
      </c>
      <c r="L26" s="1962" t="s">
        <v>1179</v>
      </c>
      <c r="M26" s="1972">
        <f ca="1">INDIRECT("'数据-取费表'!I"&amp;$G$1)</f>
        <v>0</v>
      </c>
    </row>
    <row r="27" ht="18" customHeight="1" spans="1:13">
      <c r="A27" s="1993" t="s">
        <v>874</v>
      </c>
      <c r="B27" s="1962" t="s">
        <v>1180</v>
      </c>
      <c r="C27" s="707">
        <f ca="1">ROUND(F21*F26,4)</f>
        <v>0</v>
      </c>
      <c r="D27" s="2005" t="s">
        <v>1181</v>
      </c>
      <c r="E27" s="1998"/>
      <c r="F27" s="1999"/>
      <c r="G27" s="1215"/>
      <c r="H27" s="1969"/>
      <c r="I27" s="2038"/>
      <c r="J27" s="1970"/>
      <c r="K27" s="2039" t="s">
        <v>1182</v>
      </c>
      <c r="L27" s="1962" t="s">
        <v>1183</v>
      </c>
      <c r="M27" s="2040">
        <f ca="1">INDIRECT("'数据-取费表'!ag"&amp;$G$1)</f>
        <v>0</v>
      </c>
    </row>
    <row r="28" s="1929" customFormat="1" ht="18" customHeight="1" spans="1:37">
      <c r="A28" s="1993" t="s">
        <v>904</v>
      </c>
      <c r="B28" s="1962" t="s">
        <v>1184</v>
      </c>
      <c r="C28" s="707">
        <f>ROUND(F28/(1+'数据-取费表'!C42),4)</f>
        <v>0.0524</v>
      </c>
      <c r="D28" s="2005" t="s">
        <v>1185</v>
      </c>
      <c r="E28" s="1962" t="s">
        <v>1131</v>
      </c>
      <c r="F28" s="2002">
        <f>'数据-取费表'!B41</f>
        <v>0.055</v>
      </c>
      <c r="G28" s="2000"/>
      <c r="H28" s="1977"/>
      <c r="I28" s="2042"/>
      <c r="J28" s="1990"/>
      <c r="K28" s="2028"/>
      <c r="L28" s="1962" t="s">
        <v>1186</v>
      </c>
      <c r="M28" s="1972">
        <f ca="1">INDIRECT("'数据-取费表'!aa"&amp;$G$1)</f>
        <v>0</v>
      </c>
      <c r="N28" s="2000"/>
      <c r="O28" s="2000"/>
      <c r="P28" s="2000"/>
      <c r="Q28" s="2000"/>
      <c r="R28" s="2000"/>
      <c r="S28" s="2000"/>
      <c r="T28" s="2000"/>
      <c r="U28" s="2000"/>
      <c r="V28" s="2000"/>
      <c r="W28" s="2000"/>
      <c r="X28" s="2000"/>
      <c r="Y28" s="2000"/>
      <c r="Z28" s="2000"/>
      <c r="AA28" s="2000"/>
      <c r="AB28" s="2000"/>
      <c r="AC28" s="2000"/>
      <c r="AD28" s="2000"/>
      <c r="AE28" s="2000"/>
      <c r="AF28" s="2000"/>
      <c r="AG28" s="2000"/>
      <c r="AH28" s="2000"/>
      <c r="AI28" s="2000"/>
      <c r="AJ28" s="2000"/>
      <c r="AK28" s="2000"/>
    </row>
    <row r="29" s="1929" customFormat="1" ht="18" customHeight="1" spans="1:37">
      <c r="A29" s="2001" t="s">
        <v>1089</v>
      </c>
      <c r="B29" s="1986" t="s">
        <v>1187</v>
      </c>
      <c r="C29" s="2010">
        <f ca="1">ROUND((C19+C20+C23+C26)/(1-F21-C24-C27-C28),0)</f>
        <v>0</v>
      </c>
      <c r="D29" s="2011"/>
      <c r="E29" s="1986"/>
      <c r="F29" s="2012"/>
      <c r="G29" s="2000"/>
      <c r="H29" s="2013" t="s">
        <v>1188</v>
      </c>
      <c r="I29" s="2043" t="s">
        <v>1189</v>
      </c>
      <c r="J29" s="2044">
        <f ca="1">ROUND(J26/(1+F40)^F41,0)</f>
        <v>0</v>
      </c>
      <c r="K29" s="2045" t="s">
        <v>1190</v>
      </c>
      <c r="L29" s="2046"/>
      <c r="M29" s="2047">
        <f ca="1">INDIRECT("'数据-取费表'!k"&amp;$G$1)</f>
        <v>0</v>
      </c>
      <c r="N29" s="2000"/>
      <c r="O29" s="2000"/>
      <c r="P29" s="2000"/>
      <c r="Q29" s="2000"/>
      <c r="R29" s="2000"/>
      <c r="S29" s="2000"/>
      <c r="T29" s="2000"/>
      <c r="U29" s="2000"/>
      <c r="V29" s="2000"/>
      <c r="W29" s="2000"/>
      <c r="X29" s="2000"/>
      <c r="Y29" s="2000"/>
      <c r="Z29" s="2000"/>
      <c r="AA29" s="2000"/>
      <c r="AB29" s="2000"/>
      <c r="AC29" s="2000"/>
      <c r="AD29" s="2000"/>
      <c r="AE29" s="2000"/>
      <c r="AF29" s="2000"/>
      <c r="AG29" s="2000"/>
      <c r="AH29" s="2000"/>
      <c r="AI29" s="2000"/>
      <c r="AJ29" s="2000"/>
      <c r="AK29" s="2000"/>
    </row>
    <row r="30" ht="18" customHeight="1" spans="1:13">
      <c r="A30" s="1988" t="s">
        <v>1132</v>
      </c>
      <c r="B30" s="1989" t="s">
        <v>1133</v>
      </c>
      <c r="C30" s="1990">
        <f ca="1">ROUND(C31+C36+C37+C38,0)</f>
        <v>0</v>
      </c>
      <c r="D30" s="2014" t="s">
        <v>1134</v>
      </c>
      <c r="E30" s="2015"/>
      <c r="F30" s="1957"/>
      <c r="G30" s="1215"/>
      <c r="H30" s="2016"/>
      <c r="I30" s="2124"/>
      <c r="J30" s="2125"/>
      <c r="K30" s="2126"/>
      <c r="L30" s="2127"/>
      <c r="M30" s="2128"/>
    </row>
    <row r="31" ht="18" customHeight="1" spans="1:13">
      <c r="A31" s="1993" t="s">
        <v>847</v>
      </c>
      <c r="B31" s="1962" t="s">
        <v>1139</v>
      </c>
      <c r="C31" s="2017">
        <f ca="1">ROUND(IF(AND(项目基本情况!B11="自然人",项目基本情况!B10="北京市"),C6*F31/(1+'数据-取费表'!C42),C32+C33+C34),0)</f>
        <v>0</v>
      </c>
      <c r="D31" s="1995" t="s">
        <v>1140</v>
      </c>
      <c r="E31" s="2018" t="s">
        <v>1141</v>
      </c>
      <c r="F31" s="2019" t="str">
        <f ca="1">IF(项目基本情况!B11="企业","——",IF('数据-取费表'!B10="住宅",IF(F6*F7*F8/12/(1+'数据-取费表'!F30)&gt;100000,4%,2.5%),IF(F6*F7*F8/12/(1+'数据-取费表'!F30)&gt;100000,12%,7%)))</f>
        <v>——</v>
      </c>
      <c r="G31" s="1215"/>
      <c r="H31" s="2020" t="s">
        <v>1191</v>
      </c>
      <c r="I31" s="2124"/>
      <c r="J31" s="2125"/>
      <c r="K31" s="2126"/>
      <c r="L31" s="2127"/>
      <c r="M31" s="2128"/>
    </row>
    <row r="32" ht="18" customHeight="1" spans="1:13">
      <c r="A32" s="1993" t="s">
        <v>870</v>
      </c>
      <c r="B32" s="1962" t="s">
        <v>1143</v>
      </c>
      <c r="C32" s="707">
        <f ca="1">IF(项目基本情况!B11="自然人","——",ROUND(C6*F32/(1+'数据-取费表'!C42),0))</f>
        <v>0</v>
      </c>
      <c r="D32" s="2018" t="s">
        <v>1144</v>
      </c>
      <c r="E32" s="1962" t="s">
        <v>1131</v>
      </c>
      <c r="F32" s="2009">
        <f>'数据-取费表'!B41</f>
        <v>0.055</v>
      </c>
      <c r="G32" s="1215"/>
      <c r="H32" s="2016"/>
      <c r="I32" s="2124"/>
      <c r="J32" s="2125"/>
      <c r="K32" s="2126"/>
      <c r="L32" s="2127"/>
      <c r="M32" s="2128"/>
    </row>
    <row r="33" ht="18" customHeight="1" spans="1:13">
      <c r="A33" s="1993" t="s">
        <v>874</v>
      </c>
      <c r="B33" s="1962" t="s">
        <v>1147</v>
      </c>
      <c r="C33" s="707">
        <f ca="1">IF(项目基本情况!B11="自然人","——",IF(D33="按租金收入计税",ROUND(C6*F33/(1+'数据-取费表'!C42),0),IF(D33="按房产原值计税",ROUND(C29*F33*0.7,0),INDIRECT("'数据-取费表'!Aj"&amp;$G$1))))</f>
        <v>0</v>
      </c>
      <c r="D33" s="2021" t="s">
        <v>1148</v>
      </c>
      <c r="E33" s="1962" t="s">
        <v>1131</v>
      </c>
      <c r="F33" s="2002">
        <f>IF(D33="按票据","——",IF(D33="按租金收入计税",'数据-取费表'!B51,'数据-取费表'!B50))</f>
        <v>0.012</v>
      </c>
      <c r="G33" s="1215"/>
      <c r="H33" s="2022"/>
      <c r="I33" s="2124"/>
      <c r="J33" s="2125"/>
      <c r="K33" s="2129"/>
      <c r="L33" s="2022"/>
      <c r="M33" s="2022"/>
    </row>
    <row r="34" ht="18" customHeight="1" spans="1:13">
      <c r="A34" s="1958" t="s">
        <v>877</v>
      </c>
      <c r="B34" s="1961" t="s">
        <v>1151</v>
      </c>
      <c r="C34" s="2023">
        <f ca="1">IF(项目基本情况!B11="自然人","——",ROUND(F34*F35,))</f>
        <v>0</v>
      </c>
      <c r="D34" s="2024" t="s">
        <v>1152</v>
      </c>
      <c r="E34" s="1962" t="s">
        <v>1153</v>
      </c>
      <c r="F34" s="2008">
        <f>'数据-取费表'!B52</f>
        <v>1.5</v>
      </c>
      <c r="G34" s="1215"/>
      <c r="H34" s="2016"/>
      <c r="I34" s="2124"/>
      <c r="J34" s="2125"/>
      <c r="K34" s="2130"/>
      <c r="L34" s="2131"/>
      <c r="M34" s="2131"/>
    </row>
    <row r="35" ht="18" customHeight="1" spans="1:13">
      <c r="A35" s="2025"/>
      <c r="B35" s="2026"/>
      <c r="C35" s="2027"/>
      <c r="D35" s="2028"/>
      <c r="E35" s="1962" t="s">
        <v>1157</v>
      </c>
      <c r="F35" s="1963">
        <f ca="1">INDIRECT("'数据-取费表'!r"&amp;$G$1)</f>
        <v>0</v>
      </c>
      <c r="G35" s="1215"/>
      <c r="H35" s="2016"/>
      <c r="I35" s="2124"/>
      <c r="J35" s="2125"/>
      <c r="K35" s="2129"/>
      <c r="L35" s="2022"/>
      <c r="M35" s="2022"/>
    </row>
    <row r="36" ht="18" customHeight="1" spans="1:13">
      <c r="A36" s="2029" t="s">
        <v>851</v>
      </c>
      <c r="B36" s="1962" t="s">
        <v>1159</v>
      </c>
      <c r="C36" s="707">
        <f ca="1">ROUND(C29*F36,0)</f>
        <v>0</v>
      </c>
      <c r="D36" s="2018" t="s">
        <v>1193</v>
      </c>
      <c r="E36" s="1962" t="s">
        <v>1131</v>
      </c>
      <c r="F36" s="2030">
        <f ca="1">INDIRECT("'数据-取费表'!Ak"&amp;$G$1)</f>
        <v>0</v>
      </c>
      <c r="G36" s="1215"/>
      <c r="H36" s="2022"/>
      <c r="I36" s="2124"/>
      <c r="J36" s="2125"/>
      <c r="K36" s="2132"/>
      <c r="L36" s="2022"/>
      <c r="M36" s="2022"/>
    </row>
    <row r="37" ht="18" customHeight="1" spans="1:13">
      <c r="A37" s="1993" t="s">
        <v>896</v>
      </c>
      <c r="B37" s="1962" t="s">
        <v>1163</v>
      </c>
      <c r="C37" s="707">
        <f ca="1">ROUND(C13*F37,0)</f>
        <v>0</v>
      </c>
      <c r="D37" s="2018" t="s">
        <v>1164</v>
      </c>
      <c r="E37" s="1962" t="s">
        <v>1131</v>
      </c>
      <c r="F37" s="2031">
        <f ca="1">INDIRECT("'数据-取费表'!Al"&amp;$G$1)</f>
        <v>0</v>
      </c>
      <c r="G37" s="1215"/>
      <c r="H37" s="2022"/>
      <c r="I37" s="2124"/>
      <c r="J37" s="2125"/>
      <c r="K37" s="2132"/>
      <c r="L37" s="2022"/>
      <c r="M37" s="2022"/>
    </row>
    <row r="38" ht="18" customHeight="1" spans="1:13">
      <c r="A38" s="2001" t="s">
        <v>899</v>
      </c>
      <c r="B38" s="1986" t="s">
        <v>1149</v>
      </c>
      <c r="C38" s="2010">
        <f ca="1">ROUND(C5*F38,1)</f>
        <v>0</v>
      </c>
      <c r="D38" s="2011" t="s">
        <v>1167</v>
      </c>
      <c r="E38" s="1986" t="s">
        <v>1131</v>
      </c>
      <c r="F38" s="1987">
        <f ca="1">INDIRECT("'数据-取费表'!Am"&amp;$G$1)</f>
        <v>0</v>
      </c>
      <c r="G38" s="1215"/>
      <c r="H38" s="2022"/>
      <c r="I38" s="2124"/>
      <c r="J38" s="2125"/>
      <c r="K38" s="2133"/>
      <c r="L38" s="2022"/>
      <c r="M38" s="2022"/>
    </row>
    <row r="39" ht="24.6" customHeight="1" spans="1:13">
      <c r="A39" s="1988" t="s">
        <v>1170</v>
      </c>
      <c r="B39" s="2032" t="s">
        <v>1171</v>
      </c>
      <c r="C39" s="1990">
        <f ca="1">C5-C30</f>
        <v>0</v>
      </c>
      <c r="D39" s="2033" t="s">
        <v>1172</v>
      </c>
      <c r="E39" s="2034"/>
      <c r="F39" s="2035"/>
      <c r="G39" s="1215"/>
      <c r="H39" s="2022"/>
      <c r="I39" s="2124"/>
      <c r="J39" s="2125"/>
      <c r="K39" s="2133"/>
      <c r="L39" s="2022"/>
      <c r="M39" s="2022"/>
    </row>
    <row r="40" ht="18" customHeight="1" spans="1:13">
      <c r="A40" s="1952" t="s">
        <v>1176</v>
      </c>
      <c r="B40" s="1953" t="s">
        <v>1194</v>
      </c>
      <c r="C40" s="2036" t="e">
        <f ca="1">ROUND(C39*(1-((1+F42)/(1+F40))^F41)/(F40-F42),0)</f>
        <v>#DIV/0!</v>
      </c>
      <c r="D40" s="2024" t="s">
        <v>1178</v>
      </c>
      <c r="E40" s="1962" t="s">
        <v>1179</v>
      </c>
      <c r="F40" s="1972">
        <f ca="1">INDIRECT("'数据-取费表'!I"&amp;$G$1)</f>
        <v>0</v>
      </c>
      <c r="G40" s="1215"/>
      <c r="H40" s="2037"/>
      <c r="I40" s="2124"/>
      <c r="J40" s="2125"/>
      <c r="K40" s="2133"/>
      <c r="L40" s="2037"/>
      <c r="M40" s="2037"/>
    </row>
    <row r="41" ht="18" customHeight="1" spans="1:13">
      <c r="A41" s="1969"/>
      <c r="B41" s="2038"/>
      <c r="C41" s="1970"/>
      <c r="D41" s="2039" t="s">
        <v>1182</v>
      </c>
      <c r="E41" s="1962" t="s">
        <v>1183</v>
      </c>
      <c r="F41" s="2040">
        <f ca="1">IF(INDIRECT("'数据-取费表'!af"&amp;$G$1)=0,INDIRECT("'数据-取费表'!ae"&amp;$G$1),INDIRECT("'数据-取费表'!af"&amp;$G$1))</f>
        <v>0</v>
      </c>
      <c r="G41" s="1215"/>
      <c r="H41" s="2041"/>
      <c r="I41" s="2124"/>
      <c r="J41" s="2125"/>
      <c r="K41" s="2132"/>
      <c r="L41" s="2041"/>
      <c r="M41" s="2041"/>
    </row>
    <row r="42" ht="18" customHeight="1" spans="1:13">
      <c r="A42" s="1977"/>
      <c r="B42" s="2042"/>
      <c r="C42" s="1990"/>
      <c r="D42" s="2028"/>
      <c r="E42" s="1962" t="s">
        <v>1186</v>
      </c>
      <c r="F42" s="1972">
        <f ca="1">INDIRECT("'数据-取费表'!v"&amp;$G$1)</f>
        <v>0</v>
      </c>
      <c r="G42" s="1215"/>
      <c r="H42" s="2041"/>
      <c r="I42" s="2124"/>
      <c r="J42" s="2125"/>
      <c r="K42" s="2132"/>
      <c r="L42" s="2041"/>
      <c r="M42" s="2041"/>
    </row>
    <row r="43" ht="18" customHeight="1" spans="1:13">
      <c r="A43" s="2013" t="s">
        <v>1188</v>
      </c>
      <c r="B43" s="2043" t="s">
        <v>1195</v>
      </c>
      <c r="C43" s="2044" t="e">
        <f ca="1">ROUND(C40/F43,0)</f>
        <v>#DIV/0!</v>
      </c>
      <c r="D43" s="2045" t="s">
        <v>1196</v>
      </c>
      <c r="E43" s="2046" t="s">
        <v>1197</v>
      </c>
      <c r="F43" s="2047">
        <f ca="1">INDIRECT("'数据-取费表'!k"&amp;$G$1)</f>
        <v>0</v>
      </c>
      <c r="G43" s="1215"/>
      <c r="H43" s="2041"/>
      <c r="I43" s="2041"/>
      <c r="J43" s="2041"/>
      <c r="K43" s="2132"/>
      <c r="L43" s="2041"/>
      <c r="M43" s="2041"/>
    </row>
    <row r="44" s="1215" customFormat="1" ht="18" customHeight="1" spans="1:11">
      <c r="A44" s="2048"/>
      <c r="B44" s="2048"/>
      <c r="C44" s="2049"/>
      <c r="D44" s="2048"/>
      <c r="E44" s="2048"/>
      <c r="F44" s="2048"/>
      <c r="K44" s="2134"/>
    </row>
    <row r="45" s="1215" customFormat="1" ht="18" customHeight="1" spans="1:18">
      <c r="A45" s="2048"/>
      <c r="B45" s="2048"/>
      <c r="C45" s="2050" t="e">
        <f ca="1">C68-C40</f>
        <v>#DIV/0!</v>
      </c>
      <c r="D45" s="2051" t="s">
        <v>1294</v>
      </c>
      <c r="E45" s="2048"/>
      <c r="F45" s="2048"/>
      <c r="O45" s="2135" t="s">
        <v>1198</v>
      </c>
      <c r="P45" s="2037"/>
      <c r="Q45" s="2037"/>
      <c r="R45" s="2037"/>
    </row>
    <row r="46" s="1215" customFormat="1" ht="13.95" spans="1:18">
      <c r="A46" s="2052" t="s">
        <v>1199</v>
      </c>
      <c r="C46" s="2053" t="e">
        <f ca="1">ROUND(C45/10000,0)</f>
        <v>#DIV/0!</v>
      </c>
      <c r="D46" s="2054" t="str">
        <f>C2</f>
        <v>万元</v>
      </c>
      <c r="I46" s="2136" t="s">
        <v>1200</v>
      </c>
      <c r="J46" s="2137"/>
      <c r="K46" s="2138"/>
      <c r="L46" s="2139" t="e">
        <f ca="1">IF(M47="住宅",0,IF(L48&gt;J51,L60,J60))</f>
        <v>#DIV/0!</v>
      </c>
      <c r="O46" s="2140" t="s">
        <v>1201</v>
      </c>
      <c r="P46" s="2141" t="s">
        <v>1202</v>
      </c>
      <c r="Q46" s="2187" t="s">
        <v>1203</v>
      </c>
      <c r="R46" s="2187" t="s">
        <v>1204</v>
      </c>
    </row>
    <row r="47" s="1215" customFormat="1" ht="13.95" spans="1:18">
      <c r="A47" s="2055" t="s">
        <v>1102</v>
      </c>
      <c r="B47" s="2056" t="s">
        <v>1103</v>
      </c>
      <c r="C47" s="2056" t="s">
        <v>1104</v>
      </c>
      <c r="D47" s="2056" t="s">
        <v>1105</v>
      </c>
      <c r="E47" s="2057" t="s">
        <v>1106</v>
      </c>
      <c r="F47" s="700"/>
      <c r="G47" s="2058"/>
      <c r="I47" s="2142" t="s">
        <v>1205</v>
      </c>
      <c r="J47" s="2143"/>
      <c r="K47" s="2144" t="s">
        <v>1207</v>
      </c>
      <c r="L47" s="2145">
        <f ca="1">INDIRECT("'数据-取费表'!d"&amp;$G$1)</f>
        <v>0</v>
      </c>
      <c r="M47" s="2146" t="str">
        <f>IF(ISNUMBER(FIND("住宅",C1)),"住宅","非住宅")</f>
        <v>非住宅</v>
      </c>
      <c r="O47" s="2147" t="s">
        <v>953</v>
      </c>
      <c r="P47" s="2148" t="s">
        <v>1208</v>
      </c>
      <c r="Q47" s="2188" t="e">
        <f ca="1">C40+J29</f>
        <v>#DIV/0!</v>
      </c>
      <c r="R47" s="2188" t="s">
        <v>1209</v>
      </c>
    </row>
    <row r="48" s="1215" customFormat="1" ht="41.55" spans="1:18">
      <c r="A48" s="2059" t="s">
        <v>1210</v>
      </c>
      <c r="B48" s="1953" t="s">
        <v>1107</v>
      </c>
      <c r="C48" s="708">
        <f ca="1">C49+C53+C55</f>
        <v>0</v>
      </c>
      <c r="D48" s="2060"/>
      <c r="E48" s="2061"/>
      <c r="F48" s="2062"/>
      <c r="G48" s="2058"/>
      <c r="H48" s="2063"/>
      <c r="I48" s="1277" t="s">
        <v>1211</v>
      </c>
      <c r="J48" s="2149"/>
      <c r="K48" s="2150" t="s">
        <v>1213</v>
      </c>
      <c r="L48" s="2151">
        <f ca="1">INDIRECT("'数据-取费表'!f"&amp;$G$1)</f>
        <v>0</v>
      </c>
      <c r="O48" s="2147" t="s">
        <v>956</v>
      </c>
      <c r="P48" s="2148" t="s">
        <v>1214</v>
      </c>
      <c r="Q48" s="2188" t="e">
        <f ca="1">J60</f>
        <v>#DIV/0!</v>
      </c>
      <c r="R48" s="2188" t="s">
        <v>1215</v>
      </c>
    </row>
    <row r="49" s="1215" customFormat="1" ht="13.95" spans="1:18">
      <c r="A49" s="2064" t="s">
        <v>1216</v>
      </c>
      <c r="B49" s="2065" t="s">
        <v>1217</v>
      </c>
      <c r="C49" s="2066">
        <f ca="1">ROUND(F49*F51*F50*(1-F52),0)</f>
        <v>0</v>
      </c>
      <c r="D49" s="2067" t="s">
        <v>1295</v>
      </c>
      <c r="E49" s="2068" t="s">
        <v>1218</v>
      </c>
      <c r="F49" s="2069"/>
      <c r="G49" s="2070"/>
      <c r="H49" s="2063"/>
      <c r="I49" s="1277" t="s">
        <v>1219</v>
      </c>
      <c r="J49" s="2152"/>
      <c r="K49" s="2150" t="s">
        <v>1220</v>
      </c>
      <c r="L49" s="2153"/>
      <c r="O49" s="2154" t="s">
        <v>1221</v>
      </c>
      <c r="P49" s="2148" t="s">
        <v>1222</v>
      </c>
      <c r="Q49" s="2188">
        <f ca="1">C29</f>
        <v>0</v>
      </c>
      <c r="R49" s="2188" t="s">
        <v>1209</v>
      </c>
    </row>
    <row r="50" s="1215" customFormat="1" ht="13.95" spans="1:18">
      <c r="A50" s="2071"/>
      <c r="B50" s="2072"/>
      <c r="C50" s="2073"/>
      <c r="D50" s="2074"/>
      <c r="E50" s="2075" t="s">
        <v>1113</v>
      </c>
      <c r="F50" s="2076">
        <f ca="1">F7</f>
        <v>0</v>
      </c>
      <c r="H50" s="2063"/>
      <c r="I50" s="1277" t="s">
        <v>1223</v>
      </c>
      <c r="J50" s="2155">
        <f>SUMPRODUCT((I63:I65=J47)*(J62:L62=J48)*(J63:L65))</f>
        <v>0</v>
      </c>
      <c r="K50" s="2150" t="s">
        <v>1224</v>
      </c>
      <c r="L50" s="2153"/>
      <c r="M50" s="2156"/>
      <c r="O50" s="2154" t="s">
        <v>1225</v>
      </c>
      <c r="P50" s="2148" t="s">
        <v>1226</v>
      </c>
      <c r="Q50" s="2189" t="e">
        <f ca="1">J58</f>
        <v>#DIV/0!</v>
      </c>
      <c r="R50" s="2188"/>
    </row>
    <row r="51" s="1215" customFormat="1" ht="13.95" spans="1:18">
      <c r="A51" s="2077"/>
      <c r="B51" s="2072"/>
      <c r="C51" s="2073"/>
      <c r="D51" s="2074"/>
      <c r="E51" s="2078" t="s">
        <v>1114</v>
      </c>
      <c r="F51" s="1963">
        <f ca="1">F8</f>
        <v>0</v>
      </c>
      <c r="I51" s="2157" t="s">
        <v>1227</v>
      </c>
      <c r="J51" s="2158">
        <f>IF(J49="",J50,J49+J50-YEAR('数据-取费表'!B2))</f>
        <v>0</v>
      </c>
      <c r="K51" s="2159" t="s">
        <v>1228</v>
      </c>
      <c r="L51" s="2160">
        <f ca="1">ROUND(-PV(INDIRECT("'数据-取费表'!h"&amp;$G$1),J51,(C39-C13*C76),0),0)</f>
        <v>0</v>
      </c>
      <c r="M51" s="2161"/>
      <c r="O51" s="2154" t="s">
        <v>1229</v>
      </c>
      <c r="P51" s="2148" t="s">
        <v>1230</v>
      </c>
      <c r="Q51" s="2189">
        <f>J52</f>
        <v>0</v>
      </c>
      <c r="R51" s="2188"/>
    </row>
    <row r="52" s="1215" customFormat="1" ht="13.95" spans="1:18">
      <c r="A52" s="2077"/>
      <c r="B52" s="2072"/>
      <c r="C52" s="2073"/>
      <c r="D52" s="2074"/>
      <c r="E52" s="2078" t="s">
        <v>1115</v>
      </c>
      <c r="F52" s="2079"/>
      <c r="I52" s="2162" t="s">
        <v>1231</v>
      </c>
      <c r="J52" s="2163"/>
      <c r="K52" s="2162" t="s">
        <v>1232</v>
      </c>
      <c r="L52" s="2163"/>
      <c r="O52" s="2154" t="s">
        <v>1233</v>
      </c>
      <c r="P52" s="2148" t="s">
        <v>1234</v>
      </c>
      <c r="Q52" s="2188">
        <f ca="1">J53</f>
        <v>-0.3</v>
      </c>
      <c r="R52" s="2188" t="s">
        <v>1235</v>
      </c>
    </row>
    <row r="53" s="1215" customFormat="1" ht="30.75" customHeight="1" spans="1:18">
      <c r="A53" s="2080" t="s">
        <v>1236</v>
      </c>
      <c r="B53" s="2005" t="s">
        <v>1116</v>
      </c>
      <c r="C53" s="706">
        <f ca="1">ROUND(IF(F53="押一",C49/12*F11,IF(F53="押二",C49/12*2*F11,IF(F53="押三",C49/12*3*F11,C54*F11))),0)</f>
        <v>0</v>
      </c>
      <c r="D53" s="1974" t="s">
        <v>1296</v>
      </c>
      <c r="E53" s="1975" t="s">
        <v>1118</v>
      </c>
      <c r="F53" s="1976"/>
      <c r="I53" s="2164" t="s">
        <v>1237</v>
      </c>
      <c r="J53" s="2165">
        <f ca="1">IF(M47="住宅",IF(D1="——",MAX(J51,L48),MAX(J51,L48-'数据-取费表'!B24)),IF(D1="——",MIN(J51,L48),MIN(J51,L48-'数据-取费表'!B24)))</f>
        <v>-0.3</v>
      </c>
      <c r="K53" s="2166" t="s">
        <v>1238</v>
      </c>
      <c r="L53" s="2167"/>
      <c r="O53" s="2147" t="s">
        <v>1057</v>
      </c>
      <c r="P53" s="2148" t="s">
        <v>1239</v>
      </c>
      <c r="Q53" s="2188" t="e">
        <f ca="1">Q47+Q48</f>
        <v>#DIV/0!</v>
      </c>
      <c r="R53" s="2188" t="s">
        <v>1240</v>
      </c>
    </row>
    <row r="54" s="1215" customFormat="1" ht="13.95" spans="1:18">
      <c r="A54" s="2064"/>
      <c r="B54" s="2081" t="s">
        <v>1293</v>
      </c>
      <c r="C54" s="1979"/>
      <c r="D54" s="1974"/>
      <c r="E54" s="2082"/>
      <c r="F54" s="2083"/>
      <c r="I54" s="216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69"/>
      <c r="K54" s="2169"/>
      <c r="L54" s="2169"/>
      <c r="M54" s="2070"/>
      <c r="O54" s="2135" t="s">
        <v>1241</v>
      </c>
      <c r="P54" s="2170"/>
      <c r="Q54" s="2170"/>
      <c r="R54" s="2170"/>
    </row>
    <row r="55" s="1215" customFormat="1" ht="13.95" spans="1:18">
      <c r="A55" s="1982" t="s">
        <v>896</v>
      </c>
      <c r="B55" s="1983" t="s">
        <v>1123</v>
      </c>
      <c r="C55" s="1984"/>
      <c r="D55" s="1974"/>
      <c r="E55" s="2082"/>
      <c r="F55" s="2083"/>
      <c r="I55" s="2171" t="s">
        <v>1242</v>
      </c>
      <c r="J55" s="2172" t="e">
        <f ca="1">ROUND(IF(J47="钢混",J57/J50,1-(1-2%)*(J50-J57)/J50),3)</f>
        <v>#DIV/0!</v>
      </c>
      <c r="K55" s="2173" t="s">
        <v>1243</v>
      </c>
      <c r="L55" s="2174"/>
      <c r="O55" s="2140" t="s">
        <v>1201</v>
      </c>
      <c r="P55" s="2141" t="s">
        <v>1202</v>
      </c>
      <c r="Q55" s="2187" t="s">
        <v>1203</v>
      </c>
      <c r="R55" s="2187" t="s">
        <v>1204</v>
      </c>
    </row>
    <row r="56" s="1215" customFormat="1" ht="36" customHeight="1" spans="1:18">
      <c r="A56" s="2084">
        <v>2</v>
      </c>
      <c r="B56" s="2085" t="s">
        <v>1124</v>
      </c>
      <c r="C56" s="595">
        <f ca="1">C13</f>
        <v>0</v>
      </c>
      <c r="D56" s="2086"/>
      <c r="E56" s="2087"/>
      <c r="F56" s="2083"/>
      <c r="I56" s="2175" t="s">
        <v>1245</v>
      </c>
      <c r="J56" s="2176"/>
      <c r="K56" s="1277" t="s">
        <v>1246</v>
      </c>
      <c r="L56" s="2151">
        <f ca="1">IF(L48&lt;J51,"——",L48-J51)</f>
        <v>0</v>
      </c>
      <c r="O56" s="2147" t="s">
        <v>953</v>
      </c>
      <c r="P56" s="2148" t="s">
        <v>1208</v>
      </c>
      <c r="Q56" s="2188" t="e">
        <f ca="1">C40+J29</f>
        <v>#DIV/0!</v>
      </c>
      <c r="R56" s="2188" t="s">
        <v>1209</v>
      </c>
    </row>
    <row r="57" s="1215" customFormat="1" ht="24.75" spans="1:18">
      <c r="A57" s="2088"/>
      <c r="B57" s="2089" t="s">
        <v>1187</v>
      </c>
      <c r="C57" s="605">
        <f ca="1">C29</f>
        <v>0</v>
      </c>
      <c r="D57" s="2090"/>
      <c r="E57" s="2091"/>
      <c r="F57" s="2092"/>
      <c r="I57" s="2177" t="s">
        <v>1247</v>
      </c>
      <c r="J57" s="2178">
        <f ca="1">IF(OR(M47="住宅",J51&lt;L48,J56="是"),"——",J51-L48)</f>
        <v>0</v>
      </c>
      <c r="K57" s="1277" t="s">
        <v>1297</v>
      </c>
      <c r="L57" s="2151">
        <f ca="1">IF(L48&lt;J51,"——",IF(L55="比较法",L49,IF(L55="基准地价",L50,L51)))</f>
        <v>0</v>
      </c>
      <c r="O57" s="2147" t="s">
        <v>956</v>
      </c>
      <c r="P57" s="2148" t="s">
        <v>1249</v>
      </c>
      <c r="Q57" s="2188" t="e">
        <f ca="1">L60</f>
        <v>#DIV/0!</v>
      </c>
      <c r="R57" s="2188" t="s">
        <v>1250</v>
      </c>
    </row>
    <row r="58" s="1215" customFormat="1" ht="24.75" spans="1:18">
      <c r="A58" s="2093" t="s">
        <v>1132</v>
      </c>
      <c r="B58" s="2085" t="s">
        <v>1133</v>
      </c>
      <c r="C58" s="706">
        <f ca="1">ROUND(C59+C64+C65+C66,0)</f>
        <v>0</v>
      </c>
      <c r="D58" s="2094" t="s">
        <v>1134</v>
      </c>
      <c r="E58" s="2095"/>
      <c r="F58" s="2062"/>
      <c r="I58" s="2177" t="s">
        <v>1251</v>
      </c>
      <c r="J58" s="2179" t="e">
        <f ca="1">IF(J55&lt;0.4,0.4,J55)</f>
        <v>#DIV/0!</v>
      </c>
      <c r="K58" s="2159" t="s">
        <v>1298</v>
      </c>
      <c r="L58" s="2151" t="e">
        <f ca="1">ROUND(POWER(1+L52,L47-L48)*(POWER(1+L52,L48)-1)/(POWER(1+L52,L47)-1),4)</f>
        <v>#DIV/0!</v>
      </c>
      <c r="O58" s="2154" t="s">
        <v>1221</v>
      </c>
      <c r="P58" s="2148" t="s">
        <v>1253</v>
      </c>
      <c r="Q58" s="2188">
        <f>IF(L55="比较法",L49,IF(L55="基准地价",L50,0))</f>
        <v>0</v>
      </c>
      <c r="R58" s="2188" t="s">
        <v>1209</v>
      </c>
    </row>
    <row r="59" s="1215" customFormat="1" ht="24.75" spans="1:18">
      <c r="A59" s="1993" t="s">
        <v>847</v>
      </c>
      <c r="B59" s="2089" t="s">
        <v>1139</v>
      </c>
      <c r="C59" s="2017">
        <f ca="1">ROUND(IF(AND(项目基本情况!B11="自然人",项目基本情况!B10="北京市"),C49*F59/(1+'数据-取费表'!C42),C60+C61+C62),0)</f>
        <v>0</v>
      </c>
      <c r="D59" s="2096" t="s">
        <v>1140</v>
      </c>
      <c r="E59" s="2097" t="s">
        <v>1141</v>
      </c>
      <c r="F59" s="2019" t="str">
        <f ca="1">IF(项目基本情况!B11="企业","——",IF('数据-取费表'!B10="住宅",IF(F49*F50*F51/12/(1+'数据-取费表'!F30)&gt;100000,4%,2.5%),IF(F49*F50*F51/12/(1+'数据-取费表'!F30)&gt;100000,12%,7%)))</f>
        <v>——</v>
      </c>
      <c r="I59" s="2177" t="s">
        <v>1254</v>
      </c>
      <c r="J59" s="2178" t="e">
        <f ca="1">IF(OR(M47="住宅",J51&lt;L48,J56="是"),"——",ROUND(C29*J58,0))</f>
        <v>#DIV/0!</v>
      </c>
      <c r="K59" s="127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2151" t="e">
        <f ca="1">ROUND(IF(D1="在建（套用方法）",M59,IF(D1="土地（套用方法）",N59,POWER(1+L52,L47-J51)*(POWER(1+L52,J51)-1)/(POWER(1+L52,L47)-1))),4)</f>
        <v>#DIV/0!</v>
      </c>
      <c r="M59" s="2170" t="e">
        <f ca="1">ROUND(POWER(1+L52,L47-(J51+'数据-取费表'!B24))*(POWER(1+L52,(J51+'数据-取费表'!B24))-1)/(POWER(1+L52,L47)-1),4)</f>
        <v>#DIV/0!</v>
      </c>
      <c r="N59" s="2170" t="e">
        <f ca="1">ROUND(POWER(1+L52,L47-(J51+'数据-取费表'!B20))*(POWER(1+L52,(J51+'数据-取费表'!B20))-1)/(POWER(1+L52,L47)-1),4)</f>
        <v>#DIV/0!</v>
      </c>
      <c r="O59" s="2154" t="s">
        <v>1225</v>
      </c>
      <c r="P59" s="2148" t="s">
        <v>1255</v>
      </c>
      <c r="Q59" s="2189">
        <f>L52</f>
        <v>0</v>
      </c>
      <c r="R59" s="2188"/>
    </row>
    <row r="60" s="1215" customFormat="1" ht="17.55" spans="1:18">
      <c r="A60" s="1993" t="s">
        <v>870</v>
      </c>
      <c r="B60" s="2089" t="s">
        <v>1143</v>
      </c>
      <c r="C60" s="707">
        <f ca="1">IF(项目基本情况!B11="自然人","——",ROUND(C48*F60/(1+'数据-取费表'!C42),0))</f>
        <v>0</v>
      </c>
      <c r="D60" s="2097" t="s">
        <v>1144</v>
      </c>
      <c r="E60" s="2089" t="s">
        <v>1131</v>
      </c>
      <c r="F60" s="2009">
        <f t="shared" ref="F60:F66" si="0">F32</f>
        <v>0.055</v>
      </c>
      <c r="I60" s="2180" t="s">
        <v>1256</v>
      </c>
      <c r="J60" s="2181" t="e">
        <f ca="1">IF(OR(M47="住宅",J51&lt;L48,J56="是"),"0",ROUND(J59/(1+J52)^J53,0))</f>
        <v>#DIV/0!</v>
      </c>
      <c r="K60" s="2182" t="s">
        <v>1257</v>
      </c>
      <c r="L60" s="2181" t="e">
        <f ca="1">IF(OR(M47="住宅",L48&lt;J51),0,ROUND(L57*(L58/L59-1),0))</f>
        <v>#DIV/0!</v>
      </c>
      <c r="O60" s="2154" t="s">
        <v>1229</v>
      </c>
      <c r="P60" s="2148" t="s">
        <v>1258</v>
      </c>
      <c r="Q60" s="2188" t="e">
        <f ca="1">L58</f>
        <v>#DIV/0!</v>
      </c>
      <c r="R60" s="2188" t="s">
        <v>1259</v>
      </c>
    </row>
    <row r="61" s="1215" customFormat="1" ht="13.95" spans="1:18">
      <c r="A61" s="1993" t="s">
        <v>874</v>
      </c>
      <c r="B61" s="2089" t="s">
        <v>1147</v>
      </c>
      <c r="C61" s="707">
        <f ca="1">IF(项目基本情况!B11="自然人","——",IF(D61="按租金收入计税",ROUND(C49*F61/(1+'数据-取费表'!C42),0),IF(D61="按房产原值计税",ROUND(C57*F61*0.7,0),INDIRECT("'数据-取费表'!Aj"&amp;$G$1))))</f>
        <v>0</v>
      </c>
      <c r="D61" s="2021" t="s">
        <v>1148</v>
      </c>
      <c r="E61" s="2089" t="s">
        <v>1131</v>
      </c>
      <c r="F61" s="2002">
        <f t="shared" si="0"/>
        <v>0.012</v>
      </c>
      <c r="I61" s="2037"/>
      <c r="J61" s="2037"/>
      <c r="K61" s="2037"/>
      <c r="L61" s="2037"/>
      <c r="O61" s="2154" t="s">
        <v>1233</v>
      </c>
      <c r="P61" s="2148" t="str">
        <f>K59</f>
        <v>建设期及建筑物耐用年限下的土地年期修正系数Kn</v>
      </c>
      <c r="Q61" s="2188" t="e">
        <f ca="1">L59</f>
        <v>#DIV/0!</v>
      </c>
      <c r="R61" s="2188" t="s">
        <v>1260</v>
      </c>
    </row>
    <row r="62" s="1215" customFormat="1" ht="13.95" spans="1:18">
      <c r="A62" s="1993" t="s">
        <v>877</v>
      </c>
      <c r="B62" s="2098" t="s">
        <v>1151</v>
      </c>
      <c r="C62" s="2023">
        <f ca="1">IF(项目基本情况!B11="自然人","——",ROUND(F62*F63,0))</f>
        <v>0</v>
      </c>
      <c r="D62" s="2099" t="s">
        <v>1152</v>
      </c>
      <c r="E62" s="2089" t="s">
        <v>1153</v>
      </c>
      <c r="F62" s="2008">
        <f t="shared" si="0"/>
        <v>1.5</v>
      </c>
      <c r="I62" s="2183" t="s">
        <v>1261</v>
      </c>
      <c r="J62" s="2184" t="s">
        <v>1262</v>
      </c>
      <c r="K62" s="2184" t="s">
        <v>1263</v>
      </c>
      <c r="L62" s="2184" t="s">
        <v>1264</v>
      </c>
      <c r="M62" s="2185" t="s">
        <v>1265</v>
      </c>
      <c r="O62" s="2147" t="s">
        <v>1057</v>
      </c>
      <c r="P62" s="2148" t="s">
        <v>1239</v>
      </c>
      <c r="Q62" s="2188" t="e">
        <f ca="1">Q56+Q57</f>
        <v>#DIV/0!</v>
      </c>
      <c r="R62" s="2188" t="s">
        <v>1240</v>
      </c>
    </row>
    <row r="63" s="1215" customFormat="1" ht="13.95" spans="1:18">
      <c r="A63" s="2006"/>
      <c r="B63" s="2100"/>
      <c r="C63" s="2027"/>
      <c r="D63" s="2101"/>
      <c r="E63" s="2089" t="s">
        <v>1157</v>
      </c>
      <c r="F63" s="1963">
        <f ca="1" t="shared" si="0"/>
        <v>0</v>
      </c>
      <c r="I63" s="2183" t="s">
        <v>1266</v>
      </c>
      <c r="J63" s="2184">
        <v>70</v>
      </c>
      <c r="K63" s="2184">
        <v>50</v>
      </c>
      <c r="L63" s="2184">
        <v>80</v>
      </c>
      <c r="M63" s="2186">
        <v>0.02</v>
      </c>
      <c r="O63" s="2135" t="s">
        <v>1267</v>
      </c>
      <c r="P63" s="2170"/>
      <c r="Q63" s="2170"/>
      <c r="R63" s="2170"/>
    </row>
    <row r="64" s="1215" customFormat="1" ht="13.95" spans="1:18">
      <c r="A64" s="1993" t="s">
        <v>851</v>
      </c>
      <c r="B64" s="2089" t="s">
        <v>1159</v>
      </c>
      <c r="C64" s="707">
        <f ca="1">ROUND(C57*F64,0)</f>
        <v>0</v>
      </c>
      <c r="D64" s="2097" t="s">
        <v>1193</v>
      </c>
      <c r="E64" s="2089" t="s">
        <v>1131</v>
      </c>
      <c r="F64" s="2030">
        <f ca="1" t="shared" si="0"/>
        <v>0</v>
      </c>
      <c r="I64" s="2183" t="s">
        <v>1268</v>
      </c>
      <c r="J64" s="2184">
        <v>50</v>
      </c>
      <c r="K64" s="2184">
        <v>35</v>
      </c>
      <c r="L64" s="2184">
        <v>60</v>
      </c>
      <c r="M64" s="2185">
        <v>0</v>
      </c>
      <c r="O64" s="2140" t="s">
        <v>1201</v>
      </c>
      <c r="P64" s="2141" t="s">
        <v>1202</v>
      </c>
      <c r="Q64" s="2187" t="s">
        <v>1203</v>
      </c>
      <c r="R64" s="2187" t="s">
        <v>1204</v>
      </c>
    </row>
    <row r="65" s="1215" customFormat="1" ht="13.95" spans="1:18">
      <c r="A65" s="1993" t="s">
        <v>896</v>
      </c>
      <c r="B65" s="2089" t="s">
        <v>1163</v>
      </c>
      <c r="C65" s="707">
        <f ca="1">ROUND(C56*F65,0)</f>
        <v>0</v>
      </c>
      <c r="D65" s="2097" t="s">
        <v>1164</v>
      </c>
      <c r="E65" s="2089" t="s">
        <v>1131</v>
      </c>
      <c r="F65" s="2031">
        <f ca="1" t="shared" si="0"/>
        <v>0</v>
      </c>
      <c r="I65" s="2183" t="s">
        <v>1269</v>
      </c>
      <c r="J65" s="2184">
        <v>40</v>
      </c>
      <c r="K65" s="2184">
        <v>30</v>
      </c>
      <c r="L65" s="2184">
        <v>50</v>
      </c>
      <c r="M65" s="2186">
        <v>0.02</v>
      </c>
      <c r="O65" s="2147" t="s">
        <v>953</v>
      </c>
      <c r="P65" s="2148" t="s">
        <v>1208</v>
      </c>
      <c r="Q65" s="2188" t="e">
        <f ca="1">C40+J29</f>
        <v>#DIV/0!</v>
      </c>
      <c r="R65" s="2188" t="s">
        <v>1209</v>
      </c>
    </row>
    <row r="66" s="1215" customFormat="1" ht="17.55" spans="1:18">
      <c r="A66" s="1993" t="s">
        <v>899</v>
      </c>
      <c r="B66" s="2089" t="s">
        <v>1149</v>
      </c>
      <c r="C66" s="707">
        <f ca="1">ROUND(C48*F66,0)</f>
        <v>0</v>
      </c>
      <c r="D66" s="2097" t="s">
        <v>1167</v>
      </c>
      <c r="E66" s="2089" t="s">
        <v>1131</v>
      </c>
      <c r="F66" s="1972">
        <f ca="1" t="shared" si="0"/>
        <v>0</v>
      </c>
      <c r="O66" s="2147" t="s">
        <v>956</v>
      </c>
      <c r="P66" s="2148" t="s">
        <v>1249</v>
      </c>
      <c r="Q66" s="2188" t="e">
        <f ca="1">L60</f>
        <v>#DIV/0!</v>
      </c>
      <c r="R66" s="2188" t="s">
        <v>1250</v>
      </c>
    </row>
    <row r="67" s="1215" customFormat="1" ht="24.75" spans="1:18">
      <c r="A67" s="2084" t="s">
        <v>1170</v>
      </c>
      <c r="B67" s="2190" t="s">
        <v>1171</v>
      </c>
      <c r="C67" s="706">
        <f ca="1">C48-C58</f>
        <v>0</v>
      </c>
      <c r="D67" s="2096" t="s">
        <v>1172</v>
      </c>
      <c r="E67" s="2191"/>
      <c r="F67" s="2192"/>
      <c r="O67" s="2154" t="s">
        <v>1221</v>
      </c>
      <c r="P67" s="2148" t="s">
        <v>1253</v>
      </c>
      <c r="Q67" s="2212">
        <f ca="1">L51</f>
        <v>0</v>
      </c>
      <c r="R67" s="2188" t="s">
        <v>1270</v>
      </c>
    </row>
    <row r="68" s="1215" customFormat="1" ht="17.55" spans="1:18">
      <c r="A68" s="2193" t="s">
        <v>1176</v>
      </c>
      <c r="B68" s="2194" t="s">
        <v>1194</v>
      </c>
      <c r="C68" s="2036" t="e">
        <f ca="1">ROUND(C67*(1-((1+F70)/(1+F68))^F69)/(F68-F70),0)</f>
        <v>#DIV/0!</v>
      </c>
      <c r="D68" s="2099" t="s">
        <v>1178</v>
      </c>
      <c r="E68" s="2089" t="s">
        <v>1179</v>
      </c>
      <c r="F68" s="1972">
        <f ca="1">F40</f>
        <v>0</v>
      </c>
      <c r="O68" s="2154" t="s">
        <v>1225</v>
      </c>
      <c r="P68" s="2211" t="s">
        <v>1271</v>
      </c>
      <c r="Q68" s="2188">
        <f ca="1">ROUND(Q69-Q70*Q71,0)</f>
        <v>0</v>
      </c>
      <c r="R68" s="2188" t="s">
        <v>1272</v>
      </c>
    </row>
    <row r="69" s="1215" customFormat="1" ht="13.95" spans="1:18">
      <c r="A69" s="2195"/>
      <c r="B69" s="2196"/>
      <c r="C69" s="1970"/>
      <c r="D69" s="2197" t="s">
        <v>1182</v>
      </c>
      <c r="E69" s="2089" t="s">
        <v>1183</v>
      </c>
      <c r="F69" s="2040">
        <f ca="1">F41</f>
        <v>0</v>
      </c>
      <c r="O69" s="2154" t="s">
        <v>1273</v>
      </c>
      <c r="P69" s="2211" t="s">
        <v>1274</v>
      </c>
      <c r="Q69" s="2188">
        <f ca="1">C39</f>
        <v>0</v>
      </c>
      <c r="R69" s="2188" t="s">
        <v>1209</v>
      </c>
    </row>
    <row r="70" s="1215" customFormat="1" ht="13.95" spans="1:18">
      <c r="A70" s="2198"/>
      <c r="B70" s="2199"/>
      <c r="C70" s="1990"/>
      <c r="D70" s="2101"/>
      <c r="E70" s="2089" t="s">
        <v>1186</v>
      </c>
      <c r="F70" s="2079">
        <f ca="1">F42</f>
        <v>0</v>
      </c>
      <c r="O70" s="2154" t="s">
        <v>1275</v>
      </c>
      <c r="P70" s="2211" t="s">
        <v>1276</v>
      </c>
      <c r="Q70" s="2188">
        <f ca="1">C13</f>
        <v>0</v>
      </c>
      <c r="R70" s="2188" t="s">
        <v>1209</v>
      </c>
    </row>
    <row r="71" s="1215" customFormat="1" ht="13.95" spans="1:18">
      <c r="A71" s="2200" t="s">
        <v>1188</v>
      </c>
      <c r="B71" s="2201" t="s">
        <v>1195</v>
      </c>
      <c r="C71" s="2044" t="e">
        <f ca="1">ROUND(C68/F71,0)</f>
        <v>#DIV/0!</v>
      </c>
      <c r="D71" s="2202" t="s">
        <v>1196</v>
      </c>
      <c r="E71" s="2203" t="s">
        <v>1197</v>
      </c>
      <c r="F71" s="2047">
        <f ca="1">F43</f>
        <v>0</v>
      </c>
      <c r="O71" s="2154" t="s">
        <v>1277</v>
      </c>
      <c r="P71" s="2211" t="s">
        <v>1278</v>
      </c>
      <c r="Q71" s="2189">
        <f ca="1">C76</f>
        <v>0</v>
      </c>
      <c r="R71" s="2188"/>
    </row>
    <row r="72" s="1215" customFormat="1" ht="13.95" spans="2:18">
      <c r="B72" s="742"/>
      <c r="C72" s="742"/>
      <c r="O72" s="2154" t="s">
        <v>1229</v>
      </c>
      <c r="P72" s="2148" t="s">
        <v>1255</v>
      </c>
      <c r="Q72" s="2189">
        <f>L52</f>
        <v>0</v>
      </c>
      <c r="R72" s="2188"/>
    </row>
    <row r="73" ht="17.55" spans="1:18">
      <c r="A73" s="1215"/>
      <c r="B73" s="742"/>
      <c r="C73" s="742"/>
      <c r="D73" s="1215"/>
      <c r="E73" s="1215"/>
      <c r="F73" s="1215"/>
      <c r="O73" s="2154" t="s">
        <v>1233</v>
      </c>
      <c r="P73" s="2148" t="s">
        <v>1258</v>
      </c>
      <c r="Q73" s="2188" t="e">
        <f ca="1">L58</f>
        <v>#DIV/0!</v>
      </c>
      <c r="R73" s="2188" t="s">
        <v>1259</v>
      </c>
    </row>
    <row r="74" ht="13.95" spans="1:18">
      <c r="A74" s="1215"/>
      <c r="B74" s="640" t="s">
        <v>1279</v>
      </c>
      <c r="C74" s="2204"/>
      <c r="D74" s="1215"/>
      <c r="E74" s="1215"/>
      <c r="F74" s="1215"/>
      <c r="O74" s="2154" t="s">
        <v>1280</v>
      </c>
      <c r="P74" s="2148" t="str">
        <f>K59</f>
        <v>建设期及建筑物耐用年限下的土地年期修正系数Kn</v>
      </c>
      <c r="Q74" s="2188" t="e">
        <f ca="1">L59</f>
        <v>#DIV/0!</v>
      </c>
      <c r="R74" s="2188" t="s">
        <v>1260</v>
      </c>
    </row>
    <row r="75" ht="13.95" spans="1:18">
      <c r="A75" s="1215"/>
      <c r="B75" s="2205" t="s">
        <v>1281</v>
      </c>
      <c r="C75" s="2206">
        <f ca="1">ROUND(C13*C76,0)</f>
        <v>0</v>
      </c>
      <c r="D75" s="1215"/>
      <c r="E75" s="1215"/>
      <c r="F75" s="1215"/>
      <c r="K75" s="2134"/>
      <c r="L75" s="1215"/>
      <c r="O75" s="2147" t="s">
        <v>1057</v>
      </c>
      <c r="P75" s="2148" t="s">
        <v>1239</v>
      </c>
      <c r="Q75" s="2188" t="e">
        <f ca="1">Q65+Q66</f>
        <v>#DIV/0!</v>
      </c>
      <c r="R75" s="2188" t="s">
        <v>1240</v>
      </c>
    </row>
    <row r="76" spans="2:12">
      <c r="B76" s="1027" t="s">
        <v>1282</v>
      </c>
      <c r="C76" s="2207">
        <f ca="1">INDIRECT("'数据-取费表'!j"&amp;$G$1)</f>
        <v>0</v>
      </c>
      <c r="I76" s="1215"/>
      <c r="J76" s="1215"/>
      <c r="K76" s="2134"/>
      <c r="L76" s="1215"/>
    </row>
    <row r="77" spans="2:12">
      <c r="B77" s="2208" t="s">
        <v>1283</v>
      </c>
      <c r="C77" s="2209"/>
      <c r="I77" s="1215"/>
      <c r="J77" s="1215"/>
      <c r="K77" s="2134"/>
      <c r="L77" s="1215"/>
    </row>
    <row r="78" spans="2:3">
      <c r="B78" s="638" t="s">
        <v>1284</v>
      </c>
      <c r="C78" s="2210"/>
    </row>
    <row r="79" spans="2:3">
      <c r="B79" s="2205" t="s">
        <v>1285</v>
      </c>
      <c r="C79" s="641" t="e">
        <f ca="1">1-C80</f>
        <v>#DIV/0!</v>
      </c>
    </row>
    <row r="80" spans="2:3">
      <c r="B80" s="2205" t="s">
        <v>1286</v>
      </c>
      <c r="C80" s="641" t="e">
        <f ca="1">ROUND(C75/C39,3)</f>
        <v>#DIV/0!</v>
      </c>
    </row>
    <row r="81" spans="2:3">
      <c r="B81" s="638" t="s">
        <v>1287</v>
      </c>
      <c r="C81" s="605"/>
    </row>
    <row r="82" spans="2:3">
      <c r="B82" s="640" t="s">
        <v>1033</v>
      </c>
      <c r="C82" s="642" t="e">
        <f ca="1">1-C83</f>
        <v>#DIV/0!</v>
      </c>
    </row>
    <row r="83" spans="2:3">
      <c r="B83" s="640" t="s">
        <v>1034</v>
      </c>
      <c r="C83" s="641"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J47">
      <formula1>"钢,钢混,砖混"</formula1>
    </dataValidation>
    <dataValidation type="list" allowBlank="1" showInputMessage="1" showErrorMessage="1" sqref="K19">
      <formula1>"按租金收入计税,按房产原值计税"</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F33" sqref="F33"/>
    </sheetView>
  </sheetViews>
  <sheetFormatPr defaultColWidth="9" defaultRowHeight="13.2" customHeight="1"/>
  <cols>
    <col min="1" max="1" width="9.44444444444444" style="1741" customWidth="1"/>
    <col min="2" max="2" width="8.88888888888889" style="1741"/>
    <col min="3" max="5" width="12.8888888888889" style="1741" customWidth="1"/>
    <col min="6" max="6" width="47.4444444444444" style="1741" customWidth="1"/>
    <col min="7" max="7" width="13" style="1742" customWidth="1"/>
    <col min="8" max="8" width="8.88888888888889" style="1743"/>
    <col min="9" max="9" width="8.88888888888889" style="1744"/>
    <col min="10" max="10" width="5.77777777777778" style="1745" customWidth="1"/>
    <col min="11" max="11" width="11.7777777777778" style="1745" customWidth="1"/>
    <col min="12" max="13" width="10.7777777777778" style="1745" customWidth="1"/>
    <col min="14" max="14" width="10" style="1745" customWidth="1"/>
    <col min="15" max="16" width="10.4444444444444" style="1745" customWidth="1"/>
    <col min="17" max="17" width="10" style="1745" customWidth="1"/>
    <col min="18" max="18" width="10.1111111111111" style="1745" customWidth="1"/>
    <col min="19" max="19" width="10" style="1745" customWidth="1"/>
    <col min="20" max="20" width="26.1111111111111" style="1745" customWidth="1"/>
    <col min="21" max="21" width="8.88888888888889" style="1745"/>
    <col min="22" max="22" width="8.88888888888889" style="1744"/>
    <col min="23" max="256" width="8.88888888888889" style="1741"/>
    <col min="257" max="257" width="9.44444444444444" style="1741" customWidth="1"/>
    <col min="258" max="258" width="8.88888888888889" style="1741"/>
    <col min="259" max="261" width="12.8888888888889" style="1741" customWidth="1"/>
    <col min="262" max="262" width="47.4444444444444" style="1741" customWidth="1"/>
    <col min="263" max="263" width="13" style="1741" customWidth="1"/>
    <col min="264" max="265" width="8.88888888888889" style="1741"/>
    <col min="266" max="266" width="5.77777777777778" style="1741" customWidth="1"/>
    <col min="267" max="267" width="11.7777777777778" style="1741" customWidth="1"/>
    <col min="268" max="269" width="10.7777777777778" style="1741" customWidth="1"/>
    <col min="270" max="270" width="10" style="1741" customWidth="1"/>
    <col min="271" max="272" width="10.4444444444444" style="1741" customWidth="1"/>
    <col min="273" max="273" width="10" style="1741" customWidth="1"/>
    <col min="274" max="274" width="10.1111111111111" style="1741" customWidth="1"/>
    <col min="275" max="275" width="10" style="1741" customWidth="1"/>
    <col min="276" max="276" width="26.1111111111111" style="1741" customWidth="1"/>
    <col min="277" max="512" width="8.88888888888889" style="1741"/>
    <col min="513" max="513" width="9.44444444444444" style="1741" customWidth="1"/>
    <col min="514" max="514" width="8.88888888888889" style="1741"/>
    <col min="515" max="517" width="12.8888888888889" style="1741" customWidth="1"/>
    <col min="518" max="518" width="47.4444444444444" style="1741" customWidth="1"/>
    <col min="519" max="519" width="13" style="1741" customWidth="1"/>
    <col min="520" max="521" width="8.88888888888889" style="1741"/>
    <col min="522" max="522" width="5.77777777777778" style="1741" customWidth="1"/>
    <col min="523" max="523" width="11.7777777777778" style="1741" customWidth="1"/>
    <col min="524" max="525" width="10.7777777777778" style="1741" customWidth="1"/>
    <col min="526" max="526" width="10" style="1741" customWidth="1"/>
    <col min="527" max="528" width="10.4444444444444" style="1741" customWidth="1"/>
    <col min="529" max="529" width="10" style="1741" customWidth="1"/>
    <col min="530" max="530" width="10.1111111111111" style="1741" customWidth="1"/>
    <col min="531" max="531" width="10" style="1741" customWidth="1"/>
    <col min="532" max="532" width="26.1111111111111" style="1741" customWidth="1"/>
    <col min="533" max="768" width="8.88888888888889" style="1741"/>
    <col min="769" max="769" width="9.44444444444444" style="1741" customWidth="1"/>
    <col min="770" max="770" width="8.88888888888889" style="1741"/>
    <col min="771" max="773" width="12.8888888888889" style="1741" customWidth="1"/>
    <col min="774" max="774" width="47.4444444444444" style="1741" customWidth="1"/>
    <col min="775" max="775" width="13" style="1741" customWidth="1"/>
    <col min="776" max="777" width="8.88888888888889" style="1741"/>
    <col min="778" max="778" width="5.77777777777778" style="1741" customWidth="1"/>
    <col min="779" max="779" width="11.7777777777778" style="1741" customWidth="1"/>
    <col min="780" max="781" width="10.7777777777778" style="1741" customWidth="1"/>
    <col min="782" max="782" width="10" style="1741" customWidth="1"/>
    <col min="783" max="784" width="10.4444444444444" style="1741" customWidth="1"/>
    <col min="785" max="785" width="10" style="1741" customWidth="1"/>
    <col min="786" max="786" width="10.1111111111111" style="1741" customWidth="1"/>
    <col min="787" max="787" width="10" style="1741" customWidth="1"/>
    <col min="788" max="788" width="26.1111111111111" style="1741" customWidth="1"/>
    <col min="789" max="1024" width="8.88888888888889" style="1741"/>
    <col min="1025" max="1025" width="9.44444444444444" style="1741" customWidth="1"/>
    <col min="1026" max="1026" width="8.88888888888889" style="1741"/>
    <col min="1027" max="1029" width="12.8888888888889" style="1741" customWidth="1"/>
    <col min="1030" max="1030" width="47.4444444444444" style="1741" customWidth="1"/>
    <col min="1031" max="1031" width="13" style="1741" customWidth="1"/>
    <col min="1032" max="1033" width="8.88888888888889" style="1741"/>
    <col min="1034" max="1034" width="5.77777777777778" style="1741" customWidth="1"/>
    <col min="1035" max="1035" width="11.7777777777778" style="1741" customWidth="1"/>
    <col min="1036" max="1037" width="10.7777777777778" style="1741" customWidth="1"/>
    <col min="1038" max="1038" width="10" style="1741" customWidth="1"/>
    <col min="1039" max="1040" width="10.4444444444444" style="1741" customWidth="1"/>
    <col min="1041" max="1041" width="10" style="1741" customWidth="1"/>
    <col min="1042" max="1042" width="10.1111111111111" style="1741" customWidth="1"/>
    <col min="1043" max="1043" width="10" style="1741" customWidth="1"/>
    <col min="1044" max="1044" width="26.1111111111111" style="1741" customWidth="1"/>
    <col min="1045" max="1280" width="8.88888888888889" style="1741"/>
    <col min="1281" max="1281" width="9.44444444444444" style="1741" customWidth="1"/>
    <col min="1282" max="1282" width="8.88888888888889" style="1741"/>
    <col min="1283" max="1285" width="12.8888888888889" style="1741" customWidth="1"/>
    <col min="1286" max="1286" width="47.4444444444444" style="1741" customWidth="1"/>
    <col min="1287" max="1287" width="13" style="1741" customWidth="1"/>
    <col min="1288" max="1289" width="8.88888888888889" style="1741"/>
    <col min="1290" max="1290" width="5.77777777777778" style="1741" customWidth="1"/>
    <col min="1291" max="1291" width="11.7777777777778" style="1741" customWidth="1"/>
    <col min="1292" max="1293" width="10.7777777777778" style="1741" customWidth="1"/>
    <col min="1294" max="1294" width="10" style="1741" customWidth="1"/>
    <col min="1295" max="1296" width="10.4444444444444" style="1741" customWidth="1"/>
    <col min="1297" max="1297" width="10" style="1741" customWidth="1"/>
    <col min="1298" max="1298" width="10.1111111111111" style="1741" customWidth="1"/>
    <col min="1299" max="1299" width="10" style="1741" customWidth="1"/>
    <col min="1300" max="1300" width="26.1111111111111" style="1741" customWidth="1"/>
    <col min="1301" max="1536" width="8.88888888888889" style="1741"/>
    <col min="1537" max="1537" width="9.44444444444444" style="1741" customWidth="1"/>
    <col min="1538" max="1538" width="8.88888888888889" style="1741"/>
    <col min="1539" max="1541" width="12.8888888888889" style="1741" customWidth="1"/>
    <col min="1542" max="1542" width="47.4444444444444" style="1741" customWidth="1"/>
    <col min="1543" max="1543" width="13" style="1741" customWidth="1"/>
    <col min="1544" max="1545" width="8.88888888888889" style="1741"/>
    <col min="1546" max="1546" width="5.77777777777778" style="1741" customWidth="1"/>
    <col min="1547" max="1547" width="11.7777777777778" style="1741" customWidth="1"/>
    <col min="1548" max="1549" width="10.7777777777778" style="1741" customWidth="1"/>
    <col min="1550" max="1550" width="10" style="1741" customWidth="1"/>
    <col min="1551" max="1552" width="10.4444444444444" style="1741" customWidth="1"/>
    <col min="1553" max="1553" width="10" style="1741" customWidth="1"/>
    <col min="1554" max="1554" width="10.1111111111111" style="1741" customWidth="1"/>
    <col min="1555" max="1555" width="10" style="1741" customWidth="1"/>
    <col min="1556" max="1556" width="26.1111111111111" style="1741" customWidth="1"/>
    <col min="1557" max="1792" width="8.88888888888889" style="1741"/>
    <col min="1793" max="1793" width="9.44444444444444" style="1741" customWidth="1"/>
    <col min="1794" max="1794" width="8.88888888888889" style="1741"/>
    <col min="1795" max="1797" width="12.8888888888889" style="1741" customWidth="1"/>
    <col min="1798" max="1798" width="47.4444444444444" style="1741" customWidth="1"/>
    <col min="1799" max="1799" width="13" style="1741" customWidth="1"/>
    <col min="1800" max="1801" width="8.88888888888889" style="1741"/>
    <col min="1802" max="1802" width="5.77777777777778" style="1741" customWidth="1"/>
    <col min="1803" max="1803" width="11.7777777777778" style="1741" customWidth="1"/>
    <col min="1804" max="1805" width="10.7777777777778" style="1741" customWidth="1"/>
    <col min="1806" max="1806" width="10" style="1741" customWidth="1"/>
    <col min="1807" max="1808" width="10.4444444444444" style="1741" customWidth="1"/>
    <col min="1809" max="1809" width="10" style="1741" customWidth="1"/>
    <col min="1810" max="1810" width="10.1111111111111" style="1741" customWidth="1"/>
    <col min="1811" max="1811" width="10" style="1741" customWidth="1"/>
    <col min="1812" max="1812" width="26.1111111111111" style="1741" customWidth="1"/>
    <col min="1813" max="2048" width="8.88888888888889" style="1741"/>
    <col min="2049" max="2049" width="9.44444444444444" style="1741" customWidth="1"/>
    <col min="2050" max="2050" width="8.88888888888889" style="1741"/>
    <col min="2051" max="2053" width="12.8888888888889" style="1741" customWidth="1"/>
    <col min="2054" max="2054" width="47.4444444444444" style="1741" customWidth="1"/>
    <col min="2055" max="2055" width="13" style="1741" customWidth="1"/>
    <col min="2056" max="2057" width="8.88888888888889" style="1741"/>
    <col min="2058" max="2058" width="5.77777777777778" style="1741" customWidth="1"/>
    <col min="2059" max="2059" width="11.7777777777778" style="1741" customWidth="1"/>
    <col min="2060" max="2061" width="10.7777777777778" style="1741" customWidth="1"/>
    <col min="2062" max="2062" width="10" style="1741" customWidth="1"/>
    <col min="2063" max="2064" width="10.4444444444444" style="1741" customWidth="1"/>
    <col min="2065" max="2065" width="10" style="1741" customWidth="1"/>
    <col min="2066" max="2066" width="10.1111111111111" style="1741" customWidth="1"/>
    <col min="2067" max="2067" width="10" style="1741" customWidth="1"/>
    <col min="2068" max="2068" width="26.1111111111111" style="1741" customWidth="1"/>
    <col min="2069" max="2304" width="8.88888888888889" style="1741"/>
    <col min="2305" max="2305" width="9.44444444444444" style="1741" customWidth="1"/>
    <col min="2306" max="2306" width="8.88888888888889" style="1741"/>
    <col min="2307" max="2309" width="12.8888888888889" style="1741" customWidth="1"/>
    <col min="2310" max="2310" width="47.4444444444444" style="1741" customWidth="1"/>
    <col min="2311" max="2311" width="13" style="1741" customWidth="1"/>
    <col min="2312" max="2313" width="8.88888888888889" style="1741"/>
    <col min="2314" max="2314" width="5.77777777777778" style="1741" customWidth="1"/>
    <col min="2315" max="2315" width="11.7777777777778" style="1741" customWidth="1"/>
    <col min="2316" max="2317" width="10.7777777777778" style="1741" customWidth="1"/>
    <col min="2318" max="2318" width="10" style="1741" customWidth="1"/>
    <col min="2319" max="2320" width="10.4444444444444" style="1741" customWidth="1"/>
    <col min="2321" max="2321" width="10" style="1741" customWidth="1"/>
    <col min="2322" max="2322" width="10.1111111111111" style="1741" customWidth="1"/>
    <col min="2323" max="2323" width="10" style="1741" customWidth="1"/>
    <col min="2324" max="2324" width="26.1111111111111" style="1741" customWidth="1"/>
    <col min="2325" max="2560" width="8.88888888888889" style="1741"/>
    <col min="2561" max="2561" width="9.44444444444444" style="1741" customWidth="1"/>
    <col min="2562" max="2562" width="8.88888888888889" style="1741"/>
    <col min="2563" max="2565" width="12.8888888888889" style="1741" customWidth="1"/>
    <col min="2566" max="2566" width="47.4444444444444" style="1741" customWidth="1"/>
    <col min="2567" max="2567" width="13" style="1741" customWidth="1"/>
    <col min="2568" max="2569" width="8.88888888888889" style="1741"/>
    <col min="2570" max="2570" width="5.77777777777778" style="1741" customWidth="1"/>
    <col min="2571" max="2571" width="11.7777777777778" style="1741" customWidth="1"/>
    <col min="2572" max="2573" width="10.7777777777778" style="1741" customWidth="1"/>
    <col min="2574" max="2574" width="10" style="1741" customWidth="1"/>
    <col min="2575" max="2576" width="10.4444444444444" style="1741" customWidth="1"/>
    <col min="2577" max="2577" width="10" style="1741" customWidth="1"/>
    <col min="2578" max="2578" width="10.1111111111111" style="1741" customWidth="1"/>
    <col min="2579" max="2579" width="10" style="1741" customWidth="1"/>
    <col min="2580" max="2580" width="26.1111111111111" style="1741" customWidth="1"/>
    <col min="2581" max="2816" width="8.88888888888889" style="1741"/>
    <col min="2817" max="2817" width="9.44444444444444" style="1741" customWidth="1"/>
    <col min="2818" max="2818" width="8.88888888888889" style="1741"/>
    <col min="2819" max="2821" width="12.8888888888889" style="1741" customWidth="1"/>
    <col min="2822" max="2822" width="47.4444444444444" style="1741" customWidth="1"/>
    <col min="2823" max="2823" width="13" style="1741" customWidth="1"/>
    <col min="2824" max="2825" width="8.88888888888889" style="1741"/>
    <col min="2826" max="2826" width="5.77777777777778" style="1741" customWidth="1"/>
    <col min="2827" max="2827" width="11.7777777777778" style="1741" customWidth="1"/>
    <col min="2828" max="2829" width="10.7777777777778" style="1741" customWidth="1"/>
    <col min="2830" max="2830" width="10" style="1741" customWidth="1"/>
    <col min="2831" max="2832" width="10.4444444444444" style="1741" customWidth="1"/>
    <col min="2833" max="2833" width="10" style="1741" customWidth="1"/>
    <col min="2834" max="2834" width="10.1111111111111" style="1741" customWidth="1"/>
    <col min="2835" max="2835" width="10" style="1741" customWidth="1"/>
    <col min="2836" max="2836" width="26.1111111111111" style="1741" customWidth="1"/>
    <col min="2837" max="3072" width="8.88888888888889" style="1741"/>
    <col min="3073" max="3073" width="9.44444444444444" style="1741" customWidth="1"/>
    <col min="3074" max="3074" width="8.88888888888889" style="1741"/>
    <col min="3075" max="3077" width="12.8888888888889" style="1741" customWidth="1"/>
    <col min="3078" max="3078" width="47.4444444444444" style="1741" customWidth="1"/>
    <col min="3079" max="3079" width="13" style="1741" customWidth="1"/>
    <col min="3080" max="3081" width="8.88888888888889" style="1741"/>
    <col min="3082" max="3082" width="5.77777777777778" style="1741" customWidth="1"/>
    <col min="3083" max="3083" width="11.7777777777778" style="1741" customWidth="1"/>
    <col min="3084" max="3085" width="10.7777777777778" style="1741" customWidth="1"/>
    <col min="3086" max="3086" width="10" style="1741" customWidth="1"/>
    <col min="3087" max="3088" width="10.4444444444444" style="1741" customWidth="1"/>
    <col min="3089" max="3089" width="10" style="1741" customWidth="1"/>
    <col min="3090" max="3090" width="10.1111111111111" style="1741" customWidth="1"/>
    <col min="3091" max="3091" width="10" style="1741" customWidth="1"/>
    <col min="3092" max="3092" width="26.1111111111111" style="1741" customWidth="1"/>
    <col min="3093" max="3328" width="8.88888888888889" style="1741"/>
    <col min="3329" max="3329" width="9.44444444444444" style="1741" customWidth="1"/>
    <col min="3330" max="3330" width="8.88888888888889" style="1741"/>
    <col min="3331" max="3333" width="12.8888888888889" style="1741" customWidth="1"/>
    <col min="3334" max="3334" width="47.4444444444444" style="1741" customWidth="1"/>
    <col min="3335" max="3335" width="13" style="1741" customWidth="1"/>
    <col min="3336" max="3337" width="8.88888888888889" style="1741"/>
    <col min="3338" max="3338" width="5.77777777777778" style="1741" customWidth="1"/>
    <col min="3339" max="3339" width="11.7777777777778" style="1741" customWidth="1"/>
    <col min="3340" max="3341" width="10.7777777777778" style="1741" customWidth="1"/>
    <col min="3342" max="3342" width="10" style="1741" customWidth="1"/>
    <col min="3343" max="3344" width="10.4444444444444" style="1741" customWidth="1"/>
    <col min="3345" max="3345" width="10" style="1741" customWidth="1"/>
    <col min="3346" max="3346" width="10.1111111111111" style="1741" customWidth="1"/>
    <col min="3347" max="3347" width="10" style="1741" customWidth="1"/>
    <col min="3348" max="3348" width="26.1111111111111" style="1741" customWidth="1"/>
    <col min="3349" max="3584" width="8.88888888888889" style="1741"/>
    <col min="3585" max="3585" width="9.44444444444444" style="1741" customWidth="1"/>
    <col min="3586" max="3586" width="8.88888888888889" style="1741"/>
    <col min="3587" max="3589" width="12.8888888888889" style="1741" customWidth="1"/>
    <col min="3590" max="3590" width="47.4444444444444" style="1741" customWidth="1"/>
    <col min="3591" max="3591" width="13" style="1741" customWidth="1"/>
    <col min="3592" max="3593" width="8.88888888888889" style="1741"/>
    <col min="3594" max="3594" width="5.77777777777778" style="1741" customWidth="1"/>
    <col min="3595" max="3595" width="11.7777777777778" style="1741" customWidth="1"/>
    <col min="3596" max="3597" width="10.7777777777778" style="1741" customWidth="1"/>
    <col min="3598" max="3598" width="10" style="1741" customWidth="1"/>
    <col min="3599" max="3600" width="10.4444444444444" style="1741" customWidth="1"/>
    <col min="3601" max="3601" width="10" style="1741" customWidth="1"/>
    <col min="3602" max="3602" width="10.1111111111111" style="1741" customWidth="1"/>
    <col min="3603" max="3603" width="10" style="1741" customWidth="1"/>
    <col min="3604" max="3604" width="26.1111111111111" style="1741" customWidth="1"/>
    <col min="3605" max="3840" width="8.88888888888889" style="1741"/>
    <col min="3841" max="3841" width="9.44444444444444" style="1741" customWidth="1"/>
    <col min="3842" max="3842" width="8.88888888888889" style="1741"/>
    <col min="3843" max="3845" width="12.8888888888889" style="1741" customWidth="1"/>
    <col min="3846" max="3846" width="47.4444444444444" style="1741" customWidth="1"/>
    <col min="3847" max="3847" width="13" style="1741" customWidth="1"/>
    <col min="3848" max="3849" width="8.88888888888889" style="1741"/>
    <col min="3850" max="3850" width="5.77777777777778" style="1741" customWidth="1"/>
    <col min="3851" max="3851" width="11.7777777777778" style="1741" customWidth="1"/>
    <col min="3852" max="3853" width="10.7777777777778" style="1741" customWidth="1"/>
    <col min="3854" max="3854" width="10" style="1741" customWidth="1"/>
    <col min="3855" max="3856" width="10.4444444444444" style="1741" customWidth="1"/>
    <col min="3857" max="3857" width="10" style="1741" customWidth="1"/>
    <col min="3858" max="3858" width="10.1111111111111" style="1741" customWidth="1"/>
    <col min="3859" max="3859" width="10" style="1741" customWidth="1"/>
    <col min="3860" max="3860" width="26.1111111111111" style="1741" customWidth="1"/>
    <col min="3861" max="4096" width="8.88888888888889" style="1741"/>
    <col min="4097" max="4097" width="9.44444444444444" style="1741" customWidth="1"/>
    <col min="4098" max="4098" width="8.88888888888889" style="1741"/>
    <col min="4099" max="4101" width="12.8888888888889" style="1741" customWidth="1"/>
    <col min="4102" max="4102" width="47.4444444444444" style="1741" customWidth="1"/>
    <col min="4103" max="4103" width="13" style="1741" customWidth="1"/>
    <col min="4104" max="4105" width="8.88888888888889" style="1741"/>
    <col min="4106" max="4106" width="5.77777777777778" style="1741" customWidth="1"/>
    <col min="4107" max="4107" width="11.7777777777778" style="1741" customWidth="1"/>
    <col min="4108" max="4109" width="10.7777777777778" style="1741" customWidth="1"/>
    <col min="4110" max="4110" width="10" style="1741" customWidth="1"/>
    <col min="4111" max="4112" width="10.4444444444444" style="1741" customWidth="1"/>
    <col min="4113" max="4113" width="10" style="1741" customWidth="1"/>
    <col min="4114" max="4114" width="10.1111111111111" style="1741" customWidth="1"/>
    <col min="4115" max="4115" width="10" style="1741" customWidth="1"/>
    <col min="4116" max="4116" width="26.1111111111111" style="1741" customWidth="1"/>
    <col min="4117" max="4352" width="8.88888888888889" style="1741"/>
    <col min="4353" max="4353" width="9.44444444444444" style="1741" customWidth="1"/>
    <col min="4354" max="4354" width="8.88888888888889" style="1741"/>
    <col min="4355" max="4357" width="12.8888888888889" style="1741" customWidth="1"/>
    <col min="4358" max="4358" width="47.4444444444444" style="1741" customWidth="1"/>
    <col min="4359" max="4359" width="13" style="1741" customWidth="1"/>
    <col min="4360" max="4361" width="8.88888888888889" style="1741"/>
    <col min="4362" max="4362" width="5.77777777777778" style="1741" customWidth="1"/>
    <col min="4363" max="4363" width="11.7777777777778" style="1741" customWidth="1"/>
    <col min="4364" max="4365" width="10.7777777777778" style="1741" customWidth="1"/>
    <col min="4366" max="4366" width="10" style="1741" customWidth="1"/>
    <col min="4367" max="4368" width="10.4444444444444" style="1741" customWidth="1"/>
    <col min="4369" max="4369" width="10" style="1741" customWidth="1"/>
    <col min="4370" max="4370" width="10.1111111111111" style="1741" customWidth="1"/>
    <col min="4371" max="4371" width="10" style="1741" customWidth="1"/>
    <col min="4372" max="4372" width="26.1111111111111" style="1741" customWidth="1"/>
    <col min="4373" max="4608" width="8.88888888888889" style="1741"/>
    <col min="4609" max="4609" width="9.44444444444444" style="1741" customWidth="1"/>
    <col min="4610" max="4610" width="8.88888888888889" style="1741"/>
    <col min="4611" max="4613" width="12.8888888888889" style="1741" customWidth="1"/>
    <col min="4614" max="4614" width="47.4444444444444" style="1741" customWidth="1"/>
    <col min="4615" max="4615" width="13" style="1741" customWidth="1"/>
    <col min="4616" max="4617" width="8.88888888888889" style="1741"/>
    <col min="4618" max="4618" width="5.77777777777778" style="1741" customWidth="1"/>
    <col min="4619" max="4619" width="11.7777777777778" style="1741" customWidth="1"/>
    <col min="4620" max="4621" width="10.7777777777778" style="1741" customWidth="1"/>
    <col min="4622" max="4622" width="10" style="1741" customWidth="1"/>
    <col min="4623" max="4624" width="10.4444444444444" style="1741" customWidth="1"/>
    <col min="4625" max="4625" width="10" style="1741" customWidth="1"/>
    <col min="4626" max="4626" width="10.1111111111111" style="1741" customWidth="1"/>
    <col min="4627" max="4627" width="10" style="1741" customWidth="1"/>
    <col min="4628" max="4628" width="26.1111111111111" style="1741" customWidth="1"/>
    <col min="4629" max="4864" width="8.88888888888889" style="1741"/>
    <col min="4865" max="4865" width="9.44444444444444" style="1741" customWidth="1"/>
    <col min="4866" max="4866" width="8.88888888888889" style="1741"/>
    <col min="4867" max="4869" width="12.8888888888889" style="1741" customWidth="1"/>
    <col min="4870" max="4870" width="47.4444444444444" style="1741" customWidth="1"/>
    <col min="4871" max="4871" width="13" style="1741" customWidth="1"/>
    <col min="4872" max="4873" width="8.88888888888889" style="1741"/>
    <col min="4874" max="4874" width="5.77777777777778" style="1741" customWidth="1"/>
    <col min="4875" max="4875" width="11.7777777777778" style="1741" customWidth="1"/>
    <col min="4876" max="4877" width="10.7777777777778" style="1741" customWidth="1"/>
    <col min="4878" max="4878" width="10" style="1741" customWidth="1"/>
    <col min="4879" max="4880" width="10.4444444444444" style="1741" customWidth="1"/>
    <col min="4881" max="4881" width="10" style="1741" customWidth="1"/>
    <col min="4882" max="4882" width="10.1111111111111" style="1741" customWidth="1"/>
    <col min="4883" max="4883" width="10" style="1741" customWidth="1"/>
    <col min="4884" max="4884" width="26.1111111111111" style="1741" customWidth="1"/>
    <col min="4885" max="5120" width="8.88888888888889" style="1741"/>
    <col min="5121" max="5121" width="9.44444444444444" style="1741" customWidth="1"/>
    <col min="5122" max="5122" width="8.88888888888889" style="1741"/>
    <col min="5123" max="5125" width="12.8888888888889" style="1741" customWidth="1"/>
    <col min="5126" max="5126" width="47.4444444444444" style="1741" customWidth="1"/>
    <col min="5127" max="5127" width="13" style="1741" customWidth="1"/>
    <col min="5128" max="5129" width="8.88888888888889" style="1741"/>
    <col min="5130" max="5130" width="5.77777777777778" style="1741" customWidth="1"/>
    <col min="5131" max="5131" width="11.7777777777778" style="1741" customWidth="1"/>
    <col min="5132" max="5133" width="10.7777777777778" style="1741" customWidth="1"/>
    <col min="5134" max="5134" width="10" style="1741" customWidth="1"/>
    <col min="5135" max="5136" width="10.4444444444444" style="1741" customWidth="1"/>
    <col min="5137" max="5137" width="10" style="1741" customWidth="1"/>
    <col min="5138" max="5138" width="10.1111111111111" style="1741" customWidth="1"/>
    <col min="5139" max="5139" width="10" style="1741" customWidth="1"/>
    <col min="5140" max="5140" width="26.1111111111111" style="1741" customWidth="1"/>
    <col min="5141" max="5376" width="8.88888888888889" style="1741"/>
    <col min="5377" max="5377" width="9.44444444444444" style="1741" customWidth="1"/>
    <col min="5378" max="5378" width="8.88888888888889" style="1741"/>
    <col min="5379" max="5381" width="12.8888888888889" style="1741" customWidth="1"/>
    <col min="5382" max="5382" width="47.4444444444444" style="1741" customWidth="1"/>
    <col min="5383" max="5383" width="13" style="1741" customWidth="1"/>
    <col min="5384" max="5385" width="8.88888888888889" style="1741"/>
    <col min="5386" max="5386" width="5.77777777777778" style="1741" customWidth="1"/>
    <col min="5387" max="5387" width="11.7777777777778" style="1741" customWidth="1"/>
    <col min="5388" max="5389" width="10.7777777777778" style="1741" customWidth="1"/>
    <col min="5390" max="5390" width="10" style="1741" customWidth="1"/>
    <col min="5391" max="5392" width="10.4444444444444" style="1741" customWidth="1"/>
    <col min="5393" max="5393" width="10" style="1741" customWidth="1"/>
    <col min="5394" max="5394" width="10.1111111111111" style="1741" customWidth="1"/>
    <col min="5395" max="5395" width="10" style="1741" customWidth="1"/>
    <col min="5396" max="5396" width="26.1111111111111" style="1741" customWidth="1"/>
    <col min="5397" max="5632" width="8.88888888888889" style="1741"/>
    <col min="5633" max="5633" width="9.44444444444444" style="1741" customWidth="1"/>
    <col min="5634" max="5634" width="8.88888888888889" style="1741"/>
    <col min="5635" max="5637" width="12.8888888888889" style="1741" customWidth="1"/>
    <col min="5638" max="5638" width="47.4444444444444" style="1741" customWidth="1"/>
    <col min="5639" max="5639" width="13" style="1741" customWidth="1"/>
    <col min="5640" max="5641" width="8.88888888888889" style="1741"/>
    <col min="5642" max="5642" width="5.77777777777778" style="1741" customWidth="1"/>
    <col min="5643" max="5643" width="11.7777777777778" style="1741" customWidth="1"/>
    <col min="5644" max="5645" width="10.7777777777778" style="1741" customWidth="1"/>
    <col min="5646" max="5646" width="10" style="1741" customWidth="1"/>
    <col min="5647" max="5648" width="10.4444444444444" style="1741" customWidth="1"/>
    <col min="5649" max="5649" width="10" style="1741" customWidth="1"/>
    <col min="5650" max="5650" width="10.1111111111111" style="1741" customWidth="1"/>
    <col min="5651" max="5651" width="10" style="1741" customWidth="1"/>
    <col min="5652" max="5652" width="26.1111111111111" style="1741" customWidth="1"/>
    <col min="5653" max="5888" width="8.88888888888889" style="1741"/>
    <col min="5889" max="5889" width="9.44444444444444" style="1741" customWidth="1"/>
    <col min="5890" max="5890" width="8.88888888888889" style="1741"/>
    <col min="5891" max="5893" width="12.8888888888889" style="1741" customWidth="1"/>
    <col min="5894" max="5894" width="47.4444444444444" style="1741" customWidth="1"/>
    <col min="5895" max="5895" width="13" style="1741" customWidth="1"/>
    <col min="5896" max="5897" width="8.88888888888889" style="1741"/>
    <col min="5898" max="5898" width="5.77777777777778" style="1741" customWidth="1"/>
    <col min="5899" max="5899" width="11.7777777777778" style="1741" customWidth="1"/>
    <col min="5900" max="5901" width="10.7777777777778" style="1741" customWidth="1"/>
    <col min="5902" max="5902" width="10" style="1741" customWidth="1"/>
    <col min="5903" max="5904" width="10.4444444444444" style="1741" customWidth="1"/>
    <col min="5905" max="5905" width="10" style="1741" customWidth="1"/>
    <col min="5906" max="5906" width="10.1111111111111" style="1741" customWidth="1"/>
    <col min="5907" max="5907" width="10" style="1741" customWidth="1"/>
    <col min="5908" max="5908" width="26.1111111111111" style="1741" customWidth="1"/>
    <col min="5909" max="6144" width="8.88888888888889" style="1741"/>
    <col min="6145" max="6145" width="9.44444444444444" style="1741" customWidth="1"/>
    <col min="6146" max="6146" width="8.88888888888889" style="1741"/>
    <col min="6147" max="6149" width="12.8888888888889" style="1741" customWidth="1"/>
    <col min="6150" max="6150" width="47.4444444444444" style="1741" customWidth="1"/>
    <col min="6151" max="6151" width="13" style="1741" customWidth="1"/>
    <col min="6152" max="6153" width="8.88888888888889" style="1741"/>
    <col min="6154" max="6154" width="5.77777777777778" style="1741" customWidth="1"/>
    <col min="6155" max="6155" width="11.7777777777778" style="1741" customWidth="1"/>
    <col min="6156" max="6157" width="10.7777777777778" style="1741" customWidth="1"/>
    <col min="6158" max="6158" width="10" style="1741" customWidth="1"/>
    <col min="6159" max="6160" width="10.4444444444444" style="1741" customWidth="1"/>
    <col min="6161" max="6161" width="10" style="1741" customWidth="1"/>
    <col min="6162" max="6162" width="10.1111111111111" style="1741" customWidth="1"/>
    <col min="6163" max="6163" width="10" style="1741" customWidth="1"/>
    <col min="6164" max="6164" width="26.1111111111111" style="1741" customWidth="1"/>
    <col min="6165" max="6400" width="8.88888888888889" style="1741"/>
    <col min="6401" max="6401" width="9.44444444444444" style="1741" customWidth="1"/>
    <col min="6402" max="6402" width="8.88888888888889" style="1741"/>
    <col min="6403" max="6405" width="12.8888888888889" style="1741" customWidth="1"/>
    <col min="6406" max="6406" width="47.4444444444444" style="1741" customWidth="1"/>
    <col min="6407" max="6407" width="13" style="1741" customWidth="1"/>
    <col min="6408" max="6409" width="8.88888888888889" style="1741"/>
    <col min="6410" max="6410" width="5.77777777777778" style="1741" customWidth="1"/>
    <col min="6411" max="6411" width="11.7777777777778" style="1741" customWidth="1"/>
    <col min="6412" max="6413" width="10.7777777777778" style="1741" customWidth="1"/>
    <col min="6414" max="6414" width="10" style="1741" customWidth="1"/>
    <col min="6415" max="6416" width="10.4444444444444" style="1741" customWidth="1"/>
    <col min="6417" max="6417" width="10" style="1741" customWidth="1"/>
    <col min="6418" max="6418" width="10.1111111111111" style="1741" customWidth="1"/>
    <col min="6419" max="6419" width="10" style="1741" customWidth="1"/>
    <col min="6420" max="6420" width="26.1111111111111" style="1741" customWidth="1"/>
    <col min="6421" max="6656" width="8.88888888888889" style="1741"/>
    <col min="6657" max="6657" width="9.44444444444444" style="1741" customWidth="1"/>
    <col min="6658" max="6658" width="8.88888888888889" style="1741"/>
    <col min="6659" max="6661" width="12.8888888888889" style="1741" customWidth="1"/>
    <col min="6662" max="6662" width="47.4444444444444" style="1741" customWidth="1"/>
    <col min="6663" max="6663" width="13" style="1741" customWidth="1"/>
    <col min="6664" max="6665" width="8.88888888888889" style="1741"/>
    <col min="6666" max="6666" width="5.77777777777778" style="1741" customWidth="1"/>
    <col min="6667" max="6667" width="11.7777777777778" style="1741" customWidth="1"/>
    <col min="6668" max="6669" width="10.7777777777778" style="1741" customWidth="1"/>
    <col min="6670" max="6670" width="10" style="1741" customWidth="1"/>
    <col min="6671" max="6672" width="10.4444444444444" style="1741" customWidth="1"/>
    <col min="6673" max="6673" width="10" style="1741" customWidth="1"/>
    <col min="6674" max="6674" width="10.1111111111111" style="1741" customWidth="1"/>
    <col min="6675" max="6675" width="10" style="1741" customWidth="1"/>
    <col min="6676" max="6676" width="26.1111111111111" style="1741" customWidth="1"/>
    <col min="6677" max="6912" width="8.88888888888889" style="1741"/>
    <col min="6913" max="6913" width="9.44444444444444" style="1741" customWidth="1"/>
    <col min="6914" max="6914" width="8.88888888888889" style="1741"/>
    <col min="6915" max="6917" width="12.8888888888889" style="1741" customWidth="1"/>
    <col min="6918" max="6918" width="47.4444444444444" style="1741" customWidth="1"/>
    <col min="6919" max="6919" width="13" style="1741" customWidth="1"/>
    <col min="6920" max="6921" width="8.88888888888889" style="1741"/>
    <col min="6922" max="6922" width="5.77777777777778" style="1741" customWidth="1"/>
    <col min="6923" max="6923" width="11.7777777777778" style="1741" customWidth="1"/>
    <col min="6924" max="6925" width="10.7777777777778" style="1741" customWidth="1"/>
    <col min="6926" max="6926" width="10" style="1741" customWidth="1"/>
    <col min="6927" max="6928" width="10.4444444444444" style="1741" customWidth="1"/>
    <col min="6929" max="6929" width="10" style="1741" customWidth="1"/>
    <col min="6930" max="6930" width="10.1111111111111" style="1741" customWidth="1"/>
    <col min="6931" max="6931" width="10" style="1741" customWidth="1"/>
    <col min="6932" max="6932" width="26.1111111111111" style="1741" customWidth="1"/>
    <col min="6933" max="7168" width="8.88888888888889" style="1741"/>
    <col min="7169" max="7169" width="9.44444444444444" style="1741" customWidth="1"/>
    <col min="7170" max="7170" width="8.88888888888889" style="1741"/>
    <col min="7171" max="7173" width="12.8888888888889" style="1741" customWidth="1"/>
    <col min="7174" max="7174" width="47.4444444444444" style="1741" customWidth="1"/>
    <col min="7175" max="7175" width="13" style="1741" customWidth="1"/>
    <col min="7176" max="7177" width="8.88888888888889" style="1741"/>
    <col min="7178" max="7178" width="5.77777777777778" style="1741" customWidth="1"/>
    <col min="7179" max="7179" width="11.7777777777778" style="1741" customWidth="1"/>
    <col min="7180" max="7181" width="10.7777777777778" style="1741" customWidth="1"/>
    <col min="7182" max="7182" width="10" style="1741" customWidth="1"/>
    <col min="7183" max="7184" width="10.4444444444444" style="1741" customWidth="1"/>
    <col min="7185" max="7185" width="10" style="1741" customWidth="1"/>
    <col min="7186" max="7186" width="10.1111111111111" style="1741" customWidth="1"/>
    <col min="7187" max="7187" width="10" style="1741" customWidth="1"/>
    <col min="7188" max="7188" width="26.1111111111111" style="1741" customWidth="1"/>
    <col min="7189" max="7424" width="8.88888888888889" style="1741"/>
    <col min="7425" max="7425" width="9.44444444444444" style="1741" customWidth="1"/>
    <col min="7426" max="7426" width="8.88888888888889" style="1741"/>
    <col min="7427" max="7429" width="12.8888888888889" style="1741" customWidth="1"/>
    <col min="7430" max="7430" width="47.4444444444444" style="1741" customWidth="1"/>
    <col min="7431" max="7431" width="13" style="1741" customWidth="1"/>
    <col min="7432" max="7433" width="8.88888888888889" style="1741"/>
    <col min="7434" max="7434" width="5.77777777777778" style="1741" customWidth="1"/>
    <col min="7435" max="7435" width="11.7777777777778" style="1741" customWidth="1"/>
    <col min="7436" max="7437" width="10.7777777777778" style="1741" customWidth="1"/>
    <col min="7438" max="7438" width="10" style="1741" customWidth="1"/>
    <col min="7439" max="7440" width="10.4444444444444" style="1741" customWidth="1"/>
    <col min="7441" max="7441" width="10" style="1741" customWidth="1"/>
    <col min="7442" max="7442" width="10.1111111111111" style="1741" customWidth="1"/>
    <col min="7443" max="7443" width="10" style="1741" customWidth="1"/>
    <col min="7444" max="7444" width="26.1111111111111" style="1741" customWidth="1"/>
    <col min="7445" max="7680" width="8.88888888888889" style="1741"/>
    <col min="7681" max="7681" width="9.44444444444444" style="1741" customWidth="1"/>
    <col min="7682" max="7682" width="8.88888888888889" style="1741"/>
    <col min="7683" max="7685" width="12.8888888888889" style="1741" customWidth="1"/>
    <col min="7686" max="7686" width="47.4444444444444" style="1741" customWidth="1"/>
    <col min="7687" max="7687" width="13" style="1741" customWidth="1"/>
    <col min="7688" max="7689" width="8.88888888888889" style="1741"/>
    <col min="7690" max="7690" width="5.77777777777778" style="1741" customWidth="1"/>
    <col min="7691" max="7691" width="11.7777777777778" style="1741" customWidth="1"/>
    <col min="7692" max="7693" width="10.7777777777778" style="1741" customWidth="1"/>
    <col min="7694" max="7694" width="10" style="1741" customWidth="1"/>
    <col min="7695" max="7696" width="10.4444444444444" style="1741" customWidth="1"/>
    <col min="7697" max="7697" width="10" style="1741" customWidth="1"/>
    <col min="7698" max="7698" width="10.1111111111111" style="1741" customWidth="1"/>
    <col min="7699" max="7699" width="10" style="1741" customWidth="1"/>
    <col min="7700" max="7700" width="26.1111111111111" style="1741" customWidth="1"/>
    <col min="7701" max="7936" width="8.88888888888889" style="1741"/>
    <col min="7937" max="7937" width="9.44444444444444" style="1741" customWidth="1"/>
    <col min="7938" max="7938" width="8.88888888888889" style="1741"/>
    <col min="7939" max="7941" width="12.8888888888889" style="1741" customWidth="1"/>
    <col min="7942" max="7942" width="47.4444444444444" style="1741" customWidth="1"/>
    <col min="7943" max="7943" width="13" style="1741" customWidth="1"/>
    <col min="7944" max="7945" width="8.88888888888889" style="1741"/>
    <col min="7946" max="7946" width="5.77777777777778" style="1741" customWidth="1"/>
    <col min="7947" max="7947" width="11.7777777777778" style="1741" customWidth="1"/>
    <col min="7948" max="7949" width="10.7777777777778" style="1741" customWidth="1"/>
    <col min="7950" max="7950" width="10" style="1741" customWidth="1"/>
    <col min="7951" max="7952" width="10.4444444444444" style="1741" customWidth="1"/>
    <col min="7953" max="7953" width="10" style="1741" customWidth="1"/>
    <col min="7954" max="7954" width="10.1111111111111" style="1741" customWidth="1"/>
    <col min="7955" max="7955" width="10" style="1741" customWidth="1"/>
    <col min="7956" max="7956" width="26.1111111111111" style="1741" customWidth="1"/>
    <col min="7957" max="8192" width="8.88888888888889" style="1741"/>
    <col min="8193" max="8193" width="9.44444444444444" style="1741" customWidth="1"/>
    <col min="8194" max="8194" width="8.88888888888889" style="1741"/>
    <col min="8195" max="8197" width="12.8888888888889" style="1741" customWidth="1"/>
    <col min="8198" max="8198" width="47.4444444444444" style="1741" customWidth="1"/>
    <col min="8199" max="8199" width="13" style="1741" customWidth="1"/>
    <col min="8200" max="8201" width="8.88888888888889" style="1741"/>
    <col min="8202" max="8202" width="5.77777777777778" style="1741" customWidth="1"/>
    <col min="8203" max="8203" width="11.7777777777778" style="1741" customWidth="1"/>
    <col min="8204" max="8205" width="10.7777777777778" style="1741" customWidth="1"/>
    <col min="8206" max="8206" width="10" style="1741" customWidth="1"/>
    <col min="8207" max="8208" width="10.4444444444444" style="1741" customWidth="1"/>
    <col min="8209" max="8209" width="10" style="1741" customWidth="1"/>
    <col min="8210" max="8210" width="10.1111111111111" style="1741" customWidth="1"/>
    <col min="8211" max="8211" width="10" style="1741" customWidth="1"/>
    <col min="8212" max="8212" width="26.1111111111111" style="1741" customWidth="1"/>
    <col min="8213" max="8448" width="8.88888888888889" style="1741"/>
    <col min="8449" max="8449" width="9.44444444444444" style="1741" customWidth="1"/>
    <col min="8450" max="8450" width="8.88888888888889" style="1741"/>
    <col min="8451" max="8453" width="12.8888888888889" style="1741" customWidth="1"/>
    <col min="8454" max="8454" width="47.4444444444444" style="1741" customWidth="1"/>
    <col min="8455" max="8455" width="13" style="1741" customWidth="1"/>
    <col min="8456" max="8457" width="8.88888888888889" style="1741"/>
    <col min="8458" max="8458" width="5.77777777777778" style="1741" customWidth="1"/>
    <col min="8459" max="8459" width="11.7777777777778" style="1741" customWidth="1"/>
    <col min="8460" max="8461" width="10.7777777777778" style="1741" customWidth="1"/>
    <col min="8462" max="8462" width="10" style="1741" customWidth="1"/>
    <col min="8463" max="8464" width="10.4444444444444" style="1741" customWidth="1"/>
    <col min="8465" max="8465" width="10" style="1741" customWidth="1"/>
    <col min="8466" max="8466" width="10.1111111111111" style="1741" customWidth="1"/>
    <col min="8467" max="8467" width="10" style="1741" customWidth="1"/>
    <col min="8468" max="8468" width="26.1111111111111" style="1741" customWidth="1"/>
    <col min="8469" max="8704" width="8.88888888888889" style="1741"/>
    <col min="8705" max="8705" width="9.44444444444444" style="1741" customWidth="1"/>
    <col min="8706" max="8706" width="8.88888888888889" style="1741"/>
    <col min="8707" max="8709" width="12.8888888888889" style="1741" customWidth="1"/>
    <col min="8710" max="8710" width="47.4444444444444" style="1741" customWidth="1"/>
    <col min="8711" max="8711" width="13" style="1741" customWidth="1"/>
    <col min="8712" max="8713" width="8.88888888888889" style="1741"/>
    <col min="8714" max="8714" width="5.77777777777778" style="1741" customWidth="1"/>
    <col min="8715" max="8715" width="11.7777777777778" style="1741" customWidth="1"/>
    <col min="8716" max="8717" width="10.7777777777778" style="1741" customWidth="1"/>
    <col min="8718" max="8718" width="10" style="1741" customWidth="1"/>
    <col min="8719" max="8720" width="10.4444444444444" style="1741" customWidth="1"/>
    <col min="8721" max="8721" width="10" style="1741" customWidth="1"/>
    <col min="8722" max="8722" width="10.1111111111111" style="1741" customWidth="1"/>
    <col min="8723" max="8723" width="10" style="1741" customWidth="1"/>
    <col min="8724" max="8724" width="26.1111111111111" style="1741" customWidth="1"/>
    <col min="8725" max="8960" width="8.88888888888889" style="1741"/>
    <col min="8961" max="8961" width="9.44444444444444" style="1741" customWidth="1"/>
    <col min="8962" max="8962" width="8.88888888888889" style="1741"/>
    <col min="8963" max="8965" width="12.8888888888889" style="1741" customWidth="1"/>
    <col min="8966" max="8966" width="47.4444444444444" style="1741" customWidth="1"/>
    <col min="8967" max="8967" width="13" style="1741" customWidth="1"/>
    <col min="8968" max="8969" width="8.88888888888889" style="1741"/>
    <col min="8970" max="8970" width="5.77777777777778" style="1741" customWidth="1"/>
    <col min="8971" max="8971" width="11.7777777777778" style="1741" customWidth="1"/>
    <col min="8972" max="8973" width="10.7777777777778" style="1741" customWidth="1"/>
    <col min="8974" max="8974" width="10" style="1741" customWidth="1"/>
    <col min="8975" max="8976" width="10.4444444444444" style="1741" customWidth="1"/>
    <col min="8977" max="8977" width="10" style="1741" customWidth="1"/>
    <col min="8978" max="8978" width="10.1111111111111" style="1741" customWidth="1"/>
    <col min="8979" max="8979" width="10" style="1741" customWidth="1"/>
    <col min="8980" max="8980" width="26.1111111111111" style="1741" customWidth="1"/>
    <col min="8981" max="9216" width="8.88888888888889" style="1741"/>
    <col min="9217" max="9217" width="9.44444444444444" style="1741" customWidth="1"/>
    <col min="9218" max="9218" width="8.88888888888889" style="1741"/>
    <col min="9219" max="9221" width="12.8888888888889" style="1741" customWidth="1"/>
    <col min="9222" max="9222" width="47.4444444444444" style="1741" customWidth="1"/>
    <col min="9223" max="9223" width="13" style="1741" customWidth="1"/>
    <col min="9224" max="9225" width="8.88888888888889" style="1741"/>
    <col min="9226" max="9226" width="5.77777777777778" style="1741" customWidth="1"/>
    <col min="9227" max="9227" width="11.7777777777778" style="1741" customWidth="1"/>
    <col min="9228" max="9229" width="10.7777777777778" style="1741" customWidth="1"/>
    <col min="9230" max="9230" width="10" style="1741" customWidth="1"/>
    <col min="9231" max="9232" width="10.4444444444444" style="1741" customWidth="1"/>
    <col min="9233" max="9233" width="10" style="1741" customWidth="1"/>
    <col min="9234" max="9234" width="10.1111111111111" style="1741" customWidth="1"/>
    <col min="9235" max="9235" width="10" style="1741" customWidth="1"/>
    <col min="9236" max="9236" width="26.1111111111111" style="1741" customWidth="1"/>
    <col min="9237" max="9472" width="8.88888888888889" style="1741"/>
    <col min="9473" max="9473" width="9.44444444444444" style="1741" customWidth="1"/>
    <col min="9474" max="9474" width="8.88888888888889" style="1741"/>
    <col min="9475" max="9477" width="12.8888888888889" style="1741" customWidth="1"/>
    <col min="9478" max="9478" width="47.4444444444444" style="1741" customWidth="1"/>
    <col min="9479" max="9479" width="13" style="1741" customWidth="1"/>
    <col min="9480" max="9481" width="8.88888888888889" style="1741"/>
    <col min="9482" max="9482" width="5.77777777777778" style="1741" customWidth="1"/>
    <col min="9483" max="9483" width="11.7777777777778" style="1741" customWidth="1"/>
    <col min="9484" max="9485" width="10.7777777777778" style="1741" customWidth="1"/>
    <col min="9486" max="9486" width="10" style="1741" customWidth="1"/>
    <col min="9487" max="9488" width="10.4444444444444" style="1741" customWidth="1"/>
    <col min="9489" max="9489" width="10" style="1741" customWidth="1"/>
    <col min="9490" max="9490" width="10.1111111111111" style="1741" customWidth="1"/>
    <col min="9491" max="9491" width="10" style="1741" customWidth="1"/>
    <col min="9492" max="9492" width="26.1111111111111" style="1741" customWidth="1"/>
    <col min="9493" max="9728" width="8.88888888888889" style="1741"/>
    <col min="9729" max="9729" width="9.44444444444444" style="1741" customWidth="1"/>
    <col min="9730" max="9730" width="8.88888888888889" style="1741"/>
    <col min="9731" max="9733" width="12.8888888888889" style="1741" customWidth="1"/>
    <col min="9734" max="9734" width="47.4444444444444" style="1741" customWidth="1"/>
    <col min="9735" max="9735" width="13" style="1741" customWidth="1"/>
    <col min="9736" max="9737" width="8.88888888888889" style="1741"/>
    <col min="9738" max="9738" width="5.77777777777778" style="1741" customWidth="1"/>
    <col min="9739" max="9739" width="11.7777777777778" style="1741" customWidth="1"/>
    <col min="9740" max="9741" width="10.7777777777778" style="1741" customWidth="1"/>
    <col min="9742" max="9742" width="10" style="1741" customWidth="1"/>
    <col min="9743" max="9744" width="10.4444444444444" style="1741" customWidth="1"/>
    <col min="9745" max="9745" width="10" style="1741" customWidth="1"/>
    <col min="9746" max="9746" width="10.1111111111111" style="1741" customWidth="1"/>
    <col min="9747" max="9747" width="10" style="1741" customWidth="1"/>
    <col min="9748" max="9748" width="26.1111111111111" style="1741" customWidth="1"/>
    <col min="9749" max="9984" width="8.88888888888889" style="1741"/>
    <col min="9985" max="9985" width="9.44444444444444" style="1741" customWidth="1"/>
    <col min="9986" max="9986" width="8.88888888888889" style="1741"/>
    <col min="9987" max="9989" width="12.8888888888889" style="1741" customWidth="1"/>
    <col min="9990" max="9990" width="47.4444444444444" style="1741" customWidth="1"/>
    <col min="9991" max="9991" width="13" style="1741" customWidth="1"/>
    <col min="9992" max="9993" width="8.88888888888889" style="1741"/>
    <col min="9994" max="9994" width="5.77777777777778" style="1741" customWidth="1"/>
    <col min="9995" max="9995" width="11.7777777777778" style="1741" customWidth="1"/>
    <col min="9996" max="9997" width="10.7777777777778" style="1741" customWidth="1"/>
    <col min="9998" max="9998" width="10" style="1741" customWidth="1"/>
    <col min="9999" max="10000" width="10.4444444444444" style="1741" customWidth="1"/>
    <col min="10001" max="10001" width="10" style="1741" customWidth="1"/>
    <col min="10002" max="10002" width="10.1111111111111" style="1741" customWidth="1"/>
    <col min="10003" max="10003" width="10" style="1741" customWidth="1"/>
    <col min="10004" max="10004" width="26.1111111111111" style="1741" customWidth="1"/>
    <col min="10005" max="10240" width="8.88888888888889" style="1741"/>
    <col min="10241" max="10241" width="9.44444444444444" style="1741" customWidth="1"/>
    <col min="10242" max="10242" width="8.88888888888889" style="1741"/>
    <col min="10243" max="10245" width="12.8888888888889" style="1741" customWidth="1"/>
    <col min="10246" max="10246" width="47.4444444444444" style="1741" customWidth="1"/>
    <col min="10247" max="10247" width="13" style="1741" customWidth="1"/>
    <col min="10248" max="10249" width="8.88888888888889" style="1741"/>
    <col min="10250" max="10250" width="5.77777777777778" style="1741" customWidth="1"/>
    <col min="10251" max="10251" width="11.7777777777778" style="1741" customWidth="1"/>
    <col min="10252" max="10253" width="10.7777777777778" style="1741" customWidth="1"/>
    <col min="10254" max="10254" width="10" style="1741" customWidth="1"/>
    <col min="10255" max="10256" width="10.4444444444444" style="1741" customWidth="1"/>
    <col min="10257" max="10257" width="10" style="1741" customWidth="1"/>
    <col min="10258" max="10258" width="10.1111111111111" style="1741" customWidth="1"/>
    <col min="10259" max="10259" width="10" style="1741" customWidth="1"/>
    <col min="10260" max="10260" width="26.1111111111111" style="1741" customWidth="1"/>
    <col min="10261" max="10496" width="8.88888888888889" style="1741"/>
    <col min="10497" max="10497" width="9.44444444444444" style="1741" customWidth="1"/>
    <col min="10498" max="10498" width="8.88888888888889" style="1741"/>
    <col min="10499" max="10501" width="12.8888888888889" style="1741" customWidth="1"/>
    <col min="10502" max="10502" width="47.4444444444444" style="1741" customWidth="1"/>
    <col min="10503" max="10503" width="13" style="1741" customWidth="1"/>
    <col min="10504" max="10505" width="8.88888888888889" style="1741"/>
    <col min="10506" max="10506" width="5.77777777777778" style="1741" customWidth="1"/>
    <col min="10507" max="10507" width="11.7777777777778" style="1741" customWidth="1"/>
    <col min="10508" max="10509" width="10.7777777777778" style="1741" customWidth="1"/>
    <col min="10510" max="10510" width="10" style="1741" customWidth="1"/>
    <col min="10511" max="10512" width="10.4444444444444" style="1741" customWidth="1"/>
    <col min="10513" max="10513" width="10" style="1741" customWidth="1"/>
    <col min="10514" max="10514" width="10.1111111111111" style="1741" customWidth="1"/>
    <col min="10515" max="10515" width="10" style="1741" customWidth="1"/>
    <col min="10516" max="10516" width="26.1111111111111" style="1741" customWidth="1"/>
    <col min="10517" max="10752" width="8.88888888888889" style="1741"/>
    <col min="10753" max="10753" width="9.44444444444444" style="1741" customWidth="1"/>
    <col min="10754" max="10754" width="8.88888888888889" style="1741"/>
    <col min="10755" max="10757" width="12.8888888888889" style="1741" customWidth="1"/>
    <col min="10758" max="10758" width="47.4444444444444" style="1741" customWidth="1"/>
    <col min="10759" max="10759" width="13" style="1741" customWidth="1"/>
    <col min="10760" max="10761" width="8.88888888888889" style="1741"/>
    <col min="10762" max="10762" width="5.77777777777778" style="1741" customWidth="1"/>
    <col min="10763" max="10763" width="11.7777777777778" style="1741" customWidth="1"/>
    <col min="10764" max="10765" width="10.7777777777778" style="1741" customWidth="1"/>
    <col min="10766" max="10766" width="10" style="1741" customWidth="1"/>
    <col min="10767" max="10768" width="10.4444444444444" style="1741" customWidth="1"/>
    <col min="10769" max="10769" width="10" style="1741" customWidth="1"/>
    <col min="10770" max="10770" width="10.1111111111111" style="1741" customWidth="1"/>
    <col min="10771" max="10771" width="10" style="1741" customWidth="1"/>
    <col min="10772" max="10772" width="26.1111111111111" style="1741" customWidth="1"/>
    <col min="10773" max="11008" width="8.88888888888889" style="1741"/>
    <col min="11009" max="11009" width="9.44444444444444" style="1741" customWidth="1"/>
    <col min="11010" max="11010" width="8.88888888888889" style="1741"/>
    <col min="11011" max="11013" width="12.8888888888889" style="1741" customWidth="1"/>
    <col min="11014" max="11014" width="47.4444444444444" style="1741" customWidth="1"/>
    <col min="11015" max="11015" width="13" style="1741" customWidth="1"/>
    <col min="11016" max="11017" width="8.88888888888889" style="1741"/>
    <col min="11018" max="11018" width="5.77777777777778" style="1741" customWidth="1"/>
    <col min="11019" max="11019" width="11.7777777777778" style="1741" customWidth="1"/>
    <col min="11020" max="11021" width="10.7777777777778" style="1741" customWidth="1"/>
    <col min="11022" max="11022" width="10" style="1741" customWidth="1"/>
    <col min="11023" max="11024" width="10.4444444444444" style="1741" customWidth="1"/>
    <col min="11025" max="11025" width="10" style="1741" customWidth="1"/>
    <col min="11026" max="11026" width="10.1111111111111" style="1741" customWidth="1"/>
    <col min="11027" max="11027" width="10" style="1741" customWidth="1"/>
    <col min="11028" max="11028" width="26.1111111111111" style="1741" customWidth="1"/>
    <col min="11029" max="11264" width="8.88888888888889" style="1741"/>
    <col min="11265" max="11265" width="9.44444444444444" style="1741" customWidth="1"/>
    <col min="11266" max="11266" width="8.88888888888889" style="1741"/>
    <col min="11267" max="11269" width="12.8888888888889" style="1741" customWidth="1"/>
    <col min="11270" max="11270" width="47.4444444444444" style="1741" customWidth="1"/>
    <col min="11271" max="11271" width="13" style="1741" customWidth="1"/>
    <col min="11272" max="11273" width="8.88888888888889" style="1741"/>
    <col min="11274" max="11274" width="5.77777777777778" style="1741" customWidth="1"/>
    <col min="11275" max="11275" width="11.7777777777778" style="1741" customWidth="1"/>
    <col min="11276" max="11277" width="10.7777777777778" style="1741" customWidth="1"/>
    <col min="11278" max="11278" width="10" style="1741" customWidth="1"/>
    <col min="11279" max="11280" width="10.4444444444444" style="1741" customWidth="1"/>
    <col min="11281" max="11281" width="10" style="1741" customWidth="1"/>
    <col min="11282" max="11282" width="10.1111111111111" style="1741" customWidth="1"/>
    <col min="11283" max="11283" width="10" style="1741" customWidth="1"/>
    <col min="11284" max="11284" width="26.1111111111111" style="1741" customWidth="1"/>
    <col min="11285" max="11520" width="8.88888888888889" style="1741"/>
    <col min="11521" max="11521" width="9.44444444444444" style="1741" customWidth="1"/>
    <col min="11522" max="11522" width="8.88888888888889" style="1741"/>
    <col min="11523" max="11525" width="12.8888888888889" style="1741" customWidth="1"/>
    <col min="11526" max="11526" width="47.4444444444444" style="1741" customWidth="1"/>
    <col min="11527" max="11527" width="13" style="1741" customWidth="1"/>
    <col min="11528" max="11529" width="8.88888888888889" style="1741"/>
    <col min="11530" max="11530" width="5.77777777777778" style="1741" customWidth="1"/>
    <col min="11531" max="11531" width="11.7777777777778" style="1741" customWidth="1"/>
    <col min="11532" max="11533" width="10.7777777777778" style="1741" customWidth="1"/>
    <col min="11534" max="11534" width="10" style="1741" customWidth="1"/>
    <col min="11535" max="11536" width="10.4444444444444" style="1741" customWidth="1"/>
    <col min="11537" max="11537" width="10" style="1741" customWidth="1"/>
    <col min="11538" max="11538" width="10.1111111111111" style="1741" customWidth="1"/>
    <col min="11539" max="11539" width="10" style="1741" customWidth="1"/>
    <col min="11540" max="11540" width="26.1111111111111" style="1741" customWidth="1"/>
    <col min="11541" max="11776" width="8.88888888888889" style="1741"/>
    <col min="11777" max="11777" width="9.44444444444444" style="1741" customWidth="1"/>
    <col min="11778" max="11778" width="8.88888888888889" style="1741"/>
    <col min="11779" max="11781" width="12.8888888888889" style="1741" customWidth="1"/>
    <col min="11782" max="11782" width="47.4444444444444" style="1741" customWidth="1"/>
    <col min="11783" max="11783" width="13" style="1741" customWidth="1"/>
    <col min="11784" max="11785" width="8.88888888888889" style="1741"/>
    <col min="11786" max="11786" width="5.77777777777778" style="1741" customWidth="1"/>
    <col min="11787" max="11787" width="11.7777777777778" style="1741" customWidth="1"/>
    <col min="11788" max="11789" width="10.7777777777778" style="1741" customWidth="1"/>
    <col min="11790" max="11790" width="10" style="1741" customWidth="1"/>
    <col min="11791" max="11792" width="10.4444444444444" style="1741" customWidth="1"/>
    <col min="11793" max="11793" width="10" style="1741" customWidth="1"/>
    <col min="11794" max="11794" width="10.1111111111111" style="1741" customWidth="1"/>
    <col min="11795" max="11795" width="10" style="1741" customWidth="1"/>
    <col min="11796" max="11796" width="26.1111111111111" style="1741" customWidth="1"/>
    <col min="11797" max="12032" width="8.88888888888889" style="1741"/>
    <col min="12033" max="12033" width="9.44444444444444" style="1741" customWidth="1"/>
    <col min="12034" max="12034" width="8.88888888888889" style="1741"/>
    <col min="12035" max="12037" width="12.8888888888889" style="1741" customWidth="1"/>
    <col min="12038" max="12038" width="47.4444444444444" style="1741" customWidth="1"/>
    <col min="12039" max="12039" width="13" style="1741" customWidth="1"/>
    <col min="12040" max="12041" width="8.88888888888889" style="1741"/>
    <col min="12042" max="12042" width="5.77777777777778" style="1741" customWidth="1"/>
    <col min="12043" max="12043" width="11.7777777777778" style="1741" customWidth="1"/>
    <col min="12044" max="12045" width="10.7777777777778" style="1741" customWidth="1"/>
    <col min="12046" max="12046" width="10" style="1741" customWidth="1"/>
    <col min="12047" max="12048" width="10.4444444444444" style="1741" customWidth="1"/>
    <col min="12049" max="12049" width="10" style="1741" customWidth="1"/>
    <col min="12050" max="12050" width="10.1111111111111" style="1741" customWidth="1"/>
    <col min="12051" max="12051" width="10" style="1741" customWidth="1"/>
    <col min="12052" max="12052" width="26.1111111111111" style="1741" customWidth="1"/>
    <col min="12053" max="12288" width="8.88888888888889" style="1741"/>
    <col min="12289" max="12289" width="9.44444444444444" style="1741" customWidth="1"/>
    <col min="12290" max="12290" width="8.88888888888889" style="1741"/>
    <col min="12291" max="12293" width="12.8888888888889" style="1741" customWidth="1"/>
    <col min="12294" max="12294" width="47.4444444444444" style="1741" customWidth="1"/>
    <col min="12295" max="12295" width="13" style="1741" customWidth="1"/>
    <col min="12296" max="12297" width="8.88888888888889" style="1741"/>
    <col min="12298" max="12298" width="5.77777777777778" style="1741" customWidth="1"/>
    <col min="12299" max="12299" width="11.7777777777778" style="1741" customWidth="1"/>
    <col min="12300" max="12301" width="10.7777777777778" style="1741" customWidth="1"/>
    <col min="12302" max="12302" width="10" style="1741" customWidth="1"/>
    <col min="12303" max="12304" width="10.4444444444444" style="1741" customWidth="1"/>
    <col min="12305" max="12305" width="10" style="1741" customWidth="1"/>
    <col min="12306" max="12306" width="10.1111111111111" style="1741" customWidth="1"/>
    <col min="12307" max="12307" width="10" style="1741" customWidth="1"/>
    <col min="12308" max="12308" width="26.1111111111111" style="1741" customWidth="1"/>
    <col min="12309" max="12544" width="8.88888888888889" style="1741"/>
    <col min="12545" max="12545" width="9.44444444444444" style="1741" customWidth="1"/>
    <col min="12546" max="12546" width="8.88888888888889" style="1741"/>
    <col min="12547" max="12549" width="12.8888888888889" style="1741" customWidth="1"/>
    <col min="12550" max="12550" width="47.4444444444444" style="1741" customWidth="1"/>
    <col min="12551" max="12551" width="13" style="1741" customWidth="1"/>
    <col min="12552" max="12553" width="8.88888888888889" style="1741"/>
    <col min="12554" max="12554" width="5.77777777777778" style="1741" customWidth="1"/>
    <col min="12555" max="12555" width="11.7777777777778" style="1741" customWidth="1"/>
    <col min="12556" max="12557" width="10.7777777777778" style="1741" customWidth="1"/>
    <col min="12558" max="12558" width="10" style="1741" customWidth="1"/>
    <col min="12559" max="12560" width="10.4444444444444" style="1741" customWidth="1"/>
    <col min="12561" max="12561" width="10" style="1741" customWidth="1"/>
    <col min="12562" max="12562" width="10.1111111111111" style="1741" customWidth="1"/>
    <col min="12563" max="12563" width="10" style="1741" customWidth="1"/>
    <col min="12564" max="12564" width="26.1111111111111" style="1741" customWidth="1"/>
    <col min="12565" max="12800" width="8.88888888888889" style="1741"/>
    <col min="12801" max="12801" width="9.44444444444444" style="1741" customWidth="1"/>
    <col min="12802" max="12802" width="8.88888888888889" style="1741"/>
    <col min="12803" max="12805" width="12.8888888888889" style="1741" customWidth="1"/>
    <col min="12806" max="12806" width="47.4444444444444" style="1741" customWidth="1"/>
    <col min="12807" max="12807" width="13" style="1741" customWidth="1"/>
    <col min="12808" max="12809" width="8.88888888888889" style="1741"/>
    <col min="12810" max="12810" width="5.77777777777778" style="1741" customWidth="1"/>
    <col min="12811" max="12811" width="11.7777777777778" style="1741" customWidth="1"/>
    <col min="12812" max="12813" width="10.7777777777778" style="1741" customWidth="1"/>
    <col min="12814" max="12814" width="10" style="1741" customWidth="1"/>
    <col min="12815" max="12816" width="10.4444444444444" style="1741" customWidth="1"/>
    <col min="12817" max="12817" width="10" style="1741" customWidth="1"/>
    <col min="12818" max="12818" width="10.1111111111111" style="1741" customWidth="1"/>
    <col min="12819" max="12819" width="10" style="1741" customWidth="1"/>
    <col min="12820" max="12820" width="26.1111111111111" style="1741" customWidth="1"/>
    <col min="12821" max="13056" width="8.88888888888889" style="1741"/>
    <col min="13057" max="13057" width="9.44444444444444" style="1741" customWidth="1"/>
    <col min="13058" max="13058" width="8.88888888888889" style="1741"/>
    <col min="13059" max="13061" width="12.8888888888889" style="1741" customWidth="1"/>
    <col min="13062" max="13062" width="47.4444444444444" style="1741" customWidth="1"/>
    <col min="13063" max="13063" width="13" style="1741" customWidth="1"/>
    <col min="13064" max="13065" width="8.88888888888889" style="1741"/>
    <col min="13066" max="13066" width="5.77777777777778" style="1741" customWidth="1"/>
    <col min="13067" max="13067" width="11.7777777777778" style="1741" customWidth="1"/>
    <col min="13068" max="13069" width="10.7777777777778" style="1741" customWidth="1"/>
    <col min="13070" max="13070" width="10" style="1741" customWidth="1"/>
    <col min="13071" max="13072" width="10.4444444444444" style="1741" customWidth="1"/>
    <col min="13073" max="13073" width="10" style="1741" customWidth="1"/>
    <col min="13074" max="13074" width="10.1111111111111" style="1741" customWidth="1"/>
    <col min="13075" max="13075" width="10" style="1741" customWidth="1"/>
    <col min="13076" max="13076" width="26.1111111111111" style="1741" customWidth="1"/>
    <col min="13077" max="13312" width="8.88888888888889" style="1741"/>
    <col min="13313" max="13313" width="9.44444444444444" style="1741" customWidth="1"/>
    <col min="13314" max="13314" width="8.88888888888889" style="1741"/>
    <col min="13315" max="13317" width="12.8888888888889" style="1741" customWidth="1"/>
    <col min="13318" max="13318" width="47.4444444444444" style="1741" customWidth="1"/>
    <col min="13319" max="13319" width="13" style="1741" customWidth="1"/>
    <col min="13320" max="13321" width="8.88888888888889" style="1741"/>
    <col min="13322" max="13322" width="5.77777777777778" style="1741" customWidth="1"/>
    <col min="13323" max="13323" width="11.7777777777778" style="1741" customWidth="1"/>
    <col min="13324" max="13325" width="10.7777777777778" style="1741" customWidth="1"/>
    <col min="13326" max="13326" width="10" style="1741" customWidth="1"/>
    <col min="13327" max="13328" width="10.4444444444444" style="1741" customWidth="1"/>
    <col min="13329" max="13329" width="10" style="1741" customWidth="1"/>
    <col min="13330" max="13330" width="10.1111111111111" style="1741" customWidth="1"/>
    <col min="13331" max="13331" width="10" style="1741" customWidth="1"/>
    <col min="13332" max="13332" width="26.1111111111111" style="1741" customWidth="1"/>
    <col min="13333" max="13568" width="8.88888888888889" style="1741"/>
    <col min="13569" max="13569" width="9.44444444444444" style="1741" customWidth="1"/>
    <col min="13570" max="13570" width="8.88888888888889" style="1741"/>
    <col min="13571" max="13573" width="12.8888888888889" style="1741" customWidth="1"/>
    <col min="13574" max="13574" width="47.4444444444444" style="1741" customWidth="1"/>
    <col min="13575" max="13575" width="13" style="1741" customWidth="1"/>
    <col min="13576" max="13577" width="8.88888888888889" style="1741"/>
    <col min="13578" max="13578" width="5.77777777777778" style="1741" customWidth="1"/>
    <col min="13579" max="13579" width="11.7777777777778" style="1741" customWidth="1"/>
    <col min="13580" max="13581" width="10.7777777777778" style="1741" customWidth="1"/>
    <col min="13582" max="13582" width="10" style="1741" customWidth="1"/>
    <col min="13583" max="13584" width="10.4444444444444" style="1741" customWidth="1"/>
    <col min="13585" max="13585" width="10" style="1741" customWidth="1"/>
    <col min="13586" max="13586" width="10.1111111111111" style="1741" customWidth="1"/>
    <col min="13587" max="13587" width="10" style="1741" customWidth="1"/>
    <col min="13588" max="13588" width="26.1111111111111" style="1741" customWidth="1"/>
    <col min="13589" max="13824" width="8.88888888888889" style="1741"/>
    <col min="13825" max="13825" width="9.44444444444444" style="1741" customWidth="1"/>
    <col min="13826" max="13826" width="8.88888888888889" style="1741"/>
    <col min="13827" max="13829" width="12.8888888888889" style="1741" customWidth="1"/>
    <col min="13830" max="13830" width="47.4444444444444" style="1741" customWidth="1"/>
    <col min="13831" max="13831" width="13" style="1741" customWidth="1"/>
    <col min="13832" max="13833" width="8.88888888888889" style="1741"/>
    <col min="13834" max="13834" width="5.77777777777778" style="1741" customWidth="1"/>
    <col min="13835" max="13835" width="11.7777777777778" style="1741" customWidth="1"/>
    <col min="13836" max="13837" width="10.7777777777778" style="1741" customWidth="1"/>
    <col min="13838" max="13838" width="10" style="1741" customWidth="1"/>
    <col min="13839" max="13840" width="10.4444444444444" style="1741" customWidth="1"/>
    <col min="13841" max="13841" width="10" style="1741" customWidth="1"/>
    <col min="13842" max="13842" width="10.1111111111111" style="1741" customWidth="1"/>
    <col min="13843" max="13843" width="10" style="1741" customWidth="1"/>
    <col min="13844" max="13844" width="26.1111111111111" style="1741" customWidth="1"/>
    <col min="13845" max="14080" width="8.88888888888889" style="1741"/>
    <col min="14081" max="14081" width="9.44444444444444" style="1741" customWidth="1"/>
    <col min="14082" max="14082" width="8.88888888888889" style="1741"/>
    <col min="14083" max="14085" width="12.8888888888889" style="1741" customWidth="1"/>
    <col min="14086" max="14086" width="47.4444444444444" style="1741" customWidth="1"/>
    <col min="14087" max="14087" width="13" style="1741" customWidth="1"/>
    <col min="14088" max="14089" width="8.88888888888889" style="1741"/>
    <col min="14090" max="14090" width="5.77777777777778" style="1741" customWidth="1"/>
    <col min="14091" max="14091" width="11.7777777777778" style="1741" customWidth="1"/>
    <col min="14092" max="14093" width="10.7777777777778" style="1741" customWidth="1"/>
    <col min="14094" max="14094" width="10" style="1741" customWidth="1"/>
    <col min="14095" max="14096" width="10.4444444444444" style="1741" customWidth="1"/>
    <col min="14097" max="14097" width="10" style="1741" customWidth="1"/>
    <col min="14098" max="14098" width="10.1111111111111" style="1741" customWidth="1"/>
    <col min="14099" max="14099" width="10" style="1741" customWidth="1"/>
    <col min="14100" max="14100" width="26.1111111111111" style="1741" customWidth="1"/>
    <col min="14101" max="14336" width="8.88888888888889" style="1741"/>
    <col min="14337" max="14337" width="9.44444444444444" style="1741" customWidth="1"/>
    <col min="14338" max="14338" width="8.88888888888889" style="1741"/>
    <col min="14339" max="14341" width="12.8888888888889" style="1741" customWidth="1"/>
    <col min="14342" max="14342" width="47.4444444444444" style="1741" customWidth="1"/>
    <col min="14343" max="14343" width="13" style="1741" customWidth="1"/>
    <col min="14344" max="14345" width="8.88888888888889" style="1741"/>
    <col min="14346" max="14346" width="5.77777777777778" style="1741" customWidth="1"/>
    <col min="14347" max="14347" width="11.7777777777778" style="1741" customWidth="1"/>
    <col min="14348" max="14349" width="10.7777777777778" style="1741" customWidth="1"/>
    <col min="14350" max="14350" width="10" style="1741" customWidth="1"/>
    <col min="14351" max="14352" width="10.4444444444444" style="1741" customWidth="1"/>
    <col min="14353" max="14353" width="10" style="1741" customWidth="1"/>
    <col min="14354" max="14354" width="10.1111111111111" style="1741" customWidth="1"/>
    <col min="14355" max="14355" width="10" style="1741" customWidth="1"/>
    <col min="14356" max="14356" width="26.1111111111111" style="1741" customWidth="1"/>
    <col min="14357" max="14592" width="8.88888888888889" style="1741"/>
    <col min="14593" max="14593" width="9.44444444444444" style="1741" customWidth="1"/>
    <col min="14594" max="14594" width="8.88888888888889" style="1741"/>
    <col min="14595" max="14597" width="12.8888888888889" style="1741" customWidth="1"/>
    <col min="14598" max="14598" width="47.4444444444444" style="1741" customWidth="1"/>
    <col min="14599" max="14599" width="13" style="1741" customWidth="1"/>
    <col min="14600" max="14601" width="8.88888888888889" style="1741"/>
    <col min="14602" max="14602" width="5.77777777777778" style="1741" customWidth="1"/>
    <col min="14603" max="14603" width="11.7777777777778" style="1741" customWidth="1"/>
    <col min="14604" max="14605" width="10.7777777777778" style="1741" customWidth="1"/>
    <col min="14606" max="14606" width="10" style="1741" customWidth="1"/>
    <col min="14607" max="14608" width="10.4444444444444" style="1741" customWidth="1"/>
    <col min="14609" max="14609" width="10" style="1741" customWidth="1"/>
    <col min="14610" max="14610" width="10.1111111111111" style="1741" customWidth="1"/>
    <col min="14611" max="14611" width="10" style="1741" customWidth="1"/>
    <col min="14612" max="14612" width="26.1111111111111" style="1741" customWidth="1"/>
    <col min="14613" max="14848" width="8.88888888888889" style="1741"/>
    <col min="14849" max="14849" width="9.44444444444444" style="1741" customWidth="1"/>
    <col min="14850" max="14850" width="8.88888888888889" style="1741"/>
    <col min="14851" max="14853" width="12.8888888888889" style="1741" customWidth="1"/>
    <col min="14854" max="14854" width="47.4444444444444" style="1741" customWidth="1"/>
    <col min="14855" max="14855" width="13" style="1741" customWidth="1"/>
    <col min="14856" max="14857" width="8.88888888888889" style="1741"/>
    <col min="14858" max="14858" width="5.77777777777778" style="1741" customWidth="1"/>
    <col min="14859" max="14859" width="11.7777777777778" style="1741" customWidth="1"/>
    <col min="14860" max="14861" width="10.7777777777778" style="1741" customWidth="1"/>
    <col min="14862" max="14862" width="10" style="1741" customWidth="1"/>
    <col min="14863" max="14864" width="10.4444444444444" style="1741" customWidth="1"/>
    <col min="14865" max="14865" width="10" style="1741" customWidth="1"/>
    <col min="14866" max="14866" width="10.1111111111111" style="1741" customWidth="1"/>
    <col min="14867" max="14867" width="10" style="1741" customWidth="1"/>
    <col min="14868" max="14868" width="26.1111111111111" style="1741" customWidth="1"/>
    <col min="14869" max="15104" width="8.88888888888889" style="1741"/>
    <col min="15105" max="15105" width="9.44444444444444" style="1741" customWidth="1"/>
    <col min="15106" max="15106" width="8.88888888888889" style="1741"/>
    <col min="15107" max="15109" width="12.8888888888889" style="1741" customWidth="1"/>
    <col min="15110" max="15110" width="47.4444444444444" style="1741" customWidth="1"/>
    <col min="15111" max="15111" width="13" style="1741" customWidth="1"/>
    <col min="15112" max="15113" width="8.88888888888889" style="1741"/>
    <col min="15114" max="15114" width="5.77777777777778" style="1741" customWidth="1"/>
    <col min="15115" max="15115" width="11.7777777777778" style="1741" customWidth="1"/>
    <col min="15116" max="15117" width="10.7777777777778" style="1741" customWidth="1"/>
    <col min="15118" max="15118" width="10" style="1741" customWidth="1"/>
    <col min="15119" max="15120" width="10.4444444444444" style="1741" customWidth="1"/>
    <col min="15121" max="15121" width="10" style="1741" customWidth="1"/>
    <col min="15122" max="15122" width="10.1111111111111" style="1741" customWidth="1"/>
    <col min="15123" max="15123" width="10" style="1741" customWidth="1"/>
    <col min="15124" max="15124" width="26.1111111111111" style="1741" customWidth="1"/>
    <col min="15125" max="15360" width="8.88888888888889" style="1741"/>
    <col min="15361" max="15361" width="9.44444444444444" style="1741" customWidth="1"/>
    <col min="15362" max="15362" width="8.88888888888889" style="1741"/>
    <col min="15363" max="15365" width="12.8888888888889" style="1741" customWidth="1"/>
    <col min="15366" max="15366" width="47.4444444444444" style="1741" customWidth="1"/>
    <col min="15367" max="15367" width="13" style="1741" customWidth="1"/>
    <col min="15368" max="15369" width="8.88888888888889" style="1741"/>
    <col min="15370" max="15370" width="5.77777777777778" style="1741" customWidth="1"/>
    <col min="15371" max="15371" width="11.7777777777778" style="1741" customWidth="1"/>
    <col min="15372" max="15373" width="10.7777777777778" style="1741" customWidth="1"/>
    <col min="15374" max="15374" width="10" style="1741" customWidth="1"/>
    <col min="15375" max="15376" width="10.4444444444444" style="1741" customWidth="1"/>
    <col min="15377" max="15377" width="10" style="1741" customWidth="1"/>
    <col min="15378" max="15378" width="10.1111111111111" style="1741" customWidth="1"/>
    <col min="15379" max="15379" width="10" style="1741" customWidth="1"/>
    <col min="15380" max="15380" width="26.1111111111111" style="1741" customWidth="1"/>
    <col min="15381" max="15616" width="8.88888888888889" style="1741"/>
    <col min="15617" max="15617" width="9.44444444444444" style="1741" customWidth="1"/>
    <col min="15618" max="15618" width="8.88888888888889" style="1741"/>
    <col min="15619" max="15621" width="12.8888888888889" style="1741" customWidth="1"/>
    <col min="15622" max="15622" width="47.4444444444444" style="1741" customWidth="1"/>
    <col min="15623" max="15623" width="13" style="1741" customWidth="1"/>
    <col min="15624" max="15625" width="8.88888888888889" style="1741"/>
    <col min="15626" max="15626" width="5.77777777777778" style="1741" customWidth="1"/>
    <col min="15627" max="15627" width="11.7777777777778" style="1741" customWidth="1"/>
    <col min="15628" max="15629" width="10.7777777777778" style="1741" customWidth="1"/>
    <col min="15630" max="15630" width="10" style="1741" customWidth="1"/>
    <col min="15631" max="15632" width="10.4444444444444" style="1741" customWidth="1"/>
    <col min="15633" max="15633" width="10" style="1741" customWidth="1"/>
    <col min="15634" max="15634" width="10.1111111111111" style="1741" customWidth="1"/>
    <col min="15635" max="15635" width="10" style="1741" customWidth="1"/>
    <col min="15636" max="15636" width="26.1111111111111" style="1741" customWidth="1"/>
    <col min="15637" max="15872" width="8.88888888888889" style="1741"/>
    <col min="15873" max="15873" width="9.44444444444444" style="1741" customWidth="1"/>
    <col min="15874" max="15874" width="8.88888888888889" style="1741"/>
    <col min="15875" max="15877" width="12.8888888888889" style="1741" customWidth="1"/>
    <col min="15878" max="15878" width="47.4444444444444" style="1741" customWidth="1"/>
    <col min="15879" max="15879" width="13" style="1741" customWidth="1"/>
    <col min="15880" max="15881" width="8.88888888888889" style="1741"/>
    <col min="15882" max="15882" width="5.77777777777778" style="1741" customWidth="1"/>
    <col min="15883" max="15883" width="11.7777777777778" style="1741" customWidth="1"/>
    <col min="15884" max="15885" width="10.7777777777778" style="1741" customWidth="1"/>
    <col min="15886" max="15886" width="10" style="1741" customWidth="1"/>
    <col min="15887" max="15888" width="10.4444444444444" style="1741" customWidth="1"/>
    <col min="15889" max="15889" width="10" style="1741" customWidth="1"/>
    <col min="15890" max="15890" width="10.1111111111111" style="1741" customWidth="1"/>
    <col min="15891" max="15891" width="10" style="1741" customWidth="1"/>
    <col min="15892" max="15892" width="26.1111111111111" style="1741" customWidth="1"/>
    <col min="15893" max="16128" width="8.88888888888889" style="1741"/>
    <col min="16129" max="16129" width="9.44444444444444" style="1741" customWidth="1"/>
    <col min="16130" max="16130" width="8.88888888888889" style="1741"/>
    <col min="16131" max="16133" width="12.8888888888889" style="1741" customWidth="1"/>
    <col min="16134" max="16134" width="47.4444444444444" style="1741" customWidth="1"/>
    <col min="16135" max="16135" width="13" style="1741" customWidth="1"/>
    <col min="16136" max="16137" width="8.88888888888889" style="1741"/>
    <col min="16138" max="16138" width="5.77777777777778" style="1741" customWidth="1"/>
    <col min="16139" max="16139" width="11.7777777777778" style="1741" customWidth="1"/>
    <col min="16140" max="16141" width="10.7777777777778" style="1741" customWidth="1"/>
    <col min="16142" max="16142" width="10" style="1741" customWidth="1"/>
    <col min="16143" max="16144" width="10.4444444444444" style="1741" customWidth="1"/>
    <col min="16145" max="16145" width="10" style="1741" customWidth="1"/>
    <col min="16146" max="16146" width="10.1111111111111" style="1741" customWidth="1"/>
    <col min="16147" max="16147" width="10" style="1741" customWidth="1"/>
    <col min="16148" max="16148" width="26.1111111111111" style="1741" customWidth="1"/>
    <col min="16149" max="16384" width="8.88888888888889" style="1741"/>
  </cols>
  <sheetData>
    <row r="1" ht="21" customHeight="1" spans="1:21">
      <c r="A1" s="1746" t="s">
        <v>1299</v>
      </c>
      <c r="B1" s="1747"/>
      <c r="C1" s="1748"/>
      <c r="D1" s="1748"/>
      <c r="E1" s="1749"/>
      <c r="F1" s="1750"/>
      <c r="G1" s="1751"/>
      <c r="J1" s="1856" t="s">
        <v>1300</v>
      </c>
      <c r="K1" s="1857"/>
      <c r="L1" s="1857"/>
      <c r="M1" s="1857"/>
      <c r="N1" s="1857"/>
      <c r="O1" s="1857"/>
      <c r="P1" s="1857"/>
      <c r="Q1" s="1857"/>
      <c r="R1" s="1905"/>
      <c r="S1" s="1906"/>
      <c r="T1" s="1906"/>
      <c r="U1" s="1906"/>
    </row>
    <row r="2" s="1739" customFormat="1" customHeight="1" spans="1:22">
      <c r="A2" s="1752" t="s">
        <v>1097</v>
      </c>
      <c r="B2" s="1753" t="e">
        <f>C40</f>
        <v>#DIV/0!</v>
      </c>
      <c r="C2" s="1748" t="s">
        <v>1098</v>
      </c>
      <c r="D2" s="1748"/>
      <c r="E2" s="1754"/>
      <c r="F2" s="1755"/>
      <c r="G2" s="1756"/>
      <c r="H2" s="1757"/>
      <c r="I2" s="1858"/>
      <c r="J2" s="1859" t="s">
        <v>1301</v>
      </c>
      <c r="K2" s="1860"/>
      <c r="L2" s="1861" t="s">
        <v>1302</v>
      </c>
      <c r="M2" s="1861" t="s">
        <v>1303</v>
      </c>
      <c r="N2" s="1861" t="s">
        <v>1304</v>
      </c>
      <c r="O2" s="1861" t="s">
        <v>1305</v>
      </c>
      <c r="P2" s="1861" t="s">
        <v>1306</v>
      </c>
      <c r="Q2" s="1907" t="s">
        <v>1307</v>
      </c>
      <c r="R2" s="1908" t="s">
        <v>1308</v>
      </c>
      <c r="S2" s="1906"/>
      <c r="T2" s="1906"/>
      <c r="U2" s="1906"/>
      <c r="V2" s="1858"/>
    </row>
    <row r="3" s="1739" customFormat="1" customHeight="1" spans="1:22">
      <c r="A3" s="1758" t="s">
        <v>1099</v>
      </c>
      <c r="B3" s="1759" t="e">
        <f>ROUND(B2*10000/B4,0)</f>
        <v>#DIV/0!</v>
      </c>
      <c r="C3" s="1748" t="s">
        <v>1100</v>
      </c>
      <c r="D3" s="1748"/>
      <c r="E3" s="1754"/>
      <c r="F3" s="1755"/>
      <c r="G3" s="1756"/>
      <c r="H3" s="1757"/>
      <c r="I3" s="1858"/>
      <c r="J3" s="1862" t="s">
        <v>1309</v>
      </c>
      <c r="K3" s="1863"/>
      <c r="L3" s="1864"/>
      <c r="M3" s="1864"/>
      <c r="N3" s="1864"/>
      <c r="O3" s="1864"/>
      <c r="P3" s="1864"/>
      <c r="Q3" s="1909"/>
      <c r="R3" s="1910">
        <f>SUM(L3:Q3)</f>
        <v>0</v>
      </c>
      <c r="S3" s="1906"/>
      <c r="T3" s="1906"/>
      <c r="U3" s="1906"/>
      <c r="V3" s="1858"/>
    </row>
    <row r="4" s="1739" customFormat="1" customHeight="1" spans="1:22">
      <c r="A4" s="1760" t="s">
        <v>469</v>
      </c>
      <c r="B4" s="1761"/>
      <c r="C4" s="1748"/>
      <c r="D4" s="1748"/>
      <c r="E4" s="1754"/>
      <c r="F4" s="1755"/>
      <c r="G4" s="1756"/>
      <c r="H4" s="1757"/>
      <c r="I4" s="1858"/>
      <c r="J4" s="1862" t="s">
        <v>1310</v>
      </c>
      <c r="K4" s="1863"/>
      <c r="L4" s="1865"/>
      <c r="M4" s="1865"/>
      <c r="N4" s="1865"/>
      <c r="O4" s="1865"/>
      <c r="P4" s="1865"/>
      <c r="Q4" s="1911"/>
      <c r="R4" s="1912">
        <f>SUM(L4:Q4)</f>
        <v>0</v>
      </c>
      <c r="S4" s="1906"/>
      <c r="T4" s="1906"/>
      <c r="U4" s="1906"/>
      <c r="V4" s="1858"/>
    </row>
    <row r="5" s="1739" customFormat="1" customHeight="1" spans="1:22">
      <c r="A5" s="1762" t="s">
        <v>1311</v>
      </c>
      <c r="B5" s="1763"/>
      <c r="C5" s="1748"/>
      <c r="D5" s="1764"/>
      <c r="E5" s="1755"/>
      <c r="F5" s="1755"/>
      <c r="G5" s="1756"/>
      <c r="H5" s="1757"/>
      <c r="I5" s="1858"/>
      <c r="J5" s="1866" t="s">
        <v>1312</v>
      </c>
      <c r="K5" s="1867"/>
      <c r="L5" s="1867"/>
      <c r="M5" s="1868"/>
      <c r="N5" s="1868"/>
      <c r="O5" s="1868"/>
      <c r="P5" s="1868"/>
      <c r="Q5" s="1868"/>
      <c r="R5" s="1908">
        <f>SUM(R14,R19,R24,R25,R27,R28)</f>
        <v>0</v>
      </c>
      <c r="S5" s="1906"/>
      <c r="T5" s="1906" t="s">
        <v>1313</v>
      </c>
      <c r="U5" s="1906" t="e">
        <f>ROUND(R5*10000/365/R3,1)</f>
        <v>#DIV/0!</v>
      </c>
      <c r="V5" s="1858"/>
    </row>
    <row r="6" s="1739" customFormat="1" customHeight="1" spans="1:22">
      <c r="A6" s="1765" t="s">
        <v>1314</v>
      </c>
      <c r="B6" s="1766"/>
      <c r="C6" s="1767"/>
      <c r="D6" s="1768"/>
      <c r="E6" s="1769"/>
      <c r="F6" s="1770"/>
      <c r="G6" s="1771"/>
      <c r="H6" s="1757"/>
      <c r="I6" s="1858"/>
      <c r="J6" s="1869">
        <v>1</v>
      </c>
      <c r="K6" s="1870" t="s">
        <v>1315</v>
      </c>
      <c r="L6" s="1871" t="s">
        <v>1316</v>
      </c>
      <c r="M6" s="1872" t="s">
        <v>1317</v>
      </c>
      <c r="N6" s="1872" t="s">
        <v>1318</v>
      </c>
      <c r="O6" s="1872" t="s">
        <v>1319</v>
      </c>
      <c r="P6" s="1872" t="s">
        <v>1320</v>
      </c>
      <c r="Q6" s="1872" t="s">
        <v>1321</v>
      </c>
      <c r="R6" s="1910" t="s">
        <v>1322</v>
      </c>
      <c r="S6" s="1906"/>
      <c r="T6" s="1906" t="s">
        <v>1323</v>
      </c>
      <c r="U6" s="1906"/>
      <c r="V6" s="1858"/>
    </row>
    <row r="7" s="1739" customFormat="1" customHeight="1" spans="1:22">
      <c r="A7" s="1772" t="s">
        <v>1324</v>
      </c>
      <c r="B7" s="1773"/>
      <c r="C7" s="1774"/>
      <c r="D7" s="1775">
        <f>SUM(D9,D10,D11,D17,0)</f>
        <v>0</v>
      </c>
      <c r="E7" s="1776" t="e">
        <f>E9+E10+E11+E17</f>
        <v>#DIV/0!</v>
      </c>
      <c r="F7" s="1777"/>
      <c r="G7" s="1778"/>
      <c r="H7" s="1757"/>
      <c r="I7" s="1858"/>
      <c r="J7" s="1869"/>
      <c r="K7" s="1873"/>
      <c r="L7" s="1874" t="s">
        <v>1325</v>
      </c>
      <c r="M7" s="1875"/>
      <c r="N7" s="1761"/>
      <c r="O7" s="1876"/>
      <c r="P7" s="1876"/>
      <c r="Q7" s="1797">
        <v>365</v>
      </c>
      <c r="R7" s="1913">
        <f>ROUND(M7*N7*O7*P7*Q7/10000,0)</f>
        <v>0</v>
      </c>
      <c r="S7" s="1906"/>
      <c r="T7" s="1906" t="s">
        <v>1326</v>
      </c>
      <c r="U7" s="1906"/>
      <c r="V7" s="1858"/>
    </row>
    <row r="8" s="1739" customFormat="1" customHeight="1" spans="1:22">
      <c r="A8" s="1779" t="s">
        <v>1327</v>
      </c>
      <c r="B8" s="1780" t="s">
        <v>1328</v>
      </c>
      <c r="C8" s="1781"/>
      <c r="D8" s="1782" t="s">
        <v>1329</v>
      </c>
      <c r="E8" s="1783" t="s">
        <v>1330</v>
      </c>
      <c r="F8" s="1784" t="s">
        <v>1331</v>
      </c>
      <c r="G8" s="1785"/>
      <c r="H8" s="1757"/>
      <c r="I8" s="1858"/>
      <c r="J8" s="1869"/>
      <c r="K8" s="1873"/>
      <c r="L8" s="1874" t="s">
        <v>1332</v>
      </c>
      <c r="M8" s="1875"/>
      <c r="N8" s="1761"/>
      <c r="O8" s="1876"/>
      <c r="P8" s="1876"/>
      <c r="Q8" s="1797">
        <v>365</v>
      </c>
      <c r="R8" s="1913">
        <f t="shared" ref="R8:R13" si="0">ROUND(M8*N8*O8*P8*Q8/10000,0)</f>
        <v>0</v>
      </c>
      <c r="S8" s="1906"/>
      <c r="T8" s="1906" t="s">
        <v>1333</v>
      </c>
      <c r="U8" s="1906"/>
      <c r="V8" s="1858"/>
    </row>
    <row r="9" s="1739" customFormat="1" customHeight="1" spans="1:22">
      <c r="A9" s="1779">
        <v>1</v>
      </c>
      <c r="B9" s="1780" t="s">
        <v>1334</v>
      </c>
      <c r="C9" s="1781"/>
      <c r="D9" s="1782">
        <f>ROUND(D6*E9,0)</f>
        <v>0</v>
      </c>
      <c r="E9" s="1786"/>
      <c r="F9" s="1787" t="s">
        <v>1335</v>
      </c>
      <c r="G9" s="1771"/>
      <c r="H9" s="1757"/>
      <c r="I9" s="1858"/>
      <c r="J9" s="1869"/>
      <c r="K9" s="1873"/>
      <c r="L9" s="1874" t="s">
        <v>1336</v>
      </c>
      <c r="M9" s="1875"/>
      <c r="N9" s="1761"/>
      <c r="O9" s="1876"/>
      <c r="P9" s="1876"/>
      <c r="Q9" s="1797">
        <v>365</v>
      </c>
      <c r="R9" s="1913">
        <f t="shared" si="0"/>
        <v>0</v>
      </c>
      <c r="S9" s="1906"/>
      <c r="T9" s="1906"/>
      <c r="U9" s="1906"/>
      <c r="V9" s="1858"/>
    </row>
    <row r="10" s="1739" customFormat="1" customHeight="1" spans="1:22">
      <c r="A10" s="1779">
        <v>2</v>
      </c>
      <c r="B10" s="1780" t="s">
        <v>1337</v>
      </c>
      <c r="C10" s="1781"/>
      <c r="D10" s="1782">
        <f>ROUND(D6*E10,0)</f>
        <v>0</v>
      </c>
      <c r="E10" s="1786"/>
      <c r="F10" s="1787" t="s">
        <v>1338</v>
      </c>
      <c r="G10" s="1771"/>
      <c r="H10" s="1757"/>
      <c r="I10" s="1858"/>
      <c r="J10" s="1869"/>
      <c r="K10" s="1873"/>
      <c r="L10" s="1874" t="s">
        <v>1339</v>
      </c>
      <c r="M10" s="1875"/>
      <c r="N10" s="1761"/>
      <c r="O10" s="1876"/>
      <c r="P10" s="1876"/>
      <c r="Q10" s="1797">
        <v>365</v>
      </c>
      <c r="R10" s="1913">
        <f t="shared" si="0"/>
        <v>0</v>
      </c>
      <c r="S10" s="1906"/>
      <c r="T10" s="1906"/>
      <c r="U10" s="1906"/>
      <c r="V10" s="1858"/>
    </row>
    <row r="11" s="1739" customFormat="1" customHeight="1" spans="1:22">
      <c r="A11" s="1779">
        <v>3</v>
      </c>
      <c r="B11" s="1780" t="s">
        <v>1340</v>
      </c>
      <c r="C11" s="1781"/>
      <c r="D11" s="1782">
        <f>D12+D14+D15+D16</f>
        <v>0</v>
      </c>
      <c r="E11" s="1788" t="e">
        <f>D11/D6</f>
        <v>#DIV/0!</v>
      </c>
      <c r="F11" s="1784"/>
      <c r="G11" s="1785"/>
      <c r="H11" s="1757"/>
      <c r="I11" s="1858"/>
      <c r="J11" s="1869"/>
      <c r="K11" s="1873"/>
      <c r="L11" s="1874" t="s">
        <v>1341</v>
      </c>
      <c r="M11" s="1875"/>
      <c r="N11" s="1761"/>
      <c r="O11" s="1876"/>
      <c r="P11" s="1876"/>
      <c r="Q11" s="1797">
        <v>365</v>
      </c>
      <c r="R11" s="1913">
        <f t="shared" si="0"/>
        <v>0</v>
      </c>
      <c r="S11" s="1906"/>
      <c r="T11" s="1906"/>
      <c r="U11" s="1906"/>
      <c r="V11" s="1858"/>
    </row>
    <row r="12" s="1739" customFormat="1" customHeight="1" spans="1:22">
      <c r="A12" s="1789" t="s">
        <v>1342</v>
      </c>
      <c r="B12" s="1790" t="s">
        <v>1343</v>
      </c>
      <c r="C12" s="1791"/>
      <c r="D12" s="1792">
        <f>ROUND(D13*1.2%*(1-30%),0)</f>
        <v>0</v>
      </c>
      <c r="E12" s="1793">
        <v>0.012</v>
      </c>
      <c r="F12" s="1784" t="s">
        <v>1344</v>
      </c>
      <c r="G12" s="1785"/>
      <c r="H12" s="1757"/>
      <c r="I12" s="1858"/>
      <c r="J12" s="1869"/>
      <c r="K12" s="1873"/>
      <c r="L12" s="1874" t="s">
        <v>1345</v>
      </c>
      <c r="M12" s="1875"/>
      <c r="N12" s="1761"/>
      <c r="O12" s="1876"/>
      <c r="P12" s="1876"/>
      <c r="Q12" s="1797">
        <v>365</v>
      </c>
      <c r="R12" s="1913">
        <f t="shared" si="0"/>
        <v>0</v>
      </c>
      <c r="S12" s="1906"/>
      <c r="T12" s="1906"/>
      <c r="U12" s="1906"/>
      <c r="V12" s="1858"/>
    </row>
    <row r="13" s="1739" customFormat="1" customHeight="1" spans="1:22">
      <c r="A13" s="1789"/>
      <c r="B13" s="1790"/>
      <c r="C13" s="1794" t="s">
        <v>1346</v>
      </c>
      <c r="D13" s="1795"/>
      <c r="E13" s="1796"/>
      <c r="F13" s="1784"/>
      <c r="G13" s="1785"/>
      <c r="H13" s="1757"/>
      <c r="I13" s="1858"/>
      <c r="J13" s="1869"/>
      <c r="K13" s="1873"/>
      <c r="L13" s="1874" t="s">
        <v>1347</v>
      </c>
      <c r="M13" s="1875"/>
      <c r="N13" s="1761"/>
      <c r="O13" s="1876"/>
      <c r="P13" s="1876"/>
      <c r="Q13" s="1797">
        <v>365</v>
      </c>
      <c r="R13" s="1913">
        <f t="shared" si="0"/>
        <v>0</v>
      </c>
      <c r="S13" s="1906"/>
      <c r="T13" s="1906"/>
      <c r="U13" s="1906"/>
      <c r="V13" s="1858"/>
    </row>
    <row r="14" s="1739" customFormat="1" customHeight="1" spans="1:22">
      <c r="A14" s="1789" t="s">
        <v>1348</v>
      </c>
      <c r="B14" s="1790" t="s">
        <v>1349</v>
      </c>
      <c r="C14" s="1791"/>
      <c r="D14" s="1792">
        <f>ROUND(E14*B5/10000,0)</f>
        <v>0</v>
      </c>
      <c r="E14" s="1797"/>
      <c r="F14" s="1784" t="s">
        <v>1350</v>
      </c>
      <c r="G14" s="1785"/>
      <c r="H14" s="1757"/>
      <c r="I14" s="1858"/>
      <c r="J14" s="1869"/>
      <c r="K14" s="1877"/>
      <c r="L14" s="1878" t="s">
        <v>1351</v>
      </c>
      <c r="M14" s="1879">
        <f>SUM(M7:M13)</f>
        <v>0</v>
      </c>
      <c r="N14" s="1879" t="e">
        <f>ROUND((N7*M7+N8*M8+N9*M9+N10*M10+N11*M11+N12*M12+N13*M13)/M14,0)</f>
        <v>#DIV/0!</v>
      </c>
      <c r="O14" s="1880"/>
      <c r="P14" s="1880"/>
      <c r="Q14" s="1914"/>
      <c r="R14" s="1908">
        <f>SUM(R7:R13)</f>
        <v>0</v>
      </c>
      <c r="S14" s="1906"/>
      <c r="T14" s="1906"/>
      <c r="U14" s="1906"/>
      <c r="V14" s="1858"/>
    </row>
    <row r="15" s="1739" customFormat="1" customHeight="1" spans="1:22">
      <c r="A15" s="1789" t="s">
        <v>1352</v>
      </c>
      <c r="B15" s="1790" t="s">
        <v>1353</v>
      </c>
      <c r="C15" s="1791"/>
      <c r="D15" s="1792">
        <f>ROUND(D6*E15,0)</f>
        <v>0</v>
      </c>
      <c r="E15" s="1793">
        <v>0.055</v>
      </c>
      <c r="F15" s="1784" t="s">
        <v>1354</v>
      </c>
      <c r="G15" s="1771"/>
      <c r="H15" s="1757"/>
      <c r="I15" s="1858"/>
      <c r="J15" s="1869">
        <v>2</v>
      </c>
      <c r="K15" s="1870" t="s">
        <v>1355</v>
      </c>
      <c r="L15" s="1874" t="s">
        <v>1356</v>
      </c>
      <c r="M15" s="1875" t="s">
        <v>1357</v>
      </c>
      <c r="N15" s="1875" t="s">
        <v>1358</v>
      </c>
      <c r="O15" s="1876" t="s">
        <v>1359</v>
      </c>
      <c r="P15" s="1876" t="s">
        <v>1321</v>
      </c>
      <c r="Q15" s="1761" t="s">
        <v>124</v>
      </c>
      <c r="R15" s="1915" t="s">
        <v>1322</v>
      </c>
      <c r="S15" s="1906"/>
      <c r="T15" s="1906"/>
      <c r="U15" s="1906"/>
      <c r="V15" s="1858"/>
    </row>
    <row r="16" s="1739" customFormat="1" customHeight="1" spans="1:22">
      <c r="A16" s="1789" t="s">
        <v>1360</v>
      </c>
      <c r="B16" s="1790" t="s">
        <v>1361</v>
      </c>
      <c r="C16" s="1791"/>
      <c r="D16" s="1798">
        <f>D6*E16</f>
        <v>0</v>
      </c>
      <c r="E16" s="1799"/>
      <c r="F16" s="1787" t="s">
        <v>1362</v>
      </c>
      <c r="G16" s="1771"/>
      <c r="H16" s="1757"/>
      <c r="I16" s="1858"/>
      <c r="J16" s="1869"/>
      <c r="K16" s="1873"/>
      <c r="L16" s="1874" t="s">
        <v>1363</v>
      </c>
      <c r="M16" s="1875"/>
      <c r="N16" s="1875"/>
      <c r="O16" s="1876"/>
      <c r="P16" s="1797">
        <v>365</v>
      </c>
      <c r="Q16" s="1761"/>
      <c r="R16" s="1915">
        <f>ROUND(M16*N16*O16*P16/10000,0)</f>
        <v>0</v>
      </c>
      <c r="S16" s="1906"/>
      <c r="T16" s="1906"/>
      <c r="U16" s="1906"/>
      <c r="V16" s="1858"/>
    </row>
    <row r="17" s="1739" customFormat="1" customHeight="1" spans="1:22">
      <c r="A17" s="1800">
        <v>4</v>
      </c>
      <c r="B17" s="1801" t="s">
        <v>1364</v>
      </c>
      <c r="C17" s="1802"/>
      <c r="D17" s="1803">
        <f>ROUND(D6*E17,0)</f>
        <v>0</v>
      </c>
      <c r="E17" s="1804"/>
      <c r="F17" s="1805" t="s">
        <v>1365</v>
      </c>
      <c r="G17" s="1771"/>
      <c r="H17" s="1757"/>
      <c r="I17" s="1858"/>
      <c r="J17" s="1869"/>
      <c r="K17" s="1873"/>
      <c r="L17" s="1874" t="s">
        <v>1366</v>
      </c>
      <c r="M17" s="1875"/>
      <c r="N17" s="1875"/>
      <c r="O17" s="1876"/>
      <c r="P17" s="1797">
        <v>365</v>
      </c>
      <c r="Q17" s="1761"/>
      <c r="R17" s="1915">
        <f>ROUND(M17*N17*O17*P17/10000,0)</f>
        <v>0</v>
      </c>
      <c r="S17" s="1906"/>
      <c r="T17" s="1906"/>
      <c r="U17" s="1906"/>
      <c r="V17" s="1858"/>
    </row>
    <row r="18" s="1739" customFormat="1" customHeight="1" spans="1:22">
      <c r="A18" s="1772" t="s">
        <v>1367</v>
      </c>
      <c r="B18" s="1773"/>
      <c r="C18" s="1773"/>
      <c r="D18" s="1806">
        <f>ROUND(D6*E18,0)</f>
        <v>0</v>
      </c>
      <c r="E18" s="1807"/>
      <c r="F18" s="1808" t="s">
        <v>1368</v>
      </c>
      <c r="G18" s="1771"/>
      <c r="H18" s="1757"/>
      <c r="I18" s="1858"/>
      <c r="J18" s="1869"/>
      <c r="K18" s="1873"/>
      <c r="L18" s="1874" t="s">
        <v>1369</v>
      </c>
      <c r="M18" s="1875"/>
      <c r="N18" s="1875"/>
      <c r="O18" s="1876"/>
      <c r="P18" s="1797">
        <v>365</v>
      </c>
      <c r="Q18" s="1761"/>
      <c r="R18" s="1915">
        <f>ROUND(M18*N18*O18*P18/10000,0)</f>
        <v>0</v>
      </c>
      <c r="S18" s="1906"/>
      <c r="T18" s="1906"/>
      <c r="U18" s="1906"/>
      <c r="V18" s="1858"/>
    </row>
    <row r="19" s="1739" customFormat="1" customHeight="1" spans="1:22">
      <c r="A19" s="1809" t="s">
        <v>1370</v>
      </c>
      <c r="B19" s="1769"/>
      <c r="C19" s="1769"/>
      <c r="D19" s="1769"/>
      <c r="E19" s="1769"/>
      <c r="F19" s="1770"/>
      <c r="G19" s="1785"/>
      <c r="H19" s="1757"/>
      <c r="I19" s="1858"/>
      <c r="J19" s="1869"/>
      <c r="K19" s="1877"/>
      <c r="L19" s="1878" t="s">
        <v>1351</v>
      </c>
      <c r="M19" s="1879"/>
      <c r="N19" s="1879">
        <f>SUM(N16:N18)</f>
        <v>0</v>
      </c>
      <c r="O19" s="1880"/>
      <c r="P19" s="1881" t="s">
        <v>1371</v>
      </c>
      <c r="Q19" s="1876">
        <v>0</v>
      </c>
      <c r="R19" s="1916">
        <f>ROUND(IF(P19="按比例",R14*Q19,SUM(R16:R18)),0)</f>
        <v>0</v>
      </c>
      <c r="S19" s="1906"/>
      <c r="T19" s="1906"/>
      <c r="U19" s="1906"/>
      <c r="V19" s="1858"/>
    </row>
    <row r="20" s="1739" customFormat="1" customHeight="1" spans="1:22">
      <c r="A20" s="1772"/>
      <c r="B20" s="1773"/>
      <c r="C20" s="1773"/>
      <c r="D20" s="1773"/>
      <c r="E20" s="1773"/>
      <c r="F20" s="1810"/>
      <c r="G20" s="1785"/>
      <c r="H20" s="1757"/>
      <c r="I20" s="1858"/>
      <c r="J20" s="1869">
        <v>3</v>
      </c>
      <c r="K20" s="1870" t="s">
        <v>1372</v>
      </c>
      <c r="L20" s="1874" t="s">
        <v>1373</v>
      </c>
      <c r="M20" s="1875" t="s">
        <v>1374</v>
      </c>
      <c r="N20" s="1882" t="s">
        <v>1375</v>
      </c>
      <c r="O20" s="1876" t="s">
        <v>1376</v>
      </c>
      <c r="P20" s="1797" t="s">
        <v>1321</v>
      </c>
      <c r="Q20" s="1761" t="s">
        <v>124</v>
      </c>
      <c r="R20" s="1915" t="s">
        <v>1322</v>
      </c>
      <c r="S20" s="1903"/>
      <c r="T20" s="1903"/>
      <c r="U20" s="1903"/>
      <c r="V20" s="1858"/>
    </row>
    <row r="21" s="1739" customFormat="1" customHeight="1" spans="1:22">
      <c r="A21" s="1772"/>
      <c r="B21" s="1773"/>
      <c r="C21" s="1780" t="s">
        <v>1377</v>
      </c>
      <c r="D21" s="1811" t="s">
        <v>1378</v>
      </c>
      <c r="E21" s="1781" t="s">
        <v>1379</v>
      </c>
      <c r="F21" s="1810"/>
      <c r="G21" s="1785"/>
      <c r="H21" s="1757"/>
      <c r="I21" s="1858"/>
      <c r="J21" s="1869"/>
      <c r="K21" s="1873"/>
      <c r="L21" s="1874" t="s">
        <v>1380</v>
      </c>
      <c r="M21" s="1875"/>
      <c r="N21" s="1875"/>
      <c r="O21" s="1876"/>
      <c r="P21" s="1797">
        <v>365</v>
      </c>
      <c r="Q21" s="1761"/>
      <c r="R21" s="1917">
        <f>ROUND(M21*N21*O21*P21/10000,0)</f>
        <v>0</v>
      </c>
      <c r="S21" s="1903"/>
      <c r="T21" s="1903"/>
      <c r="U21" s="1903"/>
      <c r="V21" s="1858"/>
    </row>
    <row r="22" s="1739" customFormat="1" customHeight="1" spans="1:22">
      <c r="A22" s="1772"/>
      <c r="B22" s="1773"/>
      <c r="C22" s="1812" t="s">
        <v>1381</v>
      </c>
      <c r="D22" s="1813" t="s">
        <v>1382</v>
      </c>
      <c r="E22" s="1814" t="s">
        <v>1383</v>
      </c>
      <c r="F22" s="1810"/>
      <c r="G22" s="1815"/>
      <c r="H22" s="1757"/>
      <c r="I22" s="1858"/>
      <c r="J22" s="1869"/>
      <c r="K22" s="1873"/>
      <c r="L22" s="1874" t="s">
        <v>1384</v>
      </c>
      <c r="M22" s="1875"/>
      <c r="N22" s="1875"/>
      <c r="O22" s="1876"/>
      <c r="P22" s="1797">
        <v>365</v>
      </c>
      <c r="Q22" s="1761"/>
      <c r="R22" s="1917">
        <f>ROUND(M22*N22*O22*P22/10000,0)</f>
        <v>0</v>
      </c>
      <c r="S22" s="1903"/>
      <c r="T22" s="1903"/>
      <c r="U22" s="1903"/>
      <c r="V22" s="1858"/>
    </row>
    <row r="23" s="1739" customFormat="1" customHeight="1" spans="1:22">
      <c r="A23" s="1816">
        <v>1</v>
      </c>
      <c r="B23" s="1817" t="s">
        <v>1385</v>
      </c>
      <c r="C23" s="1818">
        <f>D6</f>
        <v>0</v>
      </c>
      <c r="D23" s="1819">
        <f>C23*(1+D24)</f>
        <v>0</v>
      </c>
      <c r="E23" s="1820">
        <f>D23*(1+E24)</f>
        <v>0</v>
      </c>
      <c r="F23" s="1821"/>
      <c r="G23" s="1822"/>
      <c r="H23" s="1757"/>
      <c r="I23" s="1858"/>
      <c r="J23" s="1869"/>
      <c r="K23" s="1873"/>
      <c r="L23" s="1874" t="s">
        <v>1386</v>
      </c>
      <c r="M23" s="1875"/>
      <c r="N23" s="1875"/>
      <c r="O23" s="1876"/>
      <c r="P23" s="1797">
        <v>365</v>
      </c>
      <c r="Q23" s="1761"/>
      <c r="R23" s="1917">
        <f>ROUND(M23*N23*O23*P23/10000,0)</f>
        <v>0</v>
      </c>
      <c r="S23" s="1906"/>
      <c r="T23" s="1906"/>
      <c r="U23" s="1906"/>
      <c r="V23" s="1858"/>
    </row>
    <row r="24" s="1739" customFormat="1" customHeight="1" spans="1:22">
      <c r="A24" s="1823"/>
      <c r="B24" s="1824" t="s">
        <v>1387</v>
      </c>
      <c r="C24" s="1825"/>
      <c r="D24" s="1826"/>
      <c r="E24" s="1827"/>
      <c r="F24" s="1828"/>
      <c r="G24" s="1822"/>
      <c r="H24" s="1757"/>
      <c r="I24" s="1858"/>
      <c r="J24" s="1869"/>
      <c r="K24" s="1877"/>
      <c r="L24" s="1878" t="s">
        <v>1351</v>
      </c>
      <c r="M24" s="1879">
        <f>SUM(M21:M23)</f>
        <v>0</v>
      </c>
      <c r="N24" s="1879"/>
      <c r="O24" s="1880"/>
      <c r="P24" s="1881" t="s">
        <v>1371</v>
      </c>
      <c r="Q24" s="1876">
        <v>0</v>
      </c>
      <c r="R24" s="1916">
        <f>ROUND(IF(P24="按比例",R14*Q24,SUM(R21:R23)),0)</f>
        <v>0</v>
      </c>
      <c r="S24" s="1906"/>
      <c r="T24" s="1906"/>
      <c r="U24" s="1906"/>
      <c r="V24" s="1858"/>
    </row>
    <row r="25" s="1740" customFormat="1" customHeight="1" spans="1:22">
      <c r="A25" s="1823"/>
      <c r="B25" s="1824"/>
      <c r="C25" s="1825"/>
      <c r="D25" s="1826"/>
      <c r="E25" s="1827"/>
      <c r="F25" s="1828"/>
      <c r="G25" s="1815"/>
      <c r="H25" s="1757"/>
      <c r="I25" s="1858"/>
      <c r="J25" s="1869">
        <v>4</v>
      </c>
      <c r="K25" s="1883" t="s">
        <v>1388</v>
      </c>
      <c r="L25" s="1884"/>
      <c r="M25" s="1884"/>
      <c r="N25" s="1884"/>
      <c r="O25" s="1884"/>
      <c r="P25" s="1885"/>
      <c r="Q25" s="1918">
        <v>0</v>
      </c>
      <c r="R25" s="1916">
        <f>ROUND(R14*Q25,0)</f>
        <v>0</v>
      </c>
      <c r="S25" s="1906"/>
      <c r="T25" s="1906"/>
      <c r="U25" s="1906"/>
      <c r="V25" s="1892"/>
    </row>
    <row r="26" s="1740" customFormat="1" customHeight="1" spans="1:22">
      <c r="A26" s="1816">
        <v>2</v>
      </c>
      <c r="B26" s="1817" t="s">
        <v>1389</v>
      </c>
      <c r="C26" s="1818">
        <f>D7</f>
        <v>0</v>
      </c>
      <c r="D26" s="1819">
        <f>D23*D27</f>
        <v>0</v>
      </c>
      <c r="E26" s="1820">
        <f>E23*E27</f>
        <v>0</v>
      </c>
      <c r="F26" s="1821"/>
      <c r="G26" s="1822"/>
      <c r="H26" s="1757"/>
      <c r="I26" s="1858"/>
      <c r="J26" s="1886">
        <v>5</v>
      </c>
      <c r="K26" s="1887" t="s">
        <v>1390</v>
      </c>
      <c r="L26" s="1888"/>
      <c r="M26" s="1889"/>
      <c r="N26" s="1890" t="s">
        <v>361</v>
      </c>
      <c r="O26" s="1890" t="s">
        <v>1391</v>
      </c>
      <c r="P26" s="1891" t="s">
        <v>1392</v>
      </c>
      <c r="Q26" s="1891" t="s">
        <v>1393</v>
      </c>
      <c r="R26" s="1910" t="s">
        <v>1322</v>
      </c>
      <c r="S26" s="1919"/>
      <c r="T26" s="1919"/>
      <c r="U26" s="1919"/>
      <c r="V26" s="1892"/>
    </row>
    <row r="27" s="1739" customFormat="1" customHeight="1" spans="1:22">
      <c r="A27" s="1823"/>
      <c r="B27" s="1824" t="s">
        <v>1394</v>
      </c>
      <c r="C27" s="1829" t="e">
        <f>E7</f>
        <v>#DIV/0!</v>
      </c>
      <c r="D27" s="1826"/>
      <c r="E27" s="1827"/>
      <c r="F27" s="1828"/>
      <c r="G27" s="1822"/>
      <c r="H27" s="1830"/>
      <c r="I27" s="1892"/>
      <c r="J27" s="1893"/>
      <c r="K27" s="1894"/>
      <c r="L27" s="1895"/>
      <c r="M27" s="1896"/>
      <c r="N27" s="1897"/>
      <c r="O27" s="1897"/>
      <c r="P27" s="1897"/>
      <c r="Q27" s="1920"/>
      <c r="R27" s="1916">
        <f>ROUND(O27*N27*P27*(1-Q27)/10000,0)</f>
        <v>0</v>
      </c>
      <c r="S27" s="1906"/>
      <c r="T27" s="1906"/>
      <c r="U27" s="1906"/>
      <c r="V27" s="1858"/>
    </row>
    <row r="28" s="1740" customFormat="1" customHeight="1" spans="1:22">
      <c r="A28" s="1823"/>
      <c r="B28" s="1824"/>
      <c r="C28" s="1829"/>
      <c r="D28" s="1826"/>
      <c r="E28" s="1827" t="s">
        <v>1395</v>
      </c>
      <c r="F28" s="1828"/>
      <c r="G28" s="1815"/>
      <c r="H28" s="1830"/>
      <c r="I28" s="1892"/>
      <c r="J28" s="1898">
        <v>6</v>
      </c>
      <c r="K28" s="1899" t="s">
        <v>1396</v>
      </c>
      <c r="L28" s="1900" t="s">
        <v>1397</v>
      </c>
      <c r="M28" s="1901"/>
      <c r="N28" s="1900" t="s">
        <v>1398</v>
      </c>
      <c r="O28" s="1902"/>
      <c r="P28" s="1900" t="s">
        <v>1399</v>
      </c>
      <c r="Q28" s="1921">
        <v>0.015</v>
      </c>
      <c r="R28" s="1922"/>
      <c r="S28" s="1903"/>
      <c r="T28" s="1903"/>
      <c r="U28" s="1903"/>
      <c r="V28" s="1892"/>
    </row>
    <row r="29" s="1740" customFormat="1" customHeight="1" spans="1:22">
      <c r="A29" s="1816">
        <v>3</v>
      </c>
      <c r="B29" s="1817" t="s">
        <v>1400</v>
      </c>
      <c r="C29" s="1818">
        <f>C23*C30</f>
        <v>0</v>
      </c>
      <c r="D29" s="1819">
        <f>D23*C30</f>
        <v>0</v>
      </c>
      <c r="E29" s="1820">
        <f>E23*C30</f>
        <v>0</v>
      </c>
      <c r="F29" s="1821"/>
      <c r="G29" s="1822"/>
      <c r="H29" s="1757"/>
      <c r="I29" s="1858"/>
      <c r="J29" s="1903"/>
      <c r="K29" s="1903"/>
      <c r="L29" s="1903"/>
      <c r="M29" s="1903"/>
      <c r="N29" s="1903"/>
      <c r="O29" s="1903"/>
      <c r="P29" s="1903"/>
      <c r="Q29" s="1903"/>
      <c r="R29" s="1903"/>
      <c r="S29" s="1903"/>
      <c r="T29" s="1903"/>
      <c r="U29" s="1903"/>
      <c r="V29" s="1892"/>
    </row>
    <row r="30" s="1739" customFormat="1" customHeight="1" spans="1:22">
      <c r="A30" s="1823"/>
      <c r="B30" s="1824" t="s">
        <v>1394</v>
      </c>
      <c r="C30" s="1829">
        <f>E18</f>
        <v>0</v>
      </c>
      <c r="D30" s="1831"/>
      <c r="E30" s="1796"/>
      <c r="F30" s="1828"/>
      <c r="G30" s="1822"/>
      <c r="H30" s="1830"/>
      <c r="I30" s="1892"/>
      <c r="J30" s="1903"/>
      <c r="K30" s="1903"/>
      <c r="L30" s="1903"/>
      <c r="M30" s="1903"/>
      <c r="N30" s="1903"/>
      <c r="O30" s="1903"/>
      <c r="P30" s="1903"/>
      <c r="Q30" s="1903"/>
      <c r="R30" s="1903"/>
      <c r="S30" s="1903"/>
      <c r="T30" s="1903"/>
      <c r="U30" s="1906"/>
      <c r="V30" s="1858"/>
    </row>
    <row r="31" s="1740" customFormat="1" customHeight="1" spans="1:22">
      <c r="A31" s="1823"/>
      <c r="B31" s="1824"/>
      <c r="C31" s="1832"/>
      <c r="D31" s="1831"/>
      <c r="E31" s="1796"/>
      <c r="F31" s="1828"/>
      <c r="G31" s="1815"/>
      <c r="H31" s="1830"/>
      <c r="I31" s="1892"/>
      <c r="J31" s="1856" t="s">
        <v>1401</v>
      </c>
      <c r="K31" s="1857"/>
      <c r="L31" s="1857"/>
      <c r="M31" s="1857"/>
      <c r="N31" s="1857"/>
      <c r="O31" s="1857"/>
      <c r="P31" s="1857"/>
      <c r="Q31" s="1857"/>
      <c r="R31" s="1905"/>
      <c r="S31" s="1903"/>
      <c r="T31" s="1906"/>
      <c r="U31" s="1906"/>
      <c r="V31" s="1892"/>
    </row>
    <row r="32" s="1740" customFormat="1" customHeight="1" spans="1:22">
      <c r="A32" s="1816">
        <v>4</v>
      </c>
      <c r="B32" s="1817" t="s">
        <v>1402</v>
      </c>
      <c r="C32" s="1818">
        <f>C23-C26-C29</f>
        <v>0</v>
      </c>
      <c r="D32" s="1819">
        <f>D23-D26-D29</f>
        <v>0</v>
      </c>
      <c r="E32" s="1820">
        <f>E23-E26-E29</f>
        <v>0</v>
      </c>
      <c r="F32" s="1821"/>
      <c r="G32" s="1815"/>
      <c r="H32" s="1757"/>
      <c r="I32" s="1858"/>
      <c r="J32" s="1859" t="s">
        <v>1301</v>
      </c>
      <c r="K32" s="1860"/>
      <c r="L32" s="1861" t="s">
        <v>1302</v>
      </c>
      <c r="M32" s="1861" t="s">
        <v>1303</v>
      </c>
      <c r="N32" s="1861" t="s">
        <v>1304</v>
      </c>
      <c r="O32" s="1861" t="s">
        <v>1305</v>
      </c>
      <c r="P32" s="1861" t="s">
        <v>1306</v>
      </c>
      <c r="Q32" s="1907" t="s">
        <v>1307</v>
      </c>
      <c r="R32" s="1923" t="s">
        <v>1308</v>
      </c>
      <c r="S32" s="1903"/>
      <c r="T32" s="1906"/>
      <c r="U32" s="1906"/>
      <c r="V32" s="1892"/>
    </row>
    <row r="33" s="1739" customFormat="1" customHeight="1" spans="1:22">
      <c r="A33" s="1816"/>
      <c r="B33" s="1817"/>
      <c r="C33" s="1818"/>
      <c r="D33" s="1833"/>
      <c r="E33" s="1791"/>
      <c r="F33" s="1821"/>
      <c r="G33" s="1815"/>
      <c r="H33" s="1830"/>
      <c r="I33" s="1892"/>
      <c r="J33" s="1862" t="s">
        <v>1309</v>
      </c>
      <c r="K33" s="1863"/>
      <c r="L33" s="1864"/>
      <c r="M33" s="1864"/>
      <c r="N33" s="1864"/>
      <c r="O33" s="1864"/>
      <c r="P33" s="1864"/>
      <c r="Q33" s="1909"/>
      <c r="R33" s="1924">
        <f>SUM(L33:Q33)</f>
        <v>0</v>
      </c>
      <c r="S33" s="1903"/>
      <c r="T33" s="1906"/>
      <c r="U33" s="1906"/>
      <c r="V33" s="1858"/>
    </row>
    <row r="34" s="1739" customFormat="1" customHeight="1" spans="1:22">
      <c r="A34" s="1816">
        <v>5</v>
      </c>
      <c r="B34" s="1817" t="s">
        <v>1403</v>
      </c>
      <c r="C34" s="1834"/>
      <c r="D34" s="1835"/>
      <c r="E34" s="1836"/>
      <c r="F34" s="1821"/>
      <c r="G34" s="1815"/>
      <c r="H34" s="1830"/>
      <c r="I34" s="1892"/>
      <c r="J34" s="1862" t="s">
        <v>1310</v>
      </c>
      <c r="K34" s="1863"/>
      <c r="L34" s="1865"/>
      <c r="M34" s="1865"/>
      <c r="N34" s="1865"/>
      <c r="O34" s="1865"/>
      <c r="P34" s="1865"/>
      <c r="Q34" s="1911"/>
      <c r="R34" s="1925">
        <f>SUM(L34:Q34)</f>
        <v>0</v>
      </c>
      <c r="S34" s="1903"/>
      <c r="T34" s="1906"/>
      <c r="U34" s="1906" t="e">
        <f>ROUND(R35*10000/365/R33,1)</f>
        <v>#DIV/0!</v>
      </c>
      <c r="V34" s="1858"/>
    </row>
    <row r="35" s="1739" customFormat="1" customHeight="1" spans="1:22">
      <c r="A35" s="1816">
        <v>6</v>
      </c>
      <c r="B35" s="1817" t="s">
        <v>1404</v>
      </c>
      <c r="C35" s="1837"/>
      <c r="D35" s="1838"/>
      <c r="E35" s="1839"/>
      <c r="F35" s="1821"/>
      <c r="G35" s="1840"/>
      <c r="H35" s="1757"/>
      <c r="I35" s="1892"/>
      <c r="J35" s="1866" t="s">
        <v>1312</v>
      </c>
      <c r="K35" s="1867"/>
      <c r="L35" s="1867"/>
      <c r="M35" s="1868"/>
      <c r="N35" s="1868"/>
      <c r="O35" s="1868"/>
      <c r="P35" s="1868"/>
      <c r="Q35" s="1868"/>
      <c r="R35" s="1926">
        <f>R40+R41+R43</f>
        <v>0</v>
      </c>
      <c r="S35" s="1903"/>
      <c r="T35" s="1906" t="s">
        <v>1313</v>
      </c>
      <c r="U35" s="1906"/>
      <c r="V35" s="1858"/>
    </row>
    <row r="36" s="1739" customFormat="1" customHeight="1" spans="1:22">
      <c r="A36" s="1816">
        <v>7</v>
      </c>
      <c r="B36" s="1841" t="s">
        <v>1405</v>
      </c>
      <c r="C36" s="1842"/>
      <c r="D36" s="1843"/>
      <c r="E36" s="1844"/>
      <c r="F36" s="1845">
        <f>C36+D36+E36</f>
        <v>0</v>
      </c>
      <c r="G36" s="1815"/>
      <c r="H36" s="1757"/>
      <c r="I36" s="1858"/>
      <c r="J36" s="1869">
        <v>1</v>
      </c>
      <c r="K36" s="1870" t="s">
        <v>1406</v>
      </c>
      <c r="L36" s="1871"/>
      <c r="M36" s="1872"/>
      <c r="N36" s="1872"/>
      <c r="O36" s="1872"/>
      <c r="P36" s="1872"/>
      <c r="Q36" s="1872"/>
      <c r="R36" s="1910" t="s">
        <v>1322</v>
      </c>
      <c r="S36" s="1903"/>
      <c r="T36" s="1906" t="s">
        <v>1323</v>
      </c>
      <c r="U36" s="1906"/>
      <c r="V36" s="1858"/>
    </row>
    <row r="37" s="1739" customFormat="1" customHeight="1" spans="1:22">
      <c r="A37" s="1816"/>
      <c r="B37" s="1817"/>
      <c r="C37" s="1817"/>
      <c r="D37" s="1817"/>
      <c r="E37" s="1817"/>
      <c r="F37" s="1821"/>
      <c r="G37" s="1815"/>
      <c r="H37" s="1757"/>
      <c r="I37" s="1858"/>
      <c r="J37" s="1869"/>
      <c r="K37" s="1873"/>
      <c r="L37" s="1874"/>
      <c r="M37" s="1875"/>
      <c r="N37" s="1761"/>
      <c r="O37" s="1876"/>
      <c r="P37" s="1876"/>
      <c r="Q37" s="1797"/>
      <c r="R37" s="1913"/>
      <c r="S37" s="1903"/>
      <c r="T37" s="1906" t="s">
        <v>1326</v>
      </c>
      <c r="U37" s="1906"/>
      <c r="V37" s="1858"/>
    </row>
    <row r="38" s="1739" customFormat="1" customHeight="1" spans="1:22">
      <c r="A38" s="1816">
        <v>8</v>
      </c>
      <c r="B38" s="1817"/>
      <c r="C38" s="1782" t="e">
        <f>ROUND(C32*(1-((1+C35)/(1+C34))^C36)/(C34-C35),0)</f>
        <v>#DIV/0!</v>
      </c>
      <c r="D38" s="1782">
        <f>IF(D23=0,0,ROUND(D32*(1-((1+D35)/(1+D34))^D36)/(D34-D35),0))</f>
        <v>0</v>
      </c>
      <c r="E38" s="1782">
        <f>IF(E23=0,0,ROUND(E32*(1-((1+E35)/(1+E34))^E36)/(E34-E35),0))</f>
        <v>0</v>
      </c>
      <c r="F38" s="1821"/>
      <c r="G38" s="1815"/>
      <c r="H38" s="1757"/>
      <c r="I38" s="1858"/>
      <c r="J38" s="1869"/>
      <c r="K38" s="1873"/>
      <c r="L38" s="1874"/>
      <c r="M38" s="1875"/>
      <c r="N38" s="1761"/>
      <c r="O38" s="1876"/>
      <c r="P38" s="1876"/>
      <c r="Q38" s="1797"/>
      <c r="R38" s="1913"/>
      <c r="S38" s="1903"/>
      <c r="T38" s="1906" t="s">
        <v>1333</v>
      </c>
      <c r="U38" s="1906"/>
      <c r="V38" s="1858"/>
    </row>
    <row r="39" s="1739" customFormat="1" customHeight="1" spans="1:22">
      <c r="A39" s="1816">
        <v>9</v>
      </c>
      <c r="B39" s="1817" t="s">
        <v>1407</v>
      </c>
      <c r="C39" s="1792" t="e">
        <f>C38</f>
        <v>#DIV/0!</v>
      </c>
      <c r="D39" s="1817">
        <f>D38/(1+D34)^C36</f>
        <v>0</v>
      </c>
      <c r="E39" s="1817">
        <f>E38/(1+E34)^(C36+D36)</f>
        <v>0</v>
      </c>
      <c r="F39" s="1821"/>
      <c r="G39" s="1846"/>
      <c r="H39" s="1757"/>
      <c r="I39" s="1858"/>
      <c r="J39" s="1869"/>
      <c r="K39" s="1873"/>
      <c r="L39" s="1874"/>
      <c r="M39" s="1875"/>
      <c r="N39" s="1761"/>
      <c r="O39" s="1876"/>
      <c r="P39" s="1876"/>
      <c r="Q39" s="1797"/>
      <c r="R39" s="1913"/>
      <c r="S39" s="1903"/>
      <c r="T39" s="1906"/>
      <c r="U39" s="1906"/>
      <c r="V39" s="1858"/>
    </row>
    <row r="40" s="1739" customFormat="1" customHeight="1" spans="1:22">
      <c r="A40" s="1847">
        <v>10</v>
      </c>
      <c r="B40" s="1817" t="s">
        <v>1408</v>
      </c>
      <c r="C40" s="1848" t="e">
        <f>C39+D39+E39</f>
        <v>#DIV/0!</v>
      </c>
      <c r="D40" s="1849"/>
      <c r="E40" s="1849"/>
      <c r="F40" s="1850"/>
      <c r="G40" s="1815"/>
      <c r="H40" s="1757"/>
      <c r="I40" s="1858"/>
      <c r="J40" s="1869"/>
      <c r="K40" s="1877"/>
      <c r="L40" s="1878" t="s">
        <v>1351</v>
      </c>
      <c r="M40" s="1879"/>
      <c r="N40" s="1879"/>
      <c r="O40" s="1880"/>
      <c r="P40" s="1880"/>
      <c r="Q40" s="1914"/>
      <c r="R40" s="1908">
        <f>SUM(R37:R39)</f>
        <v>0</v>
      </c>
      <c r="S40" s="1903"/>
      <c r="T40" s="1906"/>
      <c r="U40" s="1906"/>
      <c r="V40" s="1858"/>
    </row>
    <row r="41" s="1739" customFormat="1" customHeight="1" spans="1:22">
      <c r="A41" s="1851">
        <v>11</v>
      </c>
      <c r="B41" s="1852" t="s">
        <v>1409</v>
      </c>
      <c r="C41" s="1852" t="e">
        <f>ROUND(C40*10000/B4,0)</f>
        <v>#DIV/0!</v>
      </c>
      <c r="D41" s="1853"/>
      <c r="E41" s="1853"/>
      <c r="F41" s="1854"/>
      <c r="G41" s="1855"/>
      <c r="H41" s="1757"/>
      <c r="I41" s="1858"/>
      <c r="J41" s="1869">
        <v>2</v>
      </c>
      <c r="K41" s="1883" t="s">
        <v>1388</v>
      </c>
      <c r="L41" s="1884"/>
      <c r="M41" s="1884"/>
      <c r="N41" s="1884"/>
      <c r="O41" s="1884"/>
      <c r="P41" s="1885"/>
      <c r="Q41" s="1918"/>
      <c r="R41" s="1916">
        <f>ROUND(R40*Q41,0)</f>
        <v>0</v>
      </c>
      <c r="S41" s="1903"/>
      <c r="T41" s="1906"/>
      <c r="U41" s="1919"/>
      <c r="V41" s="1858"/>
    </row>
    <row r="42" s="1739" customFormat="1" customHeight="1" spans="7:22">
      <c r="G42" s="1855"/>
      <c r="H42" s="1757"/>
      <c r="I42" s="1858"/>
      <c r="J42" s="1886">
        <v>3</v>
      </c>
      <c r="K42" s="1887" t="s">
        <v>1390</v>
      </c>
      <c r="L42" s="1888"/>
      <c r="M42" s="1889"/>
      <c r="N42" s="1890" t="s">
        <v>361</v>
      </c>
      <c r="O42" s="1890" t="s">
        <v>1391</v>
      </c>
      <c r="P42" s="1891" t="s">
        <v>1392</v>
      </c>
      <c r="Q42" s="1891" t="s">
        <v>1393</v>
      </c>
      <c r="R42" s="1910" t="s">
        <v>1322</v>
      </c>
      <c r="S42" s="1919"/>
      <c r="T42" s="1919"/>
      <c r="U42" s="1906"/>
      <c r="V42" s="1858"/>
    </row>
    <row r="43" customHeight="1" spans="1:23">
      <c r="A43" s="1739"/>
      <c r="B43" s="1739"/>
      <c r="C43" s="1739"/>
      <c r="D43" s="1739"/>
      <c r="E43" s="1739"/>
      <c r="F43" s="1739"/>
      <c r="I43" s="1743"/>
      <c r="J43" s="1893"/>
      <c r="K43" s="1894"/>
      <c r="L43" s="1895"/>
      <c r="M43" s="1896"/>
      <c r="N43" s="1875"/>
      <c r="O43" s="1875"/>
      <c r="P43" s="1875"/>
      <c r="Q43" s="1918"/>
      <c r="R43" s="1916">
        <f>ROUND(O43*N43*P43*(1-Q43)/10000,0)</f>
        <v>0</v>
      </c>
      <c r="S43" s="1903"/>
      <c r="T43" s="1906"/>
      <c r="V43" s="1745"/>
      <c r="W43" s="1927"/>
    </row>
    <row r="44" customHeight="1" spans="10:18">
      <c r="J44" s="1898">
        <v>6</v>
      </c>
      <c r="K44" s="1899" t="s">
        <v>1396</v>
      </c>
      <c r="L44" s="1904" t="s">
        <v>1397</v>
      </c>
      <c r="M44" s="1901"/>
      <c r="N44" s="1904" t="s">
        <v>1398</v>
      </c>
      <c r="O44" s="1901"/>
      <c r="P44" s="1904" t="s">
        <v>1399</v>
      </c>
      <c r="Q44" s="1921">
        <v>0.015</v>
      </c>
      <c r="R44" s="1922"/>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F33" sqref="F33"/>
    </sheetView>
  </sheetViews>
  <sheetFormatPr defaultColWidth="9" defaultRowHeight="13.8"/>
  <cols>
    <col min="1" max="1" width="23.6666666666667" style="917" customWidth="1"/>
    <col min="2" max="2" width="12" style="917" customWidth="1"/>
    <col min="3" max="3" width="9" style="917"/>
    <col min="4" max="4" width="14.1111111111111" style="917" customWidth="1"/>
    <col min="5" max="5" width="9" style="917"/>
    <col min="6" max="6" width="12.8888888888889" style="917" customWidth="1"/>
    <col min="7" max="16384" width="9" style="917"/>
  </cols>
  <sheetData>
    <row r="1" ht="20.4" spans="1:19">
      <c r="A1" s="918" t="s">
        <v>1410</v>
      </c>
      <c r="B1" s="1714"/>
      <c r="C1" s="1714"/>
      <c r="D1" s="1714"/>
      <c r="E1" s="1715"/>
      <c r="F1" s="1716"/>
      <c r="G1" s="1717"/>
      <c r="H1" s="1717"/>
      <c r="I1" s="1717"/>
      <c r="J1" s="1717"/>
      <c r="K1" s="1717"/>
      <c r="L1" s="1717"/>
      <c r="M1" s="1717"/>
      <c r="N1" s="1717"/>
      <c r="O1" s="1717"/>
      <c r="P1" s="1717"/>
      <c r="Q1" s="1717"/>
      <c r="R1" s="1717"/>
      <c r="S1" s="1717"/>
    </row>
    <row r="2" ht="15.6" spans="1:19">
      <c r="A2" s="1718" t="s">
        <v>937</v>
      </c>
      <c r="B2" s="1719">
        <f ca="1">SUMIF(B6:B13,"&lt;&gt;#ref!",B6:B13)</f>
        <v>17439</v>
      </c>
      <c r="C2" s="1720" t="s">
        <v>1411</v>
      </c>
      <c r="D2" s="1721" t="s">
        <v>1412</v>
      </c>
      <c r="E2" s="1722">
        <f>SUM(E6:E13)</f>
        <v>18907.05</v>
      </c>
      <c r="F2" s="1716"/>
      <c r="G2" s="1717"/>
      <c r="H2" s="1717"/>
      <c r="I2" s="1717"/>
      <c r="J2" s="1717"/>
      <c r="K2" s="1717"/>
      <c r="L2" s="1717"/>
      <c r="M2" s="1717"/>
      <c r="N2" s="1717"/>
      <c r="O2" s="1717"/>
      <c r="P2" s="1717"/>
      <c r="Q2" s="1717"/>
      <c r="R2" s="1717"/>
      <c r="S2" s="1717"/>
    </row>
    <row r="3" ht="15.6" spans="1:19">
      <c r="A3" s="1718" t="s">
        <v>939</v>
      </c>
      <c r="B3" s="1723">
        <f ca="1">ROUND(B2*10000/E2,0)</f>
        <v>9224</v>
      </c>
      <c r="C3" s="1720" t="s">
        <v>1413</v>
      </c>
      <c r="D3" s="1724"/>
      <c r="E3" s="1725"/>
      <c r="F3" s="1716"/>
      <c r="G3" s="1717"/>
      <c r="H3" s="1717"/>
      <c r="I3" s="1717"/>
      <c r="J3" s="1717"/>
      <c r="K3" s="1717"/>
      <c r="L3" s="1717"/>
      <c r="M3" s="1717"/>
      <c r="N3" s="1717"/>
      <c r="O3" s="1717"/>
      <c r="P3" s="1717"/>
      <c r="Q3" s="1717"/>
      <c r="R3" s="1717"/>
      <c r="S3" s="1717"/>
    </row>
    <row r="4" ht="15.6" spans="1:19">
      <c r="A4" s="1726"/>
      <c r="B4" s="1724"/>
      <c r="C4" s="1724"/>
      <c r="D4" s="1724"/>
      <c r="E4" s="1725"/>
      <c r="F4" s="1716"/>
      <c r="G4" s="1717"/>
      <c r="H4" s="1717"/>
      <c r="I4" s="1717"/>
      <c r="J4" s="1717"/>
      <c r="K4" s="1717"/>
      <c r="L4" s="1717"/>
      <c r="M4" s="1717"/>
      <c r="N4" s="1717"/>
      <c r="O4" s="1717"/>
      <c r="P4" s="1717"/>
      <c r="Q4" s="1717"/>
      <c r="R4" s="1717"/>
      <c r="S4" s="1717"/>
    </row>
    <row r="5" ht="14.4" spans="1:19">
      <c r="A5" s="1727" t="s">
        <v>1414</v>
      </c>
      <c r="B5" s="1728" t="s">
        <v>1415</v>
      </c>
      <c r="C5" s="1729"/>
      <c r="D5" s="1730"/>
      <c r="E5" s="1731" t="s">
        <v>1416</v>
      </c>
      <c r="F5" s="1732" t="s">
        <v>1417</v>
      </c>
      <c r="G5" s="1717"/>
      <c r="H5" s="1717"/>
      <c r="I5" s="1717"/>
      <c r="J5" s="1717"/>
      <c r="K5" s="1717"/>
      <c r="L5" s="1717"/>
      <c r="M5" s="1717"/>
      <c r="N5" s="1717"/>
      <c r="O5" s="1717"/>
      <c r="P5" s="1717"/>
      <c r="Q5" s="1717"/>
      <c r="R5" s="1717"/>
      <c r="S5" s="1717"/>
    </row>
    <row r="6" ht="14.4" spans="1:19">
      <c r="A6" s="1733" t="str">
        <f>'数据-取费表'!AN6</f>
        <v>收益法</v>
      </c>
      <c r="B6" s="922">
        <f ca="1">IF(F6="是",'数据-取费表'!AO6,0)</f>
        <v>17439</v>
      </c>
      <c r="C6" s="1720" t="s">
        <v>1411</v>
      </c>
      <c r="D6" s="1724"/>
      <c r="E6" s="1734">
        <f>IF(OR(A6=0,F6="否"),0,'数据-取费表'!K6+'数据-取费表'!S6)</f>
        <v>18907.05</v>
      </c>
      <c r="F6" s="1735" t="s">
        <v>1418</v>
      </c>
      <c r="G6" s="1717"/>
      <c r="H6" s="1717"/>
      <c r="I6" s="1717"/>
      <c r="J6" s="1717"/>
      <c r="K6" s="1717"/>
      <c r="L6" s="1717"/>
      <c r="M6" s="1717"/>
      <c r="N6" s="1717"/>
      <c r="O6" s="1717"/>
      <c r="P6" s="1717"/>
      <c r="Q6" s="1717"/>
      <c r="R6" s="1717"/>
      <c r="S6" s="1717"/>
    </row>
    <row r="7" ht="14.4" spans="1:19">
      <c r="A7" s="1733">
        <f>'数据-取费表'!AN7</f>
        <v>0</v>
      </c>
      <c r="B7" s="922" t="e">
        <f ca="1">IF(F7="是",'数据-取费表'!AO7,0)</f>
        <v>#REF!</v>
      </c>
      <c r="C7" s="1720" t="s">
        <v>1411</v>
      </c>
      <c r="D7" s="1724"/>
      <c r="E7" s="1734">
        <f>IF(OR(A7=0,F7="否"),0,'数据-取费表'!K7+'数据-取费表'!S7)</f>
        <v>0</v>
      </c>
      <c r="F7" s="1735" t="s">
        <v>1418</v>
      </c>
      <c r="G7" s="1717"/>
      <c r="H7" s="1717"/>
      <c r="I7" s="1717"/>
      <c r="J7" s="1717"/>
      <c r="K7" s="1717"/>
      <c r="L7" s="1717"/>
      <c r="M7" s="1717"/>
      <c r="N7" s="1717"/>
      <c r="O7" s="1717"/>
      <c r="P7" s="1717"/>
      <c r="Q7" s="1717"/>
      <c r="R7" s="1717"/>
      <c r="S7" s="1717"/>
    </row>
    <row r="8" ht="14.4" spans="1:19">
      <c r="A8" s="1733">
        <f>'数据-取费表'!AN8</f>
        <v>0</v>
      </c>
      <c r="B8" s="922" t="e">
        <f ca="1">IF(F8="是",'数据-取费表'!AO8,0)</f>
        <v>#REF!</v>
      </c>
      <c r="C8" s="1720" t="s">
        <v>1411</v>
      </c>
      <c r="D8" s="1724"/>
      <c r="E8" s="1734">
        <f>IF(OR(A8=0,F8="否"),0,'数据-取费表'!K8+'数据-取费表'!S8)</f>
        <v>0</v>
      </c>
      <c r="F8" s="1735" t="s">
        <v>1418</v>
      </c>
      <c r="G8" s="1717"/>
      <c r="H8" s="1717"/>
      <c r="I8" s="1717"/>
      <c r="J8" s="1717"/>
      <c r="K8" s="1717"/>
      <c r="L8" s="1717"/>
      <c r="M8" s="1717"/>
      <c r="N8" s="1717"/>
      <c r="O8" s="1717"/>
      <c r="P8" s="1717"/>
      <c r="Q8" s="1717"/>
      <c r="R8" s="1717"/>
      <c r="S8" s="1717"/>
    </row>
    <row r="9" ht="14.4" spans="1:19">
      <c r="A9" s="1733">
        <f>'数据-取费表'!AN9</f>
        <v>0</v>
      </c>
      <c r="B9" s="922" t="e">
        <f ca="1">IF(F9="是",'数据-取费表'!AO9,0)</f>
        <v>#REF!</v>
      </c>
      <c r="C9" s="1720" t="s">
        <v>1411</v>
      </c>
      <c r="D9" s="1724"/>
      <c r="E9" s="1734">
        <f>IF(OR(A9=0,F9="否"),0,'数据-取费表'!K9+'数据-取费表'!S9)</f>
        <v>0</v>
      </c>
      <c r="F9" s="1735" t="s">
        <v>1418</v>
      </c>
      <c r="G9" s="1717"/>
      <c r="H9" s="1717"/>
      <c r="I9" s="1717"/>
      <c r="J9" s="1717"/>
      <c r="K9" s="1717"/>
      <c r="L9" s="1717"/>
      <c r="M9" s="1717"/>
      <c r="N9" s="1717"/>
      <c r="O9" s="1717"/>
      <c r="P9" s="1717"/>
      <c r="Q9" s="1717"/>
      <c r="R9" s="1717"/>
      <c r="S9" s="1717"/>
    </row>
    <row r="10" ht="14.4" spans="1:19">
      <c r="A10" s="1733">
        <f>'数据-取费表'!AN10</f>
        <v>0</v>
      </c>
      <c r="B10" s="922" t="e">
        <f ca="1">IF(F10="是",'数据-取费表'!AO10,0)</f>
        <v>#REF!</v>
      </c>
      <c r="C10" s="1720" t="s">
        <v>1411</v>
      </c>
      <c r="D10" s="1724"/>
      <c r="E10" s="1734">
        <f>IF(OR(A10=0,F10="否"),0,'数据-取费表'!K10+'数据-取费表'!S10)</f>
        <v>0</v>
      </c>
      <c r="F10" s="1735" t="s">
        <v>1418</v>
      </c>
      <c r="G10" s="1717"/>
      <c r="H10" s="1717"/>
      <c r="I10" s="1717"/>
      <c r="J10" s="1717"/>
      <c r="K10" s="1717"/>
      <c r="L10" s="1717"/>
      <c r="M10" s="1717"/>
      <c r="N10" s="1717"/>
      <c r="O10" s="1717"/>
      <c r="P10" s="1717"/>
      <c r="Q10" s="1717"/>
      <c r="R10" s="1717"/>
      <c r="S10" s="1717"/>
    </row>
    <row r="11" ht="14.4" spans="1:19">
      <c r="A11" s="1733">
        <f>'数据-取费表'!AN11</f>
        <v>0</v>
      </c>
      <c r="B11" s="922" t="e">
        <f ca="1">IF(F11="是",'数据-取费表'!AO11,0)</f>
        <v>#REF!</v>
      </c>
      <c r="C11" s="1720" t="s">
        <v>1411</v>
      </c>
      <c r="D11" s="1724"/>
      <c r="E11" s="1734">
        <f>IF(OR(A11=0,F11="否"),0,'数据-取费表'!K11+'数据-取费表'!S11)</f>
        <v>0</v>
      </c>
      <c r="F11" s="1735" t="s">
        <v>1418</v>
      </c>
      <c r="G11" s="1717"/>
      <c r="H11" s="1717"/>
      <c r="I11" s="1717"/>
      <c r="J11" s="1717"/>
      <c r="K11" s="1717"/>
      <c r="L11" s="1717"/>
      <c r="M11" s="1717"/>
      <c r="N11" s="1717"/>
      <c r="O11" s="1717"/>
      <c r="P11" s="1717"/>
      <c r="Q11" s="1717"/>
      <c r="R11" s="1717"/>
      <c r="S11" s="1717"/>
    </row>
    <row r="12" ht="14.4" spans="1:19">
      <c r="A12" s="1733">
        <f>'数据-取费表'!AN12</f>
        <v>0</v>
      </c>
      <c r="B12" s="922" t="e">
        <f ca="1">IF(F12="是",'数据-取费表'!AO12,0)</f>
        <v>#REF!</v>
      </c>
      <c r="C12" s="1720" t="s">
        <v>1411</v>
      </c>
      <c r="D12" s="1724"/>
      <c r="E12" s="1734">
        <f>IF(OR(A12=0,F12="否"),0,'数据-取费表'!K12+'数据-取费表'!S12)</f>
        <v>0</v>
      </c>
      <c r="F12" s="1735" t="s">
        <v>1418</v>
      </c>
      <c r="G12" s="1717"/>
      <c r="H12" s="1717"/>
      <c r="I12" s="1717"/>
      <c r="J12" s="1717"/>
      <c r="K12" s="1717"/>
      <c r="L12" s="1717"/>
      <c r="M12" s="1717"/>
      <c r="N12" s="1717"/>
      <c r="O12" s="1717"/>
      <c r="P12" s="1717"/>
      <c r="Q12" s="1717"/>
      <c r="R12" s="1717"/>
      <c r="S12" s="1717"/>
    </row>
    <row r="13" ht="15.15" spans="1:19">
      <c r="A13" s="1736">
        <f>'数据-取费表'!AN13</f>
        <v>0</v>
      </c>
      <c r="B13" s="922" t="e">
        <f ca="1">IF(F13="是",'数据-取费表'!AO13,0)</f>
        <v>#REF!</v>
      </c>
      <c r="C13" s="1737" t="s">
        <v>1411</v>
      </c>
      <c r="D13" s="1738"/>
      <c r="E13" s="1734">
        <f>IF(OR(A13=0,F13="否"),0,'数据-取费表'!K13+'数据-取费表'!S13)</f>
        <v>0</v>
      </c>
      <c r="F13" s="1735" t="s">
        <v>1418</v>
      </c>
      <c r="G13" s="1717"/>
      <c r="H13" s="1717"/>
      <c r="I13" s="1717"/>
      <c r="J13" s="1717"/>
      <c r="K13" s="1717"/>
      <c r="L13" s="1717"/>
      <c r="M13" s="1717"/>
      <c r="N13" s="1717"/>
      <c r="O13" s="1717"/>
      <c r="P13" s="1717"/>
      <c r="Q13" s="1717"/>
      <c r="R13" s="1717"/>
      <c r="S13" s="1717"/>
    </row>
    <row r="14" spans="1:22">
      <c r="A14" s="1717"/>
      <c r="B14" s="1717"/>
      <c r="C14" s="1717"/>
      <c r="D14" s="1717"/>
      <c r="E14" s="1717"/>
      <c r="F14" s="1717"/>
      <c r="G14" s="1717"/>
      <c r="H14" s="1717"/>
      <c r="I14" s="1717"/>
      <c r="J14" s="1717"/>
      <c r="K14" s="1717"/>
      <c r="L14" s="1717"/>
      <c r="M14" s="1717"/>
      <c r="N14" s="1717"/>
      <c r="O14" s="1717"/>
      <c r="P14" s="1717"/>
      <c r="Q14" s="1717"/>
      <c r="R14" s="1717"/>
      <c r="S14" s="1717"/>
      <c r="T14" s="1717"/>
      <c r="U14" s="1717"/>
      <c r="V14" s="1717"/>
    </row>
    <row r="15" spans="1:22">
      <c r="A15" s="1717"/>
      <c r="B15" s="1717"/>
      <c r="C15" s="1717"/>
      <c r="D15" s="1717"/>
      <c r="E15" s="1717"/>
      <c r="F15" s="1717"/>
      <c r="G15" s="1717"/>
      <c r="H15" s="1717"/>
      <c r="I15" s="1717"/>
      <c r="J15" s="1717"/>
      <c r="K15" s="1717"/>
      <c r="L15" s="1717"/>
      <c r="M15" s="1717"/>
      <c r="N15" s="1717"/>
      <c r="O15" s="1717"/>
      <c r="P15" s="1717"/>
      <c r="Q15" s="1717"/>
      <c r="R15" s="1717"/>
      <c r="S15" s="1717"/>
      <c r="T15" s="1717"/>
      <c r="U15" s="1717"/>
      <c r="V15" s="1717"/>
    </row>
    <row r="16" spans="1:22">
      <c r="A16" s="1717"/>
      <c r="B16" s="1717"/>
      <c r="C16" s="1717"/>
      <c r="D16" s="1717"/>
      <c r="E16" s="1717"/>
      <c r="F16" s="1717"/>
      <c r="G16" s="1717"/>
      <c r="H16" s="1717"/>
      <c r="I16" s="1717"/>
      <c r="J16" s="1717"/>
      <c r="K16" s="1717"/>
      <c r="L16" s="1717"/>
      <c r="M16" s="1717"/>
      <c r="N16" s="1717"/>
      <c r="O16" s="1717"/>
      <c r="P16" s="1717"/>
      <c r="Q16" s="1717"/>
      <c r="R16" s="1717"/>
      <c r="S16" s="1717"/>
      <c r="T16" s="1717"/>
      <c r="U16" s="1717"/>
      <c r="V16" s="1717"/>
    </row>
    <row r="17" spans="1:22">
      <c r="A17" s="1717"/>
      <c r="B17" s="1717"/>
      <c r="C17" s="1717"/>
      <c r="D17" s="1717"/>
      <c r="E17" s="1717"/>
      <c r="F17" s="1717"/>
      <c r="G17" s="1717"/>
      <c r="H17" s="1717"/>
      <c r="I17" s="1717"/>
      <c r="J17" s="1717"/>
      <c r="K17" s="1717"/>
      <c r="L17" s="1717"/>
      <c r="M17" s="1717"/>
      <c r="N17" s="1717"/>
      <c r="O17" s="1717"/>
      <c r="P17" s="1717"/>
      <c r="Q17" s="1717"/>
      <c r="R17" s="1717"/>
      <c r="S17" s="1717"/>
      <c r="T17" s="1717"/>
      <c r="U17" s="1717"/>
      <c r="V17" s="1717"/>
    </row>
    <row r="18" spans="1:22">
      <c r="A18" s="1717"/>
      <c r="B18" s="1717"/>
      <c r="C18" s="1717"/>
      <c r="D18" s="1717"/>
      <c r="E18" s="1717"/>
      <c r="F18" s="1717"/>
      <c r="G18" s="1717"/>
      <c r="H18" s="1717"/>
      <c r="I18" s="1717"/>
      <c r="J18" s="1717"/>
      <c r="K18" s="1717"/>
      <c r="L18" s="1717"/>
      <c r="M18" s="1717"/>
      <c r="N18" s="1717"/>
      <c r="O18" s="1717"/>
      <c r="P18" s="1717"/>
      <c r="Q18" s="1717"/>
      <c r="R18" s="1717"/>
      <c r="S18" s="1717"/>
      <c r="T18" s="1717"/>
      <c r="U18" s="1717"/>
      <c r="V18" s="1717"/>
    </row>
    <row r="19" spans="1:22">
      <c r="A19" s="1717"/>
      <c r="B19" s="1717"/>
      <c r="C19" s="1717"/>
      <c r="D19" s="1717"/>
      <c r="E19" s="1717"/>
      <c r="F19" s="1717"/>
      <c r="G19" s="1717"/>
      <c r="H19" s="1717"/>
      <c r="I19" s="1717"/>
      <c r="J19" s="1717"/>
      <c r="K19" s="1717"/>
      <c r="L19" s="1717"/>
      <c r="M19" s="1717"/>
      <c r="N19" s="1717"/>
      <c r="O19" s="1717"/>
      <c r="P19" s="1717"/>
      <c r="Q19" s="1717"/>
      <c r="R19" s="1717"/>
      <c r="S19" s="1717"/>
      <c r="T19" s="1717"/>
      <c r="U19" s="1717"/>
      <c r="V19" s="1717"/>
    </row>
    <row r="20" spans="1:22">
      <c r="A20" s="1717"/>
      <c r="B20" s="1717"/>
      <c r="C20" s="1717"/>
      <c r="D20" s="1717"/>
      <c r="E20" s="1717"/>
      <c r="F20" s="1717"/>
      <c r="G20" s="1717"/>
      <c r="H20" s="1717"/>
      <c r="I20" s="1717"/>
      <c r="J20" s="1717"/>
      <c r="K20" s="1717"/>
      <c r="L20" s="1717"/>
      <c r="M20" s="1717"/>
      <c r="N20" s="1717"/>
      <c r="O20" s="1717"/>
      <c r="P20" s="1717"/>
      <c r="Q20" s="1717"/>
      <c r="R20" s="1717"/>
      <c r="S20" s="1717"/>
      <c r="T20" s="1717"/>
      <c r="U20" s="1717"/>
      <c r="V20" s="1717"/>
    </row>
    <row r="21" spans="1:22">
      <c r="A21" s="1717"/>
      <c r="B21" s="1717"/>
      <c r="C21" s="1717"/>
      <c r="D21" s="1717"/>
      <c r="E21" s="1717"/>
      <c r="F21" s="1717"/>
      <c r="G21" s="1717"/>
      <c r="H21" s="1717"/>
      <c r="I21" s="1717"/>
      <c r="J21" s="1717"/>
      <c r="K21" s="1717"/>
      <c r="L21" s="1717"/>
      <c r="M21" s="1717"/>
      <c r="N21" s="1717"/>
      <c r="O21" s="1717"/>
      <c r="P21" s="1717"/>
      <c r="Q21" s="1717"/>
      <c r="R21" s="1717"/>
      <c r="S21" s="1717"/>
      <c r="T21" s="1717"/>
      <c r="U21" s="1717"/>
      <c r="V21" s="1717"/>
    </row>
    <row r="22" spans="1:22">
      <c r="A22" s="1717"/>
      <c r="B22" s="1717"/>
      <c r="C22" s="1717"/>
      <c r="D22" s="1717"/>
      <c r="E22" s="1717"/>
      <c r="F22" s="1717"/>
      <c r="G22" s="1717"/>
      <c r="H22" s="1717"/>
      <c r="I22" s="1717"/>
      <c r="J22" s="1717"/>
      <c r="K22" s="1717"/>
      <c r="L22" s="1717"/>
      <c r="M22" s="1717"/>
      <c r="N22" s="1717"/>
      <c r="O22" s="1717"/>
      <c r="P22" s="1717"/>
      <c r="Q22" s="1717"/>
      <c r="R22" s="1717"/>
      <c r="S22" s="1717"/>
      <c r="T22" s="1717"/>
      <c r="U22" s="1717"/>
      <c r="V22" s="1717"/>
    </row>
    <row r="23" spans="1:22">
      <c r="A23" s="1717"/>
      <c r="B23" s="1717"/>
      <c r="C23" s="1717"/>
      <c r="D23" s="1717"/>
      <c r="E23" s="1717"/>
      <c r="F23" s="1717"/>
      <c r="G23" s="1717"/>
      <c r="H23" s="1717"/>
      <c r="I23" s="1717"/>
      <c r="J23" s="1717"/>
      <c r="K23" s="1717"/>
      <c r="L23" s="1717"/>
      <c r="M23" s="1717"/>
      <c r="N23" s="1717"/>
      <c r="O23" s="1717"/>
      <c r="P23" s="1717"/>
      <c r="Q23" s="1717"/>
      <c r="R23" s="1717"/>
      <c r="S23" s="1717"/>
      <c r="T23" s="1717"/>
      <c r="U23" s="1717"/>
      <c r="V23" s="1717"/>
    </row>
    <row r="24" spans="1:22">
      <c r="A24" s="1717"/>
      <c r="B24" s="1717"/>
      <c r="C24" s="1717"/>
      <c r="D24" s="1717"/>
      <c r="E24" s="1717"/>
      <c r="F24" s="1717"/>
      <c r="G24" s="1717"/>
      <c r="H24" s="1717"/>
      <c r="I24" s="1717"/>
      <c r="J24" s="1717"/>
      <c r="K24" s="1717"/>
      <c r="L24" s="1717"/>
      <c r="M24" s="1717"/>
      <c r="N24" s="1717"/>
      <c r="O24" s="1717"/>
      <c r="P24" s="1717"/>
      <c r="Q24" s="1717"/>
      <c r="R24" s="1717"/>
      <c r="S24" s="1717"/>
      <c r="T24" s="1717"/>
      <c r="U24" s="1717"/>
      <c r="V24" s="1717"/>
    </row>
    <row r="25" spans="1:22">
      <c r="A25" s="1717"/>
      <c r="B25" s="1717"/>
      <c r="C25" s="1717"/>
      <c r="D25" s="1717"/>
      <c r="E25" s="1717"/>
      <c r="F25" s="1717"/>
      <c r="G25" s="1717"/>
      <c r="H25" s="1717"/>
      <c r="I25" s="1717"/>
      <c r="J25" s="1717"/>
      <c r="K25" s="1717"/>
      <c r="L25" s="1717"/>
      <c r="M25" s="1717"/>
      <c r="N25" s="1717"/>
      <c r="O25" s="1717"/>
      <c r="P25" s="1717"/>
      <c r="Q25" s="1717"/>
      <c r="R25" s="1717"/>
      <c r="S25" s="1717"/>
      <c r="T25" s="1717"/>
      <c r="U25" s="1717"/>
      <c r="V25" s="1717"/>
    </row>
    <row r="26" spans="1:22">
      <c r="A26" s="1717"/>
      <c r="B26" s="1717"/>
      <c r="C26" s="1717"/>
      <c r="D26" s="1717"/>
      <c r="E26" s="1717"/>
      <c r="F26" s="1717"/>
      <c r="G26" s="1717"/>
      <c r="H26" s="1717"/>
      <c r="I26" s="1717"/>
      <c r="J26" s="1717"/>
      <c r="K26" s="1717"/>
      <c r="L26" s="1717"/>
      <c r="M26" s="1717"/>
      <c r="N26" s="1717"/>
      <c r="O26" s="1717"/>
      <c r="P26" s="1717"/>
      <c r="Q26" s="1717"/>
      <c r="R26" s="1717"/>
      <c r="S26" s="1717"/>
      <c r="T26" s="1717"/>
      <c r="U26" s="1717"/>
      <c r="V26" s="1717"/>
    </row>
    <row r="27" spans="1:22">
      <c r="A27" s="1717"/>
      <c r="B27" s="1717"/>
      <c r="C27" s="1717"/>
      <c r="D27" s="1717"/>
      <c r="E27" s="1717"/>
      <c r="F27" s="1717"/>
      <c r="G27" s="1717"/>
      <c r="H27" s="1717"/>
      <c r="I27" s="1717"/>
      <c r="J27" s="1717"/>
      <c r="K27" s="1717"/>
      <c r="L27" s="1717"/>
      <c r="M27" s="1717"/>
      <c r="N27" s="1717"/>
      <c r="O27" s="1717"/>
      <c r="P27" s="1717"/>
      <c r="Q27" s="1717"/>
      <c r="R27" s="1717"/>
      <c r="S27" s="1717"/>
      <c r="T27" s="1717"/>
      <c r="U27" s="1717"/>
      <c r="V27" s="1717"/>
    </row>
    <row r="28" spans="1:22">
      <c r="A28" s="1717"/>
      <c r="B28" s="1717"/>
      <c r="C28" s="1717"/>
      <c r="D28" s="1717"/>
      <c r="E28" s="1717"/>
      <c r="F28" s="1717"/>
      <c r="G28" s="1717"/>
      <c r="H28" s="1717"/>
      <c r="I28" s="1717"/>
      <c r="J28" s="1717"/>
      <c r="K28" s="1717"/>
      <c r="L28" s="1717"/>
      <c r="M28" s="1717"/>
      <c r="N28" s="1717"/>
      <c r="O28" s="1717"/>
      <c r="P28" s="1717"/>
      <c r="Q28" s="1717"/>
      <c r="R28" s="1717"/>
      <c r="S28" s="1717"/>
      <c r="T28" s="1717"/>
      <c r="U28" s="1717"/>
      <c r="V28" s="1717"/>
    </row>
    <row r="29" spans="1:22">
      <c r="A29" s="1717"/>
      <c r="B29" s="1717"/>
      <c r="C29" s="1717"/>
      <c r="D29" s="1717"/>
      <c r="E29" s="1717"/>
      <c r="F29" s="1717"/>
      <c r="G29" s="1717"/>
      <c r="H29" s="1717"/>
      <c r="I29" s="1717"/>
      <c r="J29" s="1717"/>
      <c r="K29" s="1717"/>
      <c r="L29" s="1717"/>
      <c r="M29" s="1717"/>
      <c r="N29" s="1717"/>
      <c r="O29" s="1717"/>
      <c r="P29" s="1717"/>
      <c r="Q29" s="1717"/>
      <c r="R29" s="1717"/>
      <c r="S29" s="1717"/>
      <c r="T29" s="1717"/>
      <c r="U29" s="1717"/>
      <c r="V29" s="1717"/>
    </row>
    <row r="30" spans="1:22">
      <c r="A30" s="1717"/>
      <c r="B30" s="1717"/>
      <c r="C30" s="1717"/>
      <c r="D30" s="1717"/>
      <c r="E30" s="1717"/>
      <c r="F30" s="1717"/>
      <c r="G30" s="1717"/>
      <c r="H30" s="1717"/>
      <c r="I30" s="1717"/>
      <c r="J30" s="1717"/>
      <c r="K30" s="1717"/>
      <c r="L30" s="1717"/>
      <c r="M30" s="1717"/>
      <c r="N30" s="1717"/>
      <c r="O30" s="1717"/>
      <c r="P30" s="1717"/>
      <c r="Q30" s="1717"/>
      <c r="R30" s="1717"/>
      <c r="S30" s="1717"/>
      <c r="T30" s="1717"/>
      <c r="U30" s="1717"/>
      <c r="V30" s="1717"/>
    </row>
    <row r="31" spans="1:22">
      <c r="A31" s="1717"/>
      <c r="B31" s="1717"/>
      <c r="C31" s="1717"/>
      <c r="D31" s="1717"/>
      <c r="E31" s="1717"/>
      <c r="F31" s="1717"/>
      <c r="G31" s="1717"/>
      <c r="H31" s="1717"/>
      <c r="I31" s="1717"/>
      <c r="J31" s="1717"/>
      <c r="K31" s="1717"/>
      <c r="L31" s="1717"/>
      <c r="M31" s="1717"/>
      <c r="N31" s="1717"/>
      <c r="O31" s="1717"/>
      <c r="P31" s="1717"/>
      <c r="Q31" s="1717"/>
      <c r="R31" s="1717"/>
      <c r="S31" s="1717"/>
      <c r="T31" s="1717"/>
      <c r="U31" s="1717"/>
      <c r="V31" s="1717"/>
    </row>
  </sheetData>
  <sheetProtection password="CEE9" sheet="1" formatCells="0" formatColumns="0" formatRows="0" objects="1" scenarios="1"/>
  <mergeCells count="1">
    <mergeCell ref="B5:C5"/>
  </mergeCells>
  <dataValidations count="1">
    <dataValidation type="list" allowBlank="1" showInputMessage="1" showErrorMessage="1" sqref="F6:F13">
      <formula1>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60" zoomScaleNormal="60" workbookViewId="0">
      <selection activeCell="F33" sqref="F33"/>
    </sheetView>
  </sheetViews>
  <sheetFormatPr defaultColWidth="9" defaultRowHeight="13.8"/>
  <cols>
    <col min="1" max="1" width="10.4444444444444" style="21" customWidth="1"/>
    <col min="2" max="2" width="15.7777777777778" style="21" customWidth="1"/>
    <col min="3" max="3" width="15.1111111111111" style="21" customWidth="1"/>
    <col min="4" max="4" width="12.2222222222222" style="21" customWidth="1"/>
    <col min="5" max="5" width="14.3333333333333" style="21" customWidth="1"/>
    <col min="6" max="6" width="12.2222222222222" style="21" customWidth="1"/>
    <col min="7" max="7" width="14.4444444444444" style="21" customWidth="1"/>
    <col min="8" max="8" width="12.2222222222222" style="21" customWidth="1"/>
    <col min="9" max="9" width="14.4444444444444" style="21" customWidth="1"/>
    <col min="10" max="10" width="12.2222222222222" style="21" customWidth="1"/>
    <col min="11" max="11" width="12.2222222222222" style="22" customWidth="1"/>
    <col min="12" max="12" width="12.2222222222222" style="23" customWidth="1"/>
    <col min="13" max="15" width="12.2222222222222" style="21" customWidth="1"/>
    <col min="16" max="16" width="4.77777777777778" style="1609" customWidth="1"/>
    <col min="17" max="17" width="19.4444444444444" style="21" customWidth="1"/>
    <col min="18" max="22" width="6.11111111111111" style="21" customWidth="1"/>
    <col min="23" max="23" width="5.77777777777778" style="21" customWidth="1"/>
    <col min="24" max="24" width="4.22222222222222" style="21" customWidth="1"/>
    <col min="25" max="25" width="3.44444444444444" style="21" customWidth="1"/>
    <col min="26" max="26" width="19.7777777777778" style="21" customWidth="1"/>
    <col min="27" max="28" width="9.33333333333333" style="21" customWidth="1"/>
    <col min="29" max="16384" width="9" style="21"/>
  </cols>
  <sheetData>
    <row r="1" s="1391" customFormat="1" ht="28.5" customHeight="1" spans="1:29">
      <c r="A1" s="1392" t="s">
        <v>1419</v>
      </c>
      <c r="B1" s="1610" t="s">
        <v>1420</v>
      </c>
      <c r="C1" s="1451" t="s">
        <v>1421</v>
      </c>
      <c r="D1" s="1395"/>
      <c r="E1" s="1634"/>
      <c r="F1" s="1397" t="s">
        <v>1422</v>
      </c>
      <c r="G1" s="1398" t="s">
        <v>1423</v>
      </c>
      <c r="H1" s="1396"/>
      <c r="I1" s="1396"/>
      <c r="J1" s="1396"/>
      <c r="K1" s="1449"/>
      <c r="L1" s="1450"/>
      <c r="M1" s="1451"/>
      <c r="N1" s="1451"/>
      <c r="O1" s="1451"/>
      <c r="P1" s="1643"/>
      <c r="Q1" s="1394"/>
      <c r="R1" s="1394"/>
      <c r="S1" s="1394"/>
      <c r="T1" s="1394"/>
      <c r="U1" s="1394"/>
      <c r="V1" s="1394"/>
      <c r="W1" s="1394"/>
      <c r="X1" s="1394"/>
      <c r="Y1" s="1394"/>
      <c r="Z1" s="1394"/>
      <c r="AA1" s="1394"/>
      <c r="AB1" s="1394"/>
      <c r="AC1" s="1458"/>
    </row>
    <row r="2" s="1633" customFormat="1" ht="28.5" customHeight="1" spans="1:29">
      <c r="A2" s="1399" t="s">
        <v>937</v>
      </c>
      <c r="B2" s="1400" t="e">
        <f ca="1">IF(C2="——",ROUND(C49*D3/10000,0),ROUND(C49*D3/10000,0)-D2)</f>
        <v>#DIV/0!</v>
      </c>
      <c r="C2" s="1401"/>
      <c r="D2" s="1572" t="e">
        <f ca="1">SUMIF(INDIRECT("'"&amp;F2&amp;"'"&amp;"!A:A"),"承租人权益价值",INDIRECT("'"&amp;F2&amp;"'"&amp;"!c:c"))</f>
        <v>#REF!</v>
      </c>
      <c r="E2" s="1402" t="s">
        <v>938</v>
      </c>
      <c r="F2" s="1403"/>
      <c r="G2" s="1352"/>
      <c r="H2" s="1352"/>
      <c r="I2" s="1352"/>
      <c r="J2" s="1352"/>
      <c r="K2" s="1644"/>
      <c r="L2" s="1645"/>
      <c r="M2" s="1646"/>
      <c r="N2" s="1646"/>
      <c r="O2" s="1646"/>
      <c r="P2" s="1647"/>
      <c r="Q2" s="1665"/>
      <c r="R2" s="1665"/>
      <c r="S2" s="1665"/>
      <c r="T2" s="1665"/>
      <c r="U2" s="1665"/>
      <c r="V2" s="1665"/>
      <c r="W2" s="1665"/>
      <c r="X2" s="1665"/>
      <c r="Y2" s="1665"/>
      <c r="Z2" s="1665"/>
      <c r="AA2" s="1665"/>
      <c r="AB2" s="1665"/>
      <c r="AC2" s="1666"/>
    </row>
    <row r="3" s="1633" customFormat="1" ht="28.5" customHeight="1" spans="1:29">
      <c r="A3" s="33" t="s">
        <v>939</v>
      </c>
      <c r="B3" s="1405" t="e">
        <f ca="1">IF(C2="——",C49,ROUND(B2*10000/D3,0))</f>
        <v>#DIV/0!</v>
      </c>
      <c r="C3" s="1404" t="s">
        <v>1424</v>
      </c>
      <c r="D3" s="1405">
        <f>IF(D1="",'数据-汇总表'!E3,SUMIF('数据-汇总表'!$C19:$C33,D1,'数据-汇总表'!$E19:$E33))</f>
        <v>18907.05</v>
      </c>
      <c r="E3" s="1352"/>
      <c r="F3" s="1635"/>
      <c r="G3" s="1352"/>
      <c r="H3" s="1352"/>
      <c r="I3" s="1352"/>
      <c r="J3" s="1352"/>
      <c r="K3" s="1644"/>
      <c r="L3" s="1645"/>
      <c r="M3" s="1646"/>
      <c r="N3" s="1646"/>
      <c r="O3" s="1646"/>
      <c r="P3" s="1647"/>
      <c r="Q3" s="1665"/>
      <c r="R3" s="1665"/>
      <c r="S3" s="1665"/>
      <c r="T3" s="1665"/>
      <c r="U3" s="1665"/>
      <c r="V3" s="1665"/>
      <c r="W3" s="1665"/>
      <c r="X3" s="1665"/>
      <c r="Y3" s="1665"/>
      <c r="Z3" s="1665"/>
      <c r="AA3" s="1665"/>
      <c r="AB3" s="1665"/>
      <c r="AC3" s="1667"/>
    </row>
    <row r="4" ht="14.4" spans="1:29">
      <c r="A4" s="36" t="s">
        <v>1425</v>
      </c>
      <c r="B4" s="37"/>
      <c r="C4" s="38" t="s">
        <v>1426</v>
      </c>
      <c r="D4" s="39"/>
      <c r="E4" s="40" t="s">
        <v>1427</v>
      </c>
      <c r="F4" s="41"/>
      <c r="G4" s="38" t="s">
        <v>1428</v>
      </c>
      <c r="H4" s="39"/>
      <c r="I4" s="38" t="s">
        <v>1429</v>
      </c>
      <c r="J4" s="39"/>
      <c r="K4" s="1648" t="s">
        <v>1430</v>
      </c>
      <c r="L4" s="204"/>
      <c r="M4" s="205"/>
      <c r="N4" s="205"/>
      <c r="O4" s="205"/>
      <c r="P4" s="206" t="s">
        <v>1431</v>
      </c>
      <c r="Q4" s="255"/>
      <c r="R4" s="256" t="s">
        <v>1427</v>
      </c>
      <c r="S4" s="257"/>
      <c r="T4" s="256" t="s">
        <v>1428</v>
      </c>
      <c r="U4" s="257"/>
      <c r="V4" s="244" t="s">
        <v>1429</v>
      </c>
      <c r="W4" s="244"/>
      <c r="X4" s="258"/>
      <c r="Y4" s="256" t="s">
        <v>1431</v>
      </c>
      <c r="Z4" s="257"/>
      <c r="AA4" s="283" t="s">
        <v>1427</v>
      </c>
      <c r="AB4" s="283" t="s">
        <v>1428</v>
      </c>
      <c r="AC4" s="283" t="s">
        <v>1429</v>
      </c>
    </row>
    <row r="5" spans="1:29">
      <c r="A5" s="42"/>
      <c r="B5" s="43"/>
      <c r="C5" s="44" t="s">
        <v>1432</v>
      </c>
      <c r="D5" s="45"/>
      <c r="E5" s="46" t="s">
        <v>1433</v>
      </c>
      <c r="F5" s="47"/>
      <c r="G5" s="44" t="s">
        <v>1434</v>
      </c>
      <c r="H5" s="45"/>
      <c r="I5" s="44" t="s">
        <v>1435</v>
      </c>
      <c r="J5" s="45"/>
      <c r="K5" s="1649"/>
      <c r="L5" s="204"/>
      <c r="M5" s="205"/>
      <c r="N5" s="205"/>
      <c r="O5" s="205"/>
      <c r="P5" s="207"/>
      <c r="Q5" s="259"/>
      <c r="R5" s="260"/>
      <c r="S5" s="261"/>
      <c r="T5" s="260"/>
      <c r="U5" s="261"/>
      <c r="V5" s="244"/>
      <c r="W5" s="244"/>
      <c r="X5" s="258"/>
      <c r="Y5" s="260"/>
      <c r="Z5" s="261"/>
      <c r="AA5" s="258"/>
      <c r="AB5" s="258"/>
      <c r="AC5" s="258"/>
    </row>
    <row r="6" ht="15.15" spans="1:29">
      <c r="A6" s="48"/>
      <c r="B6" s="49"/>
      <c r="C6" s="1353" t="s">
        <v>1436</v>
      </c>
      <c r="D6" s="1354"/>
      <c r="E6" s="1355" t="s">
        <v>1436</v>
      </c>
      <c r="F6" s="1356"/>
      <c r="G6" s="1353" t="s">
        <v>1436</v>
      </c>
      <c r="H6" s="1354"/>
      <c r="I6" s="1353" t="s">
        <v>1436</v>
      </c>
      <c r="J6" s="1354"/>
      <c r="K6" s="1649" t="s">
        <v>1437</v>
      </c>
      <c r="L6" s="204"/>
      <c r="M6" s="205"/>
      <c r="N6" s="205"/>
      <c r="O6" s="205"/>
      <c r="P6" s="208"/>
      <c r="Q6" s="262"/>
      <c r="R6" s="260"/>
      <c r="S6" s="261"/>
      <c r="T6" s="263"/>
      <c r="U6" s="264"/>
      <c r="V6" s="244"/>
      <c r="W6" s="244"/>
      <c r="X6" s="258"/>
      <c r="Y6" s="263"/>
      <c r="Z6" s="264"/>
      <c r="AA6" s="284"/>
      <c r="AB6" s="284"/>
      <c r="AC6" s="284"/>
    </row>
    <row r="7" s="15" customFormat="1" ht="15.15" spans="1:29">
      <c r="A7" s="54" t="s">
        <v>1438</v>
      </c>
      <c r="B7" s="55"/>
      <c r="C7" s="56">
        <f>'数据-取费表'!B2</f>
        <v>44802</v>
      </c>
      <c r="D7" s="57">
        <v>100</v>
      </c>
      <c r="E7" s="58"/>
      <c r="F7" s="59">
        <f>SUMIF(58:58,YEAR(E7)&amp;"-"&amp;MONTH(E7),59:59)</f>
        <v>0</v>
      </c>
      <c r="G7" s="58"/>
      <c r="H7" s="57">
        <f>SUMIF(58:58,YEAR(G7)&amp;"-"&amp;MONTH(G7),59:59)</f>
        <v>0</v>
      </c>
      <c r="I7" s="58"/>
      <c r="J7" s="57">
        <f>SUMIF(58:58,YEAR(I7)&amp;"-"&amp;MONTH(I7),59:59)</f>
        <v>0</v>
      </c>
      <c r="K7" s="1650"/>
      <c r="L7" s="210"/>
      <c r="M7" s="211"/>
      <c r="N7" s="211"/>
      <c r="O7" s="211"/>
      <c r="P7" s="212" t="s">
        <v>1439</v>
      </c>
      <c r="Q7" s="265"/>
      <c r="R7" s="266" t="s">
        <v>1440</v>
      </c>
      <c r="S7" s="267">
        <f t="shared" ref="S7:S15" si="0">F7</f>
        <v>0</v>
      </c>
      <c r="T7" s="266" t="s">
        <v>1440</v>
      </c>
      <c r="U7" s="267">
        <f t="shared" ref="U7:U15" si="1">H7</f>
        <v>0</v>
      </c>
      <c r="V7" s="266" t="s">
        <v>1440</v>
      </c>
      <c r="W7" s="267">
        <f t="shared" ref="W7:W15" si="2">J7</f>
        <v>0</v>
      </c>
      <c r="X7" s="268"/>
      <c r="Y7" s="212" t="s">
        <v>1439</v>
      </c>
      <c r="Z7" s="269"/>
      <c r="AA7" s="285" t="e">
        <f>D7/F7</f>
        <v>#DIV/0!</v>
      </c>
      <c r="AB7" s="285" t="e">
        <f>D7/H7</f>
        <v>#DIV/0!</v>
      </c>
      <c r="AC7" s="285" t="e">
        <f>D7/J7</f>
        <v>#DIV/0!</v>
      </c>
    </row>
    <row r="8" s="15" customFormat="1" ht="15.15" spans="1:29">
      <c r="A8" s="54" t="s">
        <v>1441</v>
      </c>
      <c r="B8" s="55"/>
      <c r="C8" s="61" t="s">
        <v>1442</v>
      </c>
      <c r="D8" s="57">
        <v>100</v>
      </c>
      <c r="E8" s="1636"/>
      <c r="F8" s="59">
        <f>SUMIF(61:61,E8,62:62)-SUMIF(61:61,C8,62:62)+100</f>
        <v>0</v>
      </c>
      <c r="G8" s="61"/>
      <c r="H8" s="57">
        <f>SUMIF(61:61,G8,62:62)-SUMIF(61:61,C8,62:62)+100</f>
        <v>0</v>
      </c>
      <c r="I8" s="1636"/>
      <c r="J8" s="57">
        <f>SUMIF(61:61,I8,62:62)-SUMIF(61:61,C8,62:62)+100</f>
        <v>0</v>
      </c>
      <c r="K8" s="1650"/>
      <c r="L8" s="210"/>
      <c r="M8" s="211"/>
      <c r="N8" s="211"/>
      <c r="O8" s="211"/>
      <c r="P8" s="212" t="s">
        <v>1443</v>
      </c>
      <c r="Q8" s="269"/>
      <c r="R8" s="266" t="s">
        <v>1440</v>
      </c>
      <c r="S8" s="267">
        <f t="shared" si="0"/>
        <v>0</v>
      </c>
      <c r="T8" s="266" t="s">
        <v>1440</v>
      </c>
      <c r="U8" s="267">
        <f t="shared" si="1"/>
        <v>0</v>
      </c>
      <c r="V8" s="266" t="s">
        <v>1440</v>
      </c>
      <c r="W8" s="267">
        <f t="shared" si="2"/>
        <v>0</v>
      </c>
      <c r="X8" s="268"/>
      <c r="Y8" s="212" t="s">
        <v>1443</v>
      </c>
      <c r="Z8" s="269"/>
      <c r="AA8" s="285" t="e">
        <f t="shared" ref="AA8:AA19" si="3">D8/F8</f>
        <v>#DIV/0!</v>
      </c>
      <c r="AB8" s="285" t="e">
        <f t="shared" ref="AB8:AB19" si="4">D8/H8</f>
        <v>#DIV/0!</v>
      </c>
      <c r="AC8" s="285" t="e">
        <f t="shared" ref="AC8:AC19" si="5">D8/J8</f>
        <v>#DIV/0!</v>
      </c>
    </row>
    <row r="9" s="15" customFormat="1" ht="14.4" spans="1:29">
      <c r="A9" s="62" t="s">
        <v>1444</v>
      </c>
      <c r="B9" s="63" t="s">
        <v>1445</v>
      </c>
      <c r="C9" s="1406"/>
      <c r="D9" s="65">
        <v>100</v>
      </c>
      <c r="E9" s="1476"/>
      <c r="F9" s="1408">
        <f>SUMIF(63:63,E9,64:64)-SUMIF(63:63,C9,64:64)+100</f>
        <v>100</v>
      </c>
      <c r="G9" s="1407"/>
      <c r="H9" s="65">
        <f>SUMIF(63:63,G9,64:64)-SUMIF(63:63,C9,64:64)+100</f>
        <v>100</v>
      </c>
      <c r="I9" s="1407"/>
      <c r="J9" s="65">
        <f>SUMIF(63:63,I9,64:64)-SUMIF(63:63,C9,64:64)+100</f>
        <v>100</v>
      </c>
      <c r="K9" s="1650"/>
      <c r="L9" s="210"/>
      <c r="M9" s="211"/>
      <c r="N9" s="211"/>
      <c r="O9" s="211"/>
      <c r="P9" s="168" t="s">
        <v>1446</v>
      </c>
      <c r="Q9" s="270" t="str">
        <f t="shared" ref="Q9:Q15" si="6">B9</f>
        <v>用途</v>
      </c>
      <c r="R9" s="266" t="s">
        <v>1440</v>
      </c>
      <c r="S9" s="267">
        <f t="shared" si="0"/>
        <v>100</v>
      </c>
      <c r="T9" s="266" t="s">
        <v>1440</v>
      </c>
      <c r="U9" s="267">
        <f t="shared" si="1"/>
        <v>100</v>
      </c>
      <c r="V9" s="266" t="s">
        <v>1440</v>
      </c>
      <c r="W9" s="267">
        <f t="shared" si="2"/>
        <v>100</v>
      </c>
      <c r="X9" s="268"/>
      <c r="Y9" s="270" t="s">
        <v>1447</v>
      </c>
      <c r="Z9" s="286" t="str">
        <f t="shared" ref="Z9:Z15" si="7">Q9</f>
        <v>用途</v>
      </c>
      <c r="AA9" s="285">
        <f t="shared" si="3"/>
        <v>1</v>
      </c>
      <c r="AB9" s="285">
        <f t="shared" si="4"/>
        <v>1</v>
      </c>
      <c r="AC9" s="285">
        <f t="shared" si="5"/>
        <v>1</v>
      </c>
    </row>
    <row r="10" s="16" customFormat="1" ht="28.8" spans="1:29">
      <c r="A10" s="66"/>
      <c r="B10" s="67" t="s">
        <v>1448</v>
      </c>
      <c r="C10" s="1409"/>
      <c r="D10" s="69">
        <v>100</v>
      </c>
      <c r="E10" s="1479"/>
      <c r="F10" s="1410">
        <f>SUMIF(65:65,E10,66:66)-SUMIF(65:65,C10,66:66)+100</f>
        <v>100</v>
      </c>
      <c r="G10" s="1409"/>
      <c r="H10" s="69">
        <f>SUMIF(65:65,G10,66:66)-SUMIF(65:65,C10,66:66)+100</f>
        <v>100</v>
      </c>
      <c r="I10" s="1409"/>
      <c r="J10" s="69">
        <f>SUMIF(65:65,I10,66:66)-SUMIF(65:65,C10,66:66)+100</f>
        <v>100</v>
      </c>
      <c r="K10" s="1651"/>
      <c r="L10" s="215"/>
      <c r="M10" s="216"/>
      <c r="N10" s="216"/>
      <c r="O10" s="216"/>
      <c r="P10" s="168"/>
      <c r="Q10" s="270" t="str">
        <f t="shared" si="6"/>
        <v>土地使用年限（年）</v>
      </c>
      <c r="R10" s="266" t="s">
        <v>1440</v>
      </c>
      <c r="S10" s="267">
        <f t="shared" si="0"/>
        <v>100</v>
      </c>
      <c r="T10" s="266" t="s">
        <v>1440</v>
      </c>
      <c r="U10" s="267">
        <f t="shared" si="1"/>
        <v>100</v>
      </c>
      <c r="V10" s="266" t="s">
        <v>1440</v>
      </c>
      <c r="W10" s="267">
        <f t="shared" si="2"/>
        <v>100</v>
      </c>
      <c r="X10" s="268"/>
      <c r="Y10" s="270"/>
      <c r="Z10" s="286" t="str">
        <f t="shared" si="7"/>
        <v>土地使用年限（年）</v>
      </c>
      <c r="AA10" s="285">
        <f t="shared" si="3"/>
        <v>1</v>
      </c>
      <c r="AB10" s="285">
        <f t="shared" si="4"/>
        <v>1</v>
      </c>
      <c r="AC10" s="285">
        <f t="shared" si="5"/>
        <v>1</v>
      </c>
    </row>
    <row r="11" ht="15" spans="1:29">
      <c r="A11" s="70"/>
      <c r="B11" s="67" t="s">
        <v>1449</v>
      </c>
      <c r="C11" s="71"/>
      <c r="D11" s="69">
        <v>100</v>
      </c>
      <c r="E11" s="72"/>
      <c r="F11" s="1410" t="e">
        <f>LOOKUP(E11,68:68,69:69)-LOOKUP(C11,68:68,69:69)+100</f>
        <v>#N/A</v>
      </c>
      <c r="G11" s="71"/>
      <c r="H11" s="69" t="e">
        <f>LOOKUP(G11,68:68,69:69)-LOOKUP(C11,68:68,69:69)+100</f>
        <v>#N/A</v>
      </c>
      <c r="I11" s="71"/>
      <c r="J11" s="69" t="e">
        <f>LOOKUP(I11,68:68,69:69)-LOOKUP(C11,68:68,69:69)+100</f>
        <v>#N/A</v>
      </c>
      <c r="K11" s="1651"/>
      <c r="L11" s="219"/>
      <c r="M11" s="205"/>
      <c r="N11" s="205"/>
      <c r="O11" s="205"/>
      <c r="P11" s="168"/>
      <c r="Q11" s="270" t="str">
        <f t="shared" si="6"/>
        <v>容积率</v>
      </c>
      <c r="R11" s="266" t="s">
        <v>1440</v>
      </c>
      <c r="S11" s="267" t="e">
        <f t="shared" si="0"/>
        <v>#N/A</v>
      </c>
      <c r="T11" s="266" t="s">
        <v>1440</v>
      </c>
      <c r="U11" s="267" t="e">
        <f t="shared" si="1"/>
        <v>#N/A</v>
      </c>
      <c r="V11" s="266" t="s">
        <v>1440</v>
      </c>
      <c r="W11" s="267" t="e">
        <f t="shared" si="2"/>
        <v>#N/A</v>
      </c>
      <c r="X11" s="268"/>
      <c r="Y11" s="270"/>
      <c r="Z11" s="286" t="str">
        <f t="shared" si="7"/>
        <v>容积率</v>
      </c>
      <c r="AA11" s="285" t="e">
        <f t="shared" si="3"/>
        <v>#N/A</v>
      </c>
      <c r="AB11" s="285" t="e">
        <f t="shared" si="4"/>
        <v>#N/A</v>
      </c>
      <c r="AC11" s="285" t="e">
        <f t="shared" si="5"/>
        <v>#N/A</v>
      </c>
    </row>
    <row r="12" s="15" customFormat="1" ht="15" spans="1:29">
      <c r="A12" s="73"/>
      <c r="B12" s="74">
        <v>111</v>
      </c>
      <c r="C12" s="68"/>
      <c r="D12" s="75">
        <v>100</v>
      </c>
      <c r="E12" s="68"/>
      <c r="F12" s="1410">
        <f>SUMIF(70:70,E12,71:71)-SUMIF(70:70,C12,71:71)+100</f>
        <v>100</v>
      </c>
      <c r="G12" s="68"/>
      <c r="H12" s="69">
        <f>SUMIF(70:70,G12,71:71)-SUMIF(70:70,C12,71:71)+100</f>
        <v>100</v>
      </c>
      <c r="I12" s="68"/>
      <c r="J12" s="69">
        <f>SUMIF(70:70,I12,71:71)-SUMIF(70:70,C12,71:71)+100</f>
        <v>100</v>
      </c>
      <c r="K12" s="1652"/>
      <c r="L12" s="210"/>
      <c r="M12" s="211"/>
      <c r="N12" s="211"/>
      <c r="O12" s="211"/>
      <c r="P12" s="168"/>
      <c r="Q12" s="270">
        <f t="shared" si="6"/>
        <v>111</v>
      </c>
      <c r="R12" s="266" t="s">
        <v>1440</v>
      </c>
      <c r="S12" s="267">
        <f t="shared" si="0"/>
        <v>100</v>
      </c>
      <c r="T12" s="266" t="s">
        <v>1440</v>
      </c>
      <c r="U12" s="267">
        <f t="shared" si="1"/>
        <v>100</v>
      </c>
      <c r="V12" s="266" t="s">
        <v>1440</v>
      </c>
      <c r="W12" s="267">
        <f t="shared" si="2"/>
        <v>100</v>
      </c>
      <c r="X12" s="268"/>
      <c r="Y12" s="270"/>
      <c r="Z12" s="286">
        <f t="shared" si="7"/>
        <v>111</v>
      </c>
      <c r="AA12" s="285">
        <f t="shared" si="3"/>
        <v>1</v>
      </c>
      <c r="AB12" s="285">
        <f t="shared" si="4"/>
        <v>1</v>
      </c>
      <c r="AC12" s="285">
        <f t="shared" si="5"/>
        <v>1</v>
      </c>
    </row>
    <row r="13" ht="15" spans="1:29">
      <c r="A13" s="70"/>
      <c r="B13" s="74">
        <v>111</v>
      </c>
      <c r="C13" s="78"/>
      <c r="D13" s="79">
        <v>100</v>
      </c>
      <c r="E13" s="78"/>
      <c r="F13" s="1410">
        <f>SUMIF(72:72,E13,73:73)-SUMIF(72:72,C13,73:73)+100</f>
        <v>100</v>
      </c>
      <c r="G13" s="78"/>
      <c r="H13" s="79">
        <f>SUMIF(72:72,G13,73:73)-SUMIF(72:72,C13,73:73)+100</f>
        <v>100</v>
      </c>
      <c r="I13" s="78"/>
      <c r="J13" s="79">
        <f>SUMIF(72:72,I13,73:73)-SUMIF(72:72,C13,73:73)+100</f>
        <v>100</v>
      </c>
      <c r="K13" s="1652"/>
      <c r="L13" s="221"/>
      <c r="M13" s="205"/>
      <c r="N13" s="205"/>
      <c r="O13" s="205"/>
      <c r="P13" s="168"/>
      <c r="Q13" s="270">
        <f t="shared" si="6"/>
        <v>111</v>
      </c>
      <c r="R13" s="266" t="s">
        <v>1440</v>
      </c>
      <c r="S13" s="267">
        <f t="shared" si="0"/>
        <v>100</v>
      </c>
      <c r="T13" s="266" t="s">
        <v>1440</v>
      </c>
      <c r="U13" s="267">
        <f t="shared" si="1"/>
        <v>100</v>
      </c>
      <c r="V13" s="266" t="s">
        <v>1440</v>
      </c>
      <c r="W13" s="267">
        <f t="shared" si="2"/>
        <v>100</v>
      </c>
      <c r="X13" s="268"/>
      <c r="Y13" s="270"/>
      <c r="Z13" s="286">
        <f t="shared" si="7"/>
        <v>111</v>
      </c>
      <c r="AA13" s="285">
        <f t="shared" si="3"/>
        <v>1</v>
      </c>
      <c r="AB13" s="285">
        <f t="shared" si="4"/>
        <v>1</v>
      </c>
      <c r="AC13" s="285">
        <f t="shared" si="5"/>
        <v>1</v>
      </c>
    </row>
    <row r="14" ht="15.75" spans="1:29">
      <c r="A14" s="80"/>
      <c r="B14" s="81">
        <v>111</v>
      </c>
      <c r="C14" s="82"/>
      <c r="D14" s="83">
        <v>100</v>
      </c>
      <c r="E14" s="82"/>
      <c r="F14" s="1430">
        <f>SUMIF(74:74,E14,75:75)-SUMIF(74:74,C14,75:75)+100</f>
        <v>100</v>
      </c>
      <c r="G14" s="82"/>
      <c r="H14" s="83">
        <f>SUMIF(74:74,G14,75:75)-SUMIF(74:74,C14,75:75)+100</f>
        <v>100</v>
      </c>
      <c r="I14" s="82"/>
      <c r="J14" s="83">
        <f>SUMIF(74:74,I14,75:75)-SUMIF(74:74,C14,75:75)+100</f>
        <v>100</v>
      </c>
      <c r="K14" s="1652"/>
      <c r="L14" s="221"/>
      <c r="M14" s="205"/>
      <c r="N14" s="205"/>
      <c r="O14" s="205"/>
      <c r="P14" s="168"/>
      <c r="Q14" s="270">
        <f t="shared" si="6"/>
        <v>111</v>
      </c>
      <c r="R14" s="266" t="s">
        <v>1440</v>
      </c>
      <c r="S14" s="267">
        <f t="shared" si="0"/>
        <v>100</v>
      </c>
      <c r="T14" s="266" t="s">
        <v>1440</v>
      </c>
      <c r="U14" s="267">
        <f t="shared" si="1"/>
        <v>100</v>
      </c>
      <c r="V14" s="266" t="s">
        <v>1440</v>
      </c>
      <c r="W14" s="267">
        <f t="shared" si="2"/>
        <v>100</v>
      </c>
      <c r="X14" s="268"/>
      <c r="Y14" s="270"/>
      <c r="Z14" s="286">
        <f t="shared" si="7"/>
        <v>111</v>
      </c>
      <c r="AA14" s="285">
        <f t="shared" si="3"/>
        <v>1</v>
      </c>
      <c r="AB14" s="285">
        <f t="shared" si="4"/>
        <v>1</v>
      </c>
      <c r="AC14" s="285">
        <f t="shared" si="5"/>
        <v>1</v>
      </c>
    </row>
    <row r="15" ht="100.8" spans="1:29">
      <c r="A15" s="84" t="s">
        <v>1450</v>
      </c>
      <c r="B15" s="1359" t="s">
        <v>1451</v>
      </c>
      <c r="C15" s="1360" t="str">
        <f>估价对象房地状况!C3</f>
        <v>估价对象周边居住用地比例、居住小区规模和社区发展完善程度，综合评价居住社区成熟度一般</v>
      </c>
      <c r="D15" s="87">
        <v>100</v>
      </c>
      <c r="E15" s="222"/>
      <c r="F15" s="87">
        <f>SUMIF(76:76,E16,77:77)-SUMIF(76:76,C16,77:77)+100</f>
        <v>100</v>
      </c>
      <c r="G15" s="88"/>
      <c r="H15" s="87">
        <f>SUMIF(76:76,G16,77:77)-SUMIF(76:76,C16,77:77)+100</f>
        <v>100</v>
      </c>
      <c r="I15" s="88"/>
      <c r="J15" s="87">
        <f>SUMIF(76:76,I16,77:77)-SUMIF(76:76,C16,77:77)+100</f>
        <v>100</v>
      </c>
      <c r="K15" s="1653"/>
      <c r="L15" s="221"/>
      <c r="M15" s="205"/>
      <c r="N15" s="205"/>
      <c r="O15" s="205"/>
      <c r="P15" s="1587" t="s">
        <v>1452</v>
      </c>
      <c r="Q15" s="169" t="str">
        <f t="shared" si="6"/>
        <v>居住社区成熟度</v>
      </c>
      <c r="R15" s="271" t="s">
        <v>1440</v>
      </c>
      <c r="S15" s="272">
        <f t="shared" si="0"/>
        <v>100</v>
      </c>
      <c r="T15" s="271" t="s">
        <v>1440</v>
      </c>
      <c r="U15" s="272">
        <f t="shared" si="1"/>
        <v>100</v>
      </c>
      <c r="V15" s="271" t="s">
        <v>1440</v>
      </c>
      <c r="W15" s="272">
        <f t="shared" si="2"/>
        <v>100</v>
      </c>
      <c r="X15" s="258"/>
      <c r="Y15" s="223" t="s">
        <v>1452</v>
      </c>
      <c r="Z15" s="244" t="str">
        <f t="shared" si="7"/>
        <v>居住社区成熟度</v>
      </c>
      <c r="AA15" s="287">
        <f t="shared" si="3"/>
        <v>1</v>
      </c>
      <c r="AB15" s="287">
        <f t="shared" si="4"/>
        <v>1</v>
      </c>
      <c r="AC15" s="287">
        <f t="shared" si="5"/>
        <v>1</v>
      </c>
    </row>
    <row r="16" ht="15" spans="1:29">
      <c r="A16" s="70"/>
      <c r="B16" s="1361"/>
      <c r="C16" s="90"/>
      <c r="D16" s="91"/>
      <c r="E16" s="1367"/>
      <c r="F16" s="91"/>
      <c r="G16" s="99"/>
      <c r="H16" s="93"/>
      <c r="I16" s="99"/>
      <c r="J16" s="91"/>
      <c r="K16" s="1654"/>
      <c r="L16" s="221"/>
      <c r="M16" s="205"/>
      <c r="N16" s="205"/>
      <c r="O16" s="205"/>
      <c r="P16" s="1588"/>
      <c r="Q16" s="169"/>
      <c r="R16" s="271"/>
      <c r="S16" s="272"/>
      <c r="T16" s="271"/>
      <c r="U16" s="272"/>
      <c r="V16" s="271"/>
      <c r="W16" s="272"/>
      <c r="X16" s="258"/>
      <c r="Y16" s="224"/>
      <c r="Z16" s="244"/>
      <c r="AA16" s="287">
        <v>1</v>
      </c>
      <c r="AB16" s="287">
        <v>1</v>
      </c>
      <c r="AC16" s="287">
        <v>1</v>
      </c>
    </row>
    <row r="17" ht="86.4" spans="1:29">
      <c r="A17" s="70"/>
      <c r="B17" s="1362" t="s">
        <v>1453</v>
      </c>
      <c r="C17" s="95" t="str">
        <f>估价对象房地状况!C6</f>
        <v>估价对象周边道路状况、公共交通通达情况、停车便捷程度，综合评价交通便捷度较好</v>
      </c>
      <c r="D17" s="93">
        <v>100</v>
      </c>
      <c r="E17" s="225"/>
      <c r="F17" s="93">
        <f>SUMIF(78:78,E18,79:79)-SUMIF(78:78,C18,79:79)+100</f>
        <v>100</v>
      </c>
      <c r="G17" s="96"/>
      <c r="H17" s="97">
        <f>SUMIF(78:78,G18,79:79)-SUMIF(78:78,C18,79:79)+100</f>
        <v>100</v>
      </c>
      <c r="I17" s="96"/>
      <c r="J17" s="97">
        <f>SUMIF(78:78,I18,79:79)-SUMIF(78:78,C18,79:79)+100</f>
        <v>100</v>
      </c>
      <c r="K17" s="1653"/>
      <c r="L17" s="221"/>
      <c r="M17" s="205"/>
      <c r="N17" s="205"/>
      <c r="O17" s="205"/>
      <c r="P17" s="1588"/>
      <c r="Q17" s="169" t="str">
        <f>B17</f>
        <v>交通便捷度</v>
      </c>
      <c r="R17" s="271" t="s">
        <v>1440</v>
      </c>
      <c r="S17" s="272">
        <f>F17</f>
        <v>100</v>
      </c>
      <c r="T17" s="271" t="s">
        <v>1440</v>
      </c>
      <c r="U17" s="272">
        <f>H17</f>
        <v>100</v>
      </c>
      <c r="V17" s="271" t="s">
        <v>1440</v>
      </c>
      <c r="W17" s="272">
        <f>J17</f>
        <v>100</v>
      </c>
      <c r="X17" s="258"/>
      <c r="Y17" s="224"/>
      <c r="Z17" s="244" t="str">
        <f>Q17</f>
        <v>交通便捷度</v>
      </c>
      <c r="AA17" s="287">
        <f t="shared" si="3"/>
        <v>1</v>
      </c>
      <c r="AB17" s="287">
        <f t="shared" si="4"/>
        <v>1</v>
      </c>
      <c r="AC17" s="287">
        <f t="shared" si="5"/>
        <v>1</v>
      </c>
    </row>
    <row r="18" ht="15" spans="1:29">
      <c r="A18" s="70"/>
      <c r="B18" s="118"/>
      <c r="C18" s="1363"/>
      <c r="D18" s="93"/>
      <c r="E18" s="1373"/>
      <c r="F18" s="93"/>
      <c r="G18" s="1364"/>
      <c r="H18" s="91"/>
      <c r="I18" s="1364"/>
      <c r="J18" s="91"/>
      <c r="K18" s="1654"/>
      <c r="L18" s="221"/>
      <c r="M18" s="205"/>
      <c r="N18" s="205"/>
      <c r="O18" s="205"/>
      <c r="P18" s="1588"/>
      <c r="Q18" s="169"/>
      <c r="R18" s="271"/>
      <c r="S18" s="272"/>
      <c r="T18" s="271"/>
      <c r="U18" s="272"/>
      <c r="V18" s="271"/>
      <c r="W18" s="272"/>
      <c r="X18" s="258"/>
      <c r="Y18" s="224"/>
      <c r="Z18" s="244"/>
      <c r="AA18" s="287">
        <v>1</v>
      </c>
      <c r="AB18" s="287">
        <v>1</v>
      </c>
      <c r="AC18" s="287">
        <v>1</v>
      </c>
    </row>
    <row r="19" ht="43.2" spans="1:29">
      <c r="A19" s="70"/>
      <c r="B19" s="1362" t="s">
        <v>1454</v>
      </c>
      <c r="C19" s="95" t="str">
        <f>估价对象房地状况!C7</f>
        <v>估价对象所在区域公共配套设施齐备情况</v>
      </c>
      <c r="D19" s="97">
        <v>100</v>
      </c>
      <c r="E19" s="1374"/>
      <c r="F19" s="97">
        <f>SUMIF(80:80,E20,81:81)-SUMIF(80:80,C20,81:81)+100</f>
        <v>100</v>
      </c>
      <c r="G19" s="1365"/>
      <c r="H19" s="93">
        <f>SUMIF(80:80,G20,81:81)-SUMIF(80:80,C20,81:81)+100</f>
        <v>100</v>
      </c>
      <c r="I19" s="1365"/>
      <c r="J19" s="93">
        <f>SUMIF(80:80,I20,81:81)-SUMIF(80:80,C20,81:81)+100</f>
        <v>100</v>
      </c>
      <c r="K19" s="1653"/>
      <c r="L19" s="221"/>
      <c r="M19" s="205"/>
      <c r="N19" s="205"/>
      <c r="O19" s="205"/>
      <c r="P19" s="1588"/>
      <c r="Q19" s="169" t="str">
        <f>B19</f>
        <v>公共配套设施</v>
      </c>
      <c r="R19" s="271" t="s">
        <v>1440</v>
      </c>
      <c r="S19" s="272">
        <f>F19</f>
        <v>100</v>
      </c>
      <c r="T19" s="271" t="s">
        <v>1440</v>
      </c>
      <c r="U19" s="272">
        <f>H19</f>
        <v>100</v>
      </c>
      <c r="V19" s="271" t="s">
        <v>1440</v>
      </c>
      <c r="W19" s="272">
        <f>J19</f>
        <v>100</v>
      </c>
      <c r="X19" s="258"/>
      <c r="Y19" s="224"/>
      <c r="Z19" s="244" t="str">
        <f>Q19</f>
        <v>公共配套设施</v>
      </c>
      <c r="AA19" s="287">
        <f t="shared" si="3"/>
        <v>1</v>
      </c>
      <c r="AB19" s="287">
        <f t="shared" si="4"/>
        <v>1</v>
      </c>
      <c r="AC19" s="287">
        <f t="shared" si="5"/>
        <v>1</v>
      </c>
    </row>
    <row r="20" ht="15" spans="1:29">
      <c r="A20" s="70"/>
      <c r="B20" s="118"/>
      <c r="C20" s="90"/>
      <c r="D20" s="91"/>
      <c r="E20" s="1367"/>
      <c r="F20" s="91"/>
      <c r="G20" s="99"/>
      <c r="H20" s="91"/>
      <c r="I20" s="99"/>
      <c r="J20" s="91"/>
      <c r="K20" s="1654"/>
      <c r="L20" s="221"/>
      <c r="M20" s="205"/>
      <c r="N20" s="205"/>
      <c r="O20" s="205"/>
      <c r="P20" s="1588"/>
      <c r="Q20" s="169"/>
      <c r="R20" s="271"/>
      <c r="S20" s="272"/>
      <c r="T20" s="271"/>
      <c r="U20" s="272"/>
      <c r="V20" s="271"/>
      <c r="W20" s="272"/>
      <c r="X20" s="258"/>
      <c r="Y20" s="224"/>
      <c r="Z20" s="244"/>
      <c r="AA20" s="287">
        <v>1</v>
      </c>
      <c r="AB20" s="287">
        <v>1</v>
      </c>
      <c r="AC20" s="287">
        <v>1</v>
      </c>
    </row>
    <row r="21" ht="28.8" spans="1:29">
      <c r="A21" s="70"/>
      <c r="B21" s="1366" t="s">
        <v>1455</v>
      </c>
      <c r="C21" s="95" t="str">
        <f>估价对象房地状况!C8</f>
        <v>估价对象所在区域基础设施水平</v>
      </c>
      <c r="D21" s="93">
        <v>100</v>
      </c>
      <c r="E21" s="1374"/>
      <c r="F21" s="97">
        <f>SUMIF(82:82,E22,83:83)-SUMIF(82:82,C22,83:83)+100</f>
        <v>100</v>
      </c>
      <c r="G21" s="1365"/>
      <c r="H21" s="93">
        <f>SUMIF(82:82,G22,83:83)-SUMIF(82:82,C22,83:83)+100</f>
        <v>100</v>
      </c>
      <c r="I21" s="1365"/>
      <c r="J21" s="93">
        <f>SUMIF(82:82,I22,83:83)-SUMIF(82:82,C22,83:83)+100</f>
        <v>100</v>
      </c>
      <c r="K21" s="1653"/>
      <c r="L21" s="221"/>
      <c r="M21" s="205"/>
      <c r="N21" s="205"/>
      <c r="O21" s="205"/>
      <c r="P21" s="1588"/>
      <c r="Q21" s="169" t="str">
        <f>B21</f>
        <v>基础设施水平</v>
      </c>
      <c r="R21" s="271" t="s">
        <v>1440</v>
      </c>
      <c r="S21" s="272">
        <f>F21</f>
        <v>100</v>
      </c>
      <c r="T21" s="271" t="s">
        <v>1440</v>
      </c>
      <c r="U21" s="272">
        <f>H21</f>
        <v>100</v>
      </c>
      <c r="V21" s="271" t="s">
        <v>1440</v>
      </c>
      <c r="W21" s="272">
        <f>J21</f>
        <v>100</v>
      </c>
      <c r="X21" s="258"/>
      <c r="Y21" s="224"/>
      <c r="Z21" s="244" t="str">
        <f>Q21</f>
        <v>基础设施水平</v>
      </c>
      <c r="AA21" s="287">
        <f t="shared" ref="AA21" si="8">D21/F21</f>
        <v>1</v>
      </c>
      <c r="AB21" s="287">
        <f t="shared" ref="AB21" si="9">D21/H21</f>
        <v>1</v>
      </c>
      <c r="AC21" s="287">
        <f t="shared" ref="AC21" si="10">D21/J21</f>
        <v>1</v>
      </c>
    </row>
    <row r="22" ht="15" spans="1:29">
      <c r="A22" s="70"/>
      <c r="B22" s="1366"/>
      <c r="C22" s="1363"/>
      <c r="D22" s="91"/>
      <c r="E22" s="90"/>
      <c r="F22" s="91"/>
      <c r="G22" s="92"/>
      <c r="H22" s="91"/>
      <c r="I22" s="90"/>
      <c r="J22" s="91"/>
      <c r="K22" s="1655"/>
      <c r="L22" s="221"/>
      <c r="M22" s="205"/>
      <c r="N22" s="205"/>
      <c r="O22" s="205"/>
      <c r="P22" s="1588"/>
      <c r="Q22" s="169"/>
      <c r="R22" s="271"/>
      <c r="S22" s="272"/>
      <c r="T22" s="271"/>
      <c r="U22" s="272"/>
      <c r="V22" s="271"/>
      <c r="W22" s="272"/>
      <c r="X22" s="258"/>
      <c r="Y22" s="224"/>
      <c r="Z22" s="244"/>
      <c r="AA22" s="287">
        <v>1</v>
      </c>
      <c r="AB22" s="287">
        <v>1</v>
      </c>
      <c r="AC22" s="287">
        <v>1</v>
      </c>
    </row>
    <row r="23" ht="57.6" spans="1:29">
      <c r="A23" s="70"/>
      <c r="B23" s="1362" t="s">
        <v>1456</v>
      </c>
      <c r="C23" s="95" t="str">
        <f>估价对象房地状况!C9</f>
        <v>区域自然环境：；人文环境；综合评价环境状况一般</v>
      </c>
      <c r="D23" s="93">
        <v>100</v>
      </c>
      <c r="E23" s="225"/>
      <c r="F23" s="93">
        <f>SUMIF(84:84,E24,85:85)-SUMIF(84:84,C24,85:85)+100</f>
        <v>100</v>
      </c>
      <c r="G23" s="96"/>
      <c r="H23" s="93">
        <f>SUMIF(84:84,G24,85:85)-SUMIF(84:84,C24,85:85)+100</f>
        <v>100</v>
      </c>
      <c r="I23" s="96"/>
      <c r="J23" s="93">
        <f>SUMIF(84:84,I24,85:85)-SUMIF(84:84,C24,85:85)+100</f>
        <v>100</v>
      </c>
      <c r="K23" s="1653"/>
      <c r="L23" s="221"/>
      <c r="M23" s="205"/>
      <c r="N23" s="205"/>
      <c r="O23" s="205"/>
      <c r="P23" s="1588"/>
      <c r="Q23" s="169" t="str">
        <f>B23</f>
        <v>自然及人文环境</v>
      </c>
      <c r="R23" s="271" t="s">
        <v>1440</v>
      </c>
      <c r="S23" s="272">
        <f>F23</f>
        <v>100</v>
      </c>
      <c r="T23" s="271" t="s">
        <v>1440</v>
      </c>
      <c r="U23" s="272">
        <f>H23</f>
        <v>100</v>
      </c>
      <c r="V23" s="271" t="s">
        <v>1440</v>
      </c>
      <c r="W23" s="272">
        <f>J23</f>
        <v>100</v>
      </c>
      <c r="X23" s="258"/>
      <c r="Y23" s="224"/>
      <c r="Z23" s="244" t="str">
        <f>Q23</f>
        <v>自然及人文环境</v>
      </c>
      <c r="AA23" s="287">
        <f>D23/F23</f>
        <v>1</v>
      </c>
      <c r="AB23" s="287">
        <f>D23/H23</f>
        <v>1</v>
      </c>
      <c r="AC23" s="287">
        <f>D23/J23</f>
        <v>1</v>
      </c>
    </row>
    <row r="24" ht="15" spans="1:29">
      <c r="A24" s="70"/>
      <c r="B24" s="118"/>
      <c r="C24" s="90"/>
      <c r="D24" s="91"/>
      <c r="E24" s="1367"/>
      <c r="F24" s="91"/>
      <c r="G24" s="99"/>
      <c r="H24" s="91"/>
      <c r="I24" s="99"/>
      <c r="J24" s="91"/>
      <c r="K24" s="1654"/>
      <c r="L24" s="221"/>
      <c r="M24" s="205"/>
      <c r="N24" s="205"/>
      <c r="O24" s="205"/>
      <c r="P24" s="1588"/>
      <c r="Q24" s="169"/>
      <c r="R24" s="271"/>
      <c r="S24" s="272"/>
      <c r="T24" s="271"/>
      <c r="U24" s="272"/>
      <c r="V24" s="271"/>
      <c r="W24" s="272"/>
      <c r="X24" s="258"/>
      <c r="Y24" s="224"/>
      <c r="Z24" s="244"/>
      <c r="AA24" s="287">
        <v>1</v>
      </c>
      <c r="AB24" s="287">
        <v>1</v>
      </c>
      <c r="AC24" s="287">
        <v>1</v>
      </c>
    </row>
    <row r="25" ht="15" spans="1:29">
      <c r="A25" s="70"/>
      <c r="B25" s="67" t="s">
        <v>1457</v>
      </c>
      <c r="C25" s="1427"/>
      <c r="D25" s="79">
        <v>100</v>
      </c>
      <c r="E25" s="122"/>
      <c r="F25" s="79">
        <f>SUMIF(86:86,E25,87:87)-SUMIF(86:86,C25,87:87)+100</f>
        <v>100</v>
      </c>
      <c r="G25" s="1637"/>
      <c r="H25" s="79">
        <f>SUMIF(86:86,G25,87:87)-SUMIF(86:86,C25,87:87)+100</f>
        <v>100</v>
      </c>
      <c r="I25" s="1637"/>
      <c r="J25" s="79">
        <f>SUMIF(86:86,I25,87:87)-SUMIF(86:86,C25,87:87)+100</f>
        <v>100</v>
      </c>
      <c r="K25" s="1651"/>
      <c r="L25" s="221"/>
      <c r="M25" s="205"/>
      <c r="N25" s="205"/>
      <c r="O25" s="205"/>
      <c r="P25" s="1588"/>
      <c r="Q25" s="169" t="str">
        <f t="shared" ref="Q25:Q46" si="11">B25</f>
        <v>楼层-1</v>
      </c>
      <c r="R25" s="271" t="s">
        <v>1440</v>
      </c>
      <c r="S25" s="272">
        <f t="shared" ref="S25:S46" si="12">F25</f>
        <v>100</v>
      </c>
      <c r="T25" s="271" t="s">
        <v>1440</v>
      </c>
      <c r="U25" s="272">
        <f t="shared" ref="U25:U46" si="13">H25</f>
        <v>100</v>
      </c>
      <c r="V25" s="271" t="s">
        <v>1440</v>
      </c>
      <c r="W25" s="272">
        <f t="shared" ref="W25:W46" si="14">J25</f>
        <v>100</v>
      </c>
      <c r="X25" s="258"/>
      <c r="Y25" s="224"/>
      <c r="Z25" s="244" t="str">
        <f>Q25</f>
        <v>楼层-1</v>
      </c>
      <c r="AA25" s="287">
        <f t="shared" ref="AA25:AA46" si="15">D25/F25</f>
        <v>1</v>
      </c>
      <c r="AB25" s="287">
        <f t="shared" ref="AB25:AB46" si="16">D25/H25</f>
        <v>1</v>
      </c>
      <c r="AC25" s="287">
        <f t="shared" ref="AC25:AC46" si="17">D25/J25</f>
        <v>1</v>
      </c>
    </row>
    <row r="26" ht="15" spans="1:29">
      <c r="A26" s="70"/>
      <c r="B26" s="67" t="s">
        <v>1458</v>
      </c>
      <c r="C26" s="1427"/>
      <c r="D26" s="79">
        <v>100</v>
      </c>
      <c r="E26" s="122"/>
      <c r="F26" s="79">
        <f>SUMIF(88:88,E26,89:89)-SUMIF(88:88,C26,89:89)+100</f>
        <v>100</v>
      </c>
      <c r="G26" s="1637"/>
      <c r="H26" s="79">
        <f>SUMIF(88:88,G26,89:89)-SUMIF(88:88,C26,89:89)+100</f>
        <v>100</v>
      </c>
      <c r="I26" s="1637"/>
      <c r="J26" s="79">
        <f>SUMIF(88:88,I26,89:89)-SUMIF(88:88,C26,89:89)+100</f>
        <v>100</v>
      </c>
      <c r="K26" s="1651"/>
      <c r="L26" s="221"/>
      <c r="M26" s="205"/>
      <c r="N26" s="205"/>
      <c r="O26" s="205"/>
      <c r="P26" s="1588"/>
      <c r="Q26" s="169" t="str">
        <f t="shared" si="11"/>
        <v>朝向</v>
      </c>
      <c r="R26" s="271" t="s">
        <v>1440</v>
      </c>
      <c r="S26" s="272">
        <f t="shared" si="12"/>
        <v>100</v>
      </c>
      <c r="T26" s="271" t="s">
        <v>1440</v>
      </c>
      <c r="U26" s="272">
        <f t="shared" si="13"/>
        <v>100</v>
      </c>
      <c r="V26" s="271" t="s">
        <v>1440</v>
      </c>
      <c r="W26" s="272">
        <f t="shared" si="14"/>
        <v>100</v>
      </c>
      <c r="X26" s="258"/>
      <c r="Y26" s="224"/>
      <c r="Z26" s="244" t="str">
        <f>Q26</f>
        <v>朝向</v>
      </c>
      <c r="AA26" s="287">
        <f t="shared" si="15"/>
        <v>1</v>
      </c>
      <c r="AB26" s="287">
        <f t="shared" si="16"/>
        <v>1</v>
      </c>
      <c r="AC26" s="287">
        <f t="shared" si="17"/>
        <v>1</v>
      </c>
    </row>
    <row r="27" s="15" customFormat="1" ht="15" spans="1:29">
      <c r="A27" s="73"/>
      <c r="B27" s="1368">
        <v>111</v>
      </c>
      <c r="C27" s="68"/>
      <c r="D27" s="1530">
        <v>100</v>
      </c>
      <c r="E27" s="1357"/>
      <c r="F27" s="1530">
        <f>SUMIF(90:90,E27,91:91)-SUMIF(90:90,C27,91:91)+100</f>
        <v>100</v>
      </c>
      <c r="G27" s="1358"/>
      <c r="H27" s="1530">
        <f>SUMIF(90:90,G27,91:91)-SUMIF(90:90,C27,91:91)+100</f>
        <v>100</v>
      </c>
      <c r="I27" s="1358"/>
      <c r="J27" s="1530">
        <f>SUMIF(90:90,I27,91:91)-SUMIF(90:90,C27,91:91)+100</f>
        <v>100</v>
      </c>
      <c r="K27" s="1652"/>
      <c r="L27" s="210"/>
      <c r="M27" s="211"/>
      <c r="N27" s="211"/>
      <c r="O27" s="211"/>
      <c r="P27" s="1588"/>
      <c r="Q27" s="270">
        <f t="shared" si="11"/>
        <v>111</v>
      </c>
      <c r="R27" s="266" t="s">
        <v>1440</v>
      </c>
      <c r="S27" s="267">
        <f t="shared" si="12"/>
        <v>100</v>
      </c>
      <c r="T27" s="266" t="s">
        <v>1440</v>
      </c>
      <c r="U27" s="267">
        <f t="shared" si="13"/>
        <v>100</v>
      </c>
      <c r="V27" s="266" t="s">
        <v>1440</v>
      </c>
      <c r="W27" s="267">
        <f t="shared" si="14"/>
        <v>100</v>
      </c>
      <c r="X27" s="268"/>
      <c r="Y27" s="224"/>
      <c r="Z27" s="286">
        <f>Q27</f>
        <v>111</v>
      </c>
      <c r="AA27" s="287">
        <f t="shared" si="15"/>
        <v>1</v>
      </c>
      <c r="AB27" s="287">
        <f t="shared" si="16"/>
        <v>1</v>
      </c>
      <c r="AC27" s="287">
        <f t="shared" si="17"/>
        <v>1</v>
      </c>
    </row>
    <row r="28" ht="15" spans="1:29">
      <c r="A28" s="70"/>
      <c r="B28" s="1368">
        <v>111</v>
      </c>
      <c r="C28" s="78"/>
      <c r="D28" s="79">
        <v>100</v>
      </c>
      <c r="E28" s="78"/>
      <c r="F28" s="79">
        <f>SUMIF(92:92,E28,93:93)-SUMIF(92:92,C28,93:93)+100</f>
        <v>100</v>
      </c>
      <c r="G28" s="1578"/>
      <c r="H28" s="79">
        <f>SUMIF(92:92,G28,93:93)-SUMIF(92:92,C28,93:93)+100</f>
        <v>100</v>
      </c>
      <c r="I28" s="78"/>
      <c r="J28" s="79">
        <f>SUMIF(92:92,I28,93:93)-SUMIF(92:92,C28,93:93)+100</f>
        <v>100</v>
      </c>
      <c r="K28" s="1652"/>
      <c r="L28" s="221"/>
      <c r="M28" s="205"/>
      <c r="N28" s="205"/>
      <c r="O28" s="205"/>
      <c r="P28" s="1588"/>
      <c r="Q28" s="169">
        <f t="shared" si="11"/>
        <v>111</v>
      </c>
      <c r="R28" s="271" t="s">
        <v>1440</v>
      </c>
      <c r="S28" s="272">
        <f t="shared" si="12"/>
        <v>100</v>
      </c>
      <c r="T28" s="271" t="s">
        <v>1440</v>
      </c>
      <c r="U28" s="272">
        <f t="shared" si="13"/>
        <v>100</v>
      </c>
      <c r="V28" s="271" t="s">
        <v>1440</v>
      </c>
      <c r="W28" s="272">
        <f t="shared" si="14"/>
        <v>100</v>
      </c>
      <c r="X28" s="258"/>
      <c r="Y28" s="224"/>
      <c r="Z28" s="244">
        <f t="shared" ref="Z28:Z46" si="18">Q28</f>
        <v>111</v>
      </c>
      <c r="AA28" s="287">
        <f t="shared" si="15"/>
        <v>1</v>
      </c>
      <c r="AB28" s="287">
        <f t="shared" si="16"/>
        <v>1</v>
      </c>
      <c r="AC28" s="287">
        <f t="shared" si="17"/>
        <v>1</v>
      </c>
    </row>
    <row r="29" ht="15" spans="1:29">
      <c r="A29" s="70"/>
      <c r="B29" s="1368">
        <v>111</v>
      </c>
      <c r="C29" s="78"/>
      <c r="D29" s="79">
        <v>100</v>
      </c>
      <c r="E29" s="78"/>
      <c r="F29" s="79">
        <f>SUMIF(94:94,E29,95:95)-SUMIF(94:94,C29,95:95)+100</f>
        <v>100</v>
      </c>
      <c r="G29" s="1578"/>
      <c r="H29" s="79">
        <f>SUMIF(94:94,G29,95:95)-SUMIF(94:94,C29,95:95)+100</f>
        <v>100</v>
      </c>
      <c r="I29" s="78"/>
      <c r="J29" s="79">
        <f>SUMIF(94:94,I29,95:95)-SUMIF(94:94,C29,95:95)+100</f>
        <v>100</v>
      </c>
      <c r="K29" s="1652"/>
      <c r="L29" s="221"/>
      <c r="M29" s="205"/>
      <c r="N29" s="205"/>
      <c r="O29" s="205"/>
      <c r="P29" s="1588"/>
      <c r="Q29" s="169">
        <f t="shared" si="11"/>
        <v>111</v>
      </c>
      <c r="R29" s="271" t="s">
        <v>1440</v>
      </c>
      <c r="S29" s="272">
        <f t="shared" si="12"/>
        <v>100</v>
      </c>
      <c r="T29" s="271" t="s">
        <v>1440</v>
      </c>
      <c r="U29" s="272">
        <f t="shared" si="13"/>
        <v>100</v>
      </c>
      <c r="V29" s="271" t="s">
        <v>1440</v>
      </c>
      <c r="W29" s="272">
        <f t="shared" si="14"/>
        <v>100</v>
      </c>
      <c r="X29" s="258"/>
      <c r="Y29" s="224"/>
      <c r="Z29" s="244">
        <f t="shared" si="18"/>
        <v>111</v>
      </c>
      <c r="AA29" s="287">
        <f t="shared" si="15"/>
        <v>1</v>
      </c>
      <c r="AB29" s="287">
        <f t="shared" si="16"/>
        <v>1</v>
      </c>
      <c r="AC29" s="287">
        <f t="shared" si="17"/>
        <v>1</v>
      </c>
    </row>
    <row r="30" ht="15" spans="1:29">
      <c r="A30" s="70"/>
      <c r="B30" s="1368">
        <v>111</v>
      </c>
      <c r="C30" s="78"/>
      <c r="D30" s="79">
        <v>100</v>
      </c>
      <c r="E30" s="78"/>
      <c r="F30" s="79">
        <f>SUMIF(96:96,E30,97:97)-SUMIF(96:96,C30,97:97)+100</f>
        <v>100</v>
      </c>
      <c r="G30" s="1578"/>
      <c r="H30" s="79">
        <f>SUMIF(96:96,G30,97:97)-SUMIF(96:96,C30,97:97)+100</f>
        <v>100</v>
      </c>
      <c r="I30" s="78"/>
      <c r="J30" s="79">
        <f>SUMIF(96:96,I30,97:97)-SUMIF(96:96,C30,97:97)+100</f>
        <v>100</v>
      </c>
      <c r="K30" s="1652"/>
      <c r="L30" s="221"/>
      <c r="M30" s="205"/>
      <c r="N30" s="205"/>
      <c r="O30" s="205"/>
      <c r="P30" s="1588"/>
      <c r="Q30" s="169">
        <f t="shared" si="11"/>
        <v>111</v>
      </c>
      <c r="R30" s="271" t="s">
        <v>1440</v>
      </c>
      <c r="S30" s="272">
        <f t="shared" si="12"/>
        <v>100</v>
      </c>
      <c r="T30" s="271" t="s">
        <v>1440</v>
      </c>
      <c r="U30" s="272">
        <f t="shared" si="13"/>
        <v>100</v>
      </c>
      <c r="V30" s="271" t="s">
        <v>1440</v>
      </c>
      <c r="W30" s="272">
        <f t="shared" si="14"/>
        <v>100</v>
      </c>
      <c r="X30" s="258"/>
      <c r="Y30" s="224"/>
      <c r="Z30" s="244">
        <f t="shared" si="18"/>
        <v>111</v>
      </c>
      <c r="AA30" s="287">
        <f t="shared" si="15"/>
        <v>1</v>
      </c>
      <c r="AB30" s="287">
        <f t="shared" si="16"/>
        <v>1</v>
      </c>
      <c r="AC30" s="287">
        <f t="shared" si="17"/>
        <v>1</v>
      </c>
    </row>
    <row r="31" ht="15.75" spans="1:29">
      <c r="A31" s="80"/>
      <c r="B31" s="1368">
        <v>111</v>
      </c>
      <c r="C31" s="82"/>
      <c r="D31" s="83">
        <v>100</v>
      </c>
      <c r="E31" s="82"/>
      <c r="F31" s="83">
        <f>SUMIF(98:98,E31,99:99)-SUMIF(98:98,C31,99:99)+100</f>
        <v>100</v>
      </c>
      <c r="G31" s="1581"/>
      <c r="H31" s="83">
        <f>SUMIF(98:98,G31,99:99)-SUMIF(98:98,C31,99:99)+100</f>
        <v>100</v>
      </c>
      <c r="I31" s="82"/>
      <c r="J31" s="83">
        <f>SUMIF(98:98,I31,99:99)-SUMIF(98:98,C31,99:99)+100</f>
        <v>100</v>
      </c>
      <c r="K31" s="1652"/>
      <c r="L31" s="221"/>
      <c r="M31" s="205"/>
      <c r="N31" s="205"/>
      <c r="O31" s="205"/>
      <c r="P31" s="1588"/>
      <c r="Q31" s="169">
        <f t="shared" si="11"/>
        <v>111</v>
      </c>
      <c r="R31" s="271" t="s">
        <v>1440</v>
      </c>
      <c r="S31" s="272">
        <f t="shared" si="12"/>
        <v>100</v>
      </c>
      <c r="T31" s="271" t="s">
        <v>1440</v>
      </c>
      <c r="U31" s="272">
        <f t="shared" si="13"/>
        <v>100</v>
      </c>
      <c r="V31" s="271" t="s">
        <v>1440</v>
      </c>
      <c r="W31" s="272">
        <f t="shared" si="14"/>
        <v>100</v>
      </c>
      <c r="X31" s="258"/>
      <c r="Y31" s="224"/>
      <c r="Z31" s="244">
        <f t="shared" si="18"/>
        <v>111</v>
      </c>
      <c r="AA31" s="287">
        <f t="shared" si="15"/>
        <v>1</v>
      </c>
      <c r="AB31" s="287">
        <f t="shared" si="16"/>
        <v>1</v>
      </c>
      <c r="AC31" s="287">
        <f t="shared" si="17"/>
        <v>1</v>
      </c>
    </row>
    <row r="32" ht="15" spans="1:29">
      <c r="A32" s="84" t="s">
        <v>1459</v>
      </c>
      <c r="B32" s="63" t="s">
        <v>1460</v>
      </c>
      <c r="C32" s="1612"/>
      <c r="D32" s="120">
        <v>100</v>
      </c>
      <c r="E32" s="1638"/>
      <c r="F32" s="1417">
        <f>SUMIF(100:100,E32,101:101)-SUMIF(100:100,C32,101:101)+100</f>
        <v>100</v>
      </c>
      <c r="G32" s="1612"/>
      <c r="H32" s="120">
        <f>SUMIF(100:100,G32,101:101)-SUMIF(100:100,C32,101:101)+100</f>
        <v>100</v>
      </c>
      <c r="I32" s="1638"/>
      <c r="J32" s="79">
        <f>SUMIF(100:100,I32,101:101)-SUMIF(100:100,C32,101:101)+100</f>
        <v>100</v>
      </c>
      <c r="K32" s="1651"/>
      <c r="L32" s="221"/>
      <c r="M32" s="205"/>
      <c r="N32" s="205"/>
      <c r="O32" s="205"/>
      <c r="P32" s="1589" t="s">
        <v>1461</v>
      </c>
      <c r="Q32" s="169" t="str">
        <f t="shared" si="11"/>
        <v>建筑类型</v>
      </c>
      <c r="R32" s="271" t="s">
        <v>1440</v>
      </c>
      <c r="S32" s="272">
        <f t="shared" si="12"/>
        <v>100</v>
      </c>
      <c r="T32" s="271" t="s">
        <v>1440</v>
      </c>
      <c r="U32" s="272">
        <f t="shared" si="13"/>
        <v>100</v>
      </c>
      <c r="V32" s="271" t="s">
        <v>1440</v>
      </c>
      <c r="W32" s="272">
        <f t="shared" si="14"/>
        <v>100</v>
      </c>
      <c r="X32" s="258"/>
      <c r="Y32" s="232" t="s">
        <v>1461</v>
      </c>
      <c r="Z32" s="244" t="str">
        <f t="shared" si="18"/>
        <v>建筑类型</v>
      </c>
      <c r="AA32" s="287">
        <f t="shared" si="15"/>
        <v>1</v>
      </c>
      <c r="AB32" s="287">
        <f t="shared" si="16"/>
        <v>1</v>
      </c>
      <c r="AC32" s="287">
        <f t="shared" si="17"/>
        <v>1</v>
      </c>
    </row>
    <row r="33" s="17" customFormat="1" ht="15" spans="1:29">
      <c r="A33" s="126"/>
      <c r="B33" s="67" t="s">
        <v>1462</v>
      </c>
      <c r="C33" s="1411"/>
      <c r="D33" s="69">
        <v>100</v>
      </c>
      <c r="E33" s="72"/>
      <c r="F33" s="1410" t="e">
        <f>LOOKUP(E33,103:103,104:104)-LOOKUP(C33,103:103,104:104)+100</f>
        <v>#N/A</v>
      </c>
      <c r="G33" s="71"/>
      <c r="H33" s="69" t="e">
        <f>LOOKUP(G33,103:103,104:104)-LOOKUP(C33,103:103,104:104)+100</f>
        <v>#N/A</v>
      </c>
      <c r="I33" s="72"/>
      <c r="J33" s="69" t="e">
        <f>LOOKUP(I33,103:103,104:104)-LOOKUP(C33,103:103,104:104)+100</f>
        <v>#N/A</v>
      </c>
      <c r="K33" s="1652"/>
      <c r="L33" s="219"/>
      <c r="M33" s="230"/>
      <c r="N33" s="230"/>
      <c r="O33" s="230"/>
      <c r="P33" s="1590"/>
      <c r="Q33" s="1456" t="str">
        <f t="shared" si="11"/>
        <v>项目建筑规模</v>
      </c>
      <c r="R33" s="273" t="s">
        <v>1440</v>
      </c>
      <c r="S33" s="274" t="e">
        <f t="shared" si="12"/>
        <v>#N/A</v>
      </c>
      <c r="T33" s="273" t="s">
        <v>1440</v>
      </c>
      <c r="U33" s="274" t="e">
        <f t="shared" si="13"/>
        <v>#N/A</v>
      </c>
      <c r="V33" s="273" t="s">
        <v>1440</v>
      </c>
      <c r="W33" s="274" t="e">
        <f t="shared" si="14"/>
        <v>#N/A</v>
      </c>
      <c r="X33" s="275"/>
      <c r="Y33" s="232"/>
      <c r="Z33" s="288" t="str">
        <f t="shared" si="18"/>
        <v>项目建筑规模</v>
      </c>
      <c r="AA33" s="287" t="e">
        <f t="shared" si="15"/>
        <v>#N/A</v>
      </c>
      <c r="AB33" s="287" t="e">
        <f t="shared" si="16"/>
        <v>#N/A</v>
      </c>
      <c r="AC33" s="287" t="e">
        <f t="shared" si="17"/>
        <v>#N/A</v>
      </c>
    </row>
    <row r="34" ht="15" spans="1:29">
      <c r="A34" s="121"/>
      <c r="B34" s="67" t="s">
        <v>1463</v>
      </c>
      <c r="C34" s="1613"/>
      <c r="D34" s="79">
        <v>100</v>
      </c>
      <c r="E34" s="1639"/>
      <c r="F34" s="1417">
        <f>SUMIF(105:105,E34,106:106)-SUMIF(105:105,C34,106:106)+100</f>
        <v>100</v>
      </c>
      <c r="G34" s="1613"/>
      <c r="H34" s="79">
        <f>SUMIF(105:105,G34,106:106)-SUMIF(105:105,C34,106:106)+100</f>
        <v>100</v>
      </c>
      <c r="I34" s="1639"/>
      <c r="J34" s="79">
        <f>SUMIF(105:105,I34,106:106)-SUMIF(105:105,C34,106:106)+100</f>
        <v>100</v>
      </c>
      <c r="K34" s="1651"/>
      <c r="L34" s="221"/>
      <c r="M34" s="205"/>
      <c r="N34" s="205"/>
      <c r="O34" s="205"/>
      <c r="P34" s="1590"/>
      <c r="Q34" s="169" t="str">
        <f t="shared" si="11"/>
        <v>建筑结构</v>
      </c>
      <c r="R34" s="271" t="s">
        <v>1440</v>
      </c>
      <c r="S34" s="272">
        <f t="shared" si="12"/>
        <v>100</v>
      </c>
      <c r="T34" s="271" t="s">
        <v>1440</v>
      </c>
      <c r="U34" s="272">
        <f t="shared" si="13"/>
        <v>100</v>
      </c>
      <c r="V34" s="271" t="s">
        <v>1440</v>
      </c>
      <c r="W34" s="272">
        <f t="shared" si="14"/>
        <v>100</v>
      </c>
      <c r="X34" s="258"/>
      <c r="Y34" s="232"/>
      <c r="Z34" s="244" t="str">
        <f t="shared" si="18"/>
        <v>建筑结构</v>
      </c>
      <c r="AA34" s="287">
        <f t="shared" si="15"/>
        <v>1</v>
      </c>
      <c r="AB34" s="287">
        <f t="shared" si="16"/>
        <v>1</v>
      </c>
      <c r="AC34" s="287">
        <f t="shared" si="17"/>
        <v>1</v>
      </c>
    </row>
    <row r="35" ht="15" spans="1:29">
      <c r="A35" s="121"/>
      <c r="B35" s="67" t="s">
        <v>1464</v>
      </c>
      <c r="C35" s="122"/>
      <c r="D35" s="79">
        <v>100</v>
      </c>
      <c r="E35" s="1637"/>
      <c r="F35" s="1417">
        <f>SUMIF(107:107,E35,108:108)-SUMIF(107:107,C35,108:108)+100</f>
        <v>100</v>
      </c>
      <c r="G35" s="122"/>
      <c r="H35" s="79">
        <f>SUMIF(107:107,G35,108:108)-SUMIF(107:107,C35,108:108)+100</f>
        <v>100</v>
      </c>
      <c r="I35" s="1637"/>
      <c r="J35" s="79">
        <f>SUMIF(107:107,I35,108:108)-SUMIF(107:107,C35,108:108)+100</f>
        <v>100</v>
      </c>
      <c r="K35" s="1651"/>
      <c r="L35" s="221"/>
      <c r="M35" s="205"/>
      <c r="N35" s="205"/>
      <c r="O35" s="205"/>
      <c r="P35" s="1590"/>
      <c r="Q35" s="169" t="str">
        <f t="shared" si="11"/>
        <v>建筑品质</v>
      </c>
      <c r="R35" s="271" t="s">
        <v>1440</v>
      </c>
      <c r="S35" s="272">
        <f t="shared" si="12"/>
        <v>100</v>
      </c>
      <c r="T35" s="271" t="s">
        <v>1440</v>
      </c>
      <c r="U35" s="272">
        <f t="shared" si="13"/>
        <v>100</v>
      </c>
      <c r="V35" s="271" t="s">
        <v>1440</v>
      </c>
      <c r="W35" s="272">
        <f t="shared" si="14"/>
        <v>100</v>
      </c>
      <c r="X35" s="258"/>
      <c r="Y35" s="232"/>
      <c r="Z35" s="244" t="str">
        <f t="shared" si="18"/>
        <v>建筑品质</v>
      </c>
      <c r="AA35" s="287">
        <f t="shared" si="15"/>
        <v>1</v>
      </c>
      <c r="AB35" s="287">
        <f t="shared" si="16"/>
        <v>1</v>
      </c>
      <c r="AC35" s="287">
        <f t="shared" si="17"/>
        <v>1</v>
      </c>
    </row>
    <row r="36" ht="15" spans="1:29">
      <c r="A36" s="121"/>
      <c r="B36" s="67" t="s">
        <v>1465</v>
      </c>
      <c r="C36" s="122"/>
      <c r="D36" s="79">
        <v>100</v>
      </c>
      <c r="E36" s="1637"/>
      <c r="F36" s="1417">
        <f>SUMIF(109:109,E36,110:110)-SUMIF(109:109,C36,110:110)+100</f>
        <v>100</v>
      </c>
      <c r="G36" s="122"/>
      <c r="H36" s="79">
        <f>SUMIF(109:109,G36,110:110)-SUMIF(109:109,C36,110:110)+100</f>
        <v>100</v>
      </c>
      <c r="I36" s="1637"/>
      <c r="J36" s="79">
        <f>SUMIF(109:109,I36,110:110)-SUMIF(109:109,C36,110:110)+100</f>
        <v>100</v>
      </c>
      <c r="K36" s="1651"/>
      <c r="L36" s="221"/>
      <c r="M36" s="205"/>
      <c r="N36" s="205"/>
      <c r="O36" s="205"/>
      <c r="P36" s="1590"/>
      <c r="Q36" s="169" t="str">
        <f t="shared" si="11"/>
        <v>公共部分装修</v>
      </c>
      <c r="R36" s="271" t="s">
        <v>1440</v>
      </c>
      <c r="S36" s="272">
        <f t="shared" si="12"/>
        <v>100</v>
      </c>
      <c r="T36" s="271" t="s">
        <v>1440</v>
      </c>
      <c r="U36" s="272">
        <f t="shared" si="13"/>
        <v>100</v>
      </c>
      <c r="V36" s="271" t="s">
        <v>1440</v>
      </c>
      <c r="W36" s="272">
        <f t="shared" si="14"/>
        <v>100</v>
      </c>
      <c r="X36" s="258"/>
      <c r="Y36" s="232"/>
      <c r="Z36" s="244" t="str">
        <f t="shared" si="18"/>
        <v>公共部分装修</v>
      </c>
      <c r="AA36" s="287">
        <f t="shared" si="15"/>
        <v>1</v>
      </c>
      <c r="AB36" s="287">
        <f t="shared" si="16"/>
        <v>1</v>
      </c>
      <c r="AC36" s="287">
        <f t="shared" si="17"/>
        <v>1</v>
      </c>
    </row>
    <row r="37" s="15" customFormat="1" ht="15" spans="1:29">
      <c r="A37" s="123"/>
      <c r="B37" s="67" t="s">
        <v>565</v>
      </c>
      <c r="C37" s="1424"/>
      <c r="D37" s="69">
        <v>100</v>
      </c>
      <c r="E37" s="1424"/>
      <c r="F37" s="1410" t="e">
        <f>LOOKUP(E37,112:112,113:113)-LOOKUP(C37,112:112,113:113)+100</f>
        <v>#N/A</v>
      </c>
      <c r="G37" s="1426"/>
      <c r="H37" s="69" t="e">
        <f>LOOKUP(G37,112:112,113:113)-LOOKUP(C37,112:112,113:113)+100</f>
        <v>#N/A</v>
      </c>
      <c r="I37" s="1425"/>
      <c r="J37" s="69" t="e">
        <f>LOOKUP(I37,112:112,113:113)-LOOKUP(C37,112:112,113:113)+100</f>
        <v>#N/A</v>
      </c>
      <c r="K37" s="1651"/>
      <c r="L37" s="210"/>
      <c r="M37" s="211"/>
      <c r="N37" s="211"/>
      <c r="O37" s="211"/>
      <c r="P37" s="1590"/>
      <c r="Q37" s="270" t="str">
        <f t="shared" si="11"/>
        <v>成新度</v>
      </c>
      <c r="R37" s="266" t="s">
        <v>1440</v>
      </c>
      <c r="S37" s="267" t="e">
        <f t="shared" si="12"/>
        <v>#N/A</v>
      </c>
      <c r="T37" s="266" t="s">
        <v>1440</v>
      </c>
      <c r="U37" s="267" t="e">
        <f t="shared" si="13"/>
        <v>#N/A</v>
      </c>
      <c r="V37" s="266" t="s">
        <v>1440</v>
      </c>
      <c r="W37" s="267" t="e">
        <f t="shared" si="14"/>
        <v>#N/A</v>
      </c>
      <c r="X37" s="268"/>
      <c r="Y37" s="232"/>
      <c r="Z37" s="286" t="str">
        <f t="shared" si="18"/>
        <v>成新度</v>
      </c>
      <c r="AA37" s="285" t="e">
        <f t="shared" si="15"/>
        <v>#N/A</v>
      </c>
      <c r="AB37" s="285" t="e">
        <f t="shared" si="16"/>
        <v>#N/A</v>
      </c>
      <c r="AC37" s="285" t="e">
        <f t="shared" si="17"/>
        <v>#N/A</v>
      </c>
    </row>
    <row r="38" ht="15" spans="1:29">
      <c r="A38" s="121"/>
      <c r="B38" s="67" t="s">
        <v>1466</v>
      </c>
      <c r="C38" s="122"/>
      <c r="D38" s="79">
        <v>100</v>
      </c>
      <c r="E38" s="1637"/>
      <c r="F38" s="1417">
        <f>SUMIF(114:114,E38,115:115)-SUMIF(114:114,C38,115:115)+100</f>
        <v>100</v>
      </c>
      <c r="G38" s="122"/>
      <c r="H38" s="79">
        <f>SUMIF(114:114,G38,115:115)-SUMIF(114:114,C38,115:115)+100</f>
        <v>100</v>
      </c>
      <c r="I38" s="1637"/>
      <c r="J38" s="79">
        <f>SUMIF(114:114,I38,115:115)-SUMIF(114:114,C38,115:115)+100</f>
        <v>100</v>
      </c>
      <c r="K38" s="1651"/>
      <c r="L38" s="221"/>
      <c r="M38" s="205"/>
      <c r="N38" s="205"/>
      <c r="O38" s="205"/>
      <c r="P38" s="1590" t="s">
        <v>1461</v>
      </c>
      <c r="Q38" s="169" t="str">
        <f t="shared" si="11"/>
        <v>物业管理</v>
      </c>
      <c r="R38" s="271" t="s">
        <v>1440</v>
      </c>
      <c r="S38" s="272">
        <f t="shared" si="12"/>
        <v>100</v>
      </c>
      <c r="T38" s="271" t="s">
        <v>1440</v>
      </c>
      <c r="U38" s="272">
        <f t="shared" si="13"/>
        <v>100</v>
      </c>
      <c r="V38" s="271" t="s">
        <v>1440</v>
      </c>
      <c r="W38" s="272">
        <f t="shared" si="14"/>
        <v>100</v>
      </c>
      <c r="X38" s="258"/>
      <c r="Y38" s="232" t="s">
        <v>1461</v>
      </c>
      <c r="Z38" s="244" t="str">
        <f t="shared" si="18"/>
        <v>物业管理</v>
      </c>
      <c r="AA38" s="287">
        <f t="shared" si="15"/>
        <v>1</v>
      </c>
      <c r="AB38" s="287">
        <f t="shared" si="16"/>
        <v>1</v>
      </c>
      <c r="AC38" s="287">
        <f t="shared" si="17"/>
        <v>1</v>
      </c>
    </row>
    <row r="39" ht="15" spans="1:29">
      <c r="A39" s="121"/>
      <c r="B39" s="67" t="s">
        <v>1467</v>
      </c>
      <c r="C39" s="122"/>
      <c r="D39" s="79">
        <v>100</v>
      </c>
      <c r="E39" s="1637"/>
      <c r="F39" s="1417">
        <f>SUMIF(116:116,E39,117:117)-SUMIF(116:116,C39,117:117)+100</f>
        <v>100</v>
      </c>
      <c r="G39" s="122"/>
      <c r="H39" s="79">
        <f>SUMIF(116:116,G39,117:117)-SUMIF(116:116,C39,117:117)+100</f>
        <v>100</v>
      </c>
      <c r="I39" s="1637"/>
      <c r="J39" s="79">
        <f>SUMIF(116:116,I39,117:117)-SUMIF(116:116,C39,117:117)+100</f>
        <v>100</v>
      </c>
      <c r="K39" s="1651"/>
      <c r="L39" s="221"/>
      <c r="M39" s="205"/>
      <c r="N39" s="205"/>
      <c r="O39" s="205"/>
      <c r="P39" s="1590"/>
      <c r="Q39" s="169" t="str">
        <f t="shared" si="11"/>
        <v>市政基础设施</v>
      </c>
      <c r="R39" s="271" t="s">
        <v>1440</v>
      </c>
      <c r="S39" s="272">
        <f t="shared" si="12"/>
        <v>100</v>
      </c>
      <c r="T39" s="271" t="s">
        <v>1440</v>
      </c>
      <c r="U39" s="272">
        <f t="shared" si="13"/>
        <v>100</v>
      </c>
      <c r="V39" s="271" t="s">
        <v>1440</v>
      </c>
      <c r="W39" s="272">
        <f t="shared" si="14"/>
        <v>100</v>
      </c>
      <c r="X39" s="258"/>
      <c r="Y39" s="232"/>
      <c r="Z39" s="244" t="str">
        <f t="shared" si="18"/>
        <v>市政基础设施</v>
      </c>
      <c r="AA39" s="287">
        <f t="shared" si="15"/>
        <v>1</v>
      </c>
      <c r="AB39" s="287">
        <f t="shared" si="16"/>
        <v>1</v>
      </c>
      <c r="AC39" s="287">
        <f t="shared" si="17"/>
        <v>1</v>
      </c>
    </row>
    <row r="40" ht="15" spans="1:29">
      <c r="A40" s="121"/>
      <c r="B40" s="67" t="s">
        <v>1468</v>
      </c>
      <c r="C40" s="122"/>
      <c r="D40" s="79">
        <v>100</v>
      </c>
      <c r="E40" s="1637"/>
      <c r="F40" s="1417">
        <f>SUMIF(118:118,E40,119:119)-SUMIF(118:118,C40,119:119)+100</f>
        <v>100</v>
      </c>
      <c r="G40" s="122"/>
      <c r="H40" s="79">
        <f>SUMIF(118:118,G40,119:119)-SUMIF(118:118,C40,119:119)+100</f>
        <v>100</v>
      </c>
      <c r="I40" s="1637"/>
      <c r="J40" s="79">
        <f>SUMIF(118:118,I40,119:119)-SUMIF(118:118,C40,119:119)+100</f>
        <v>100</v>
      </c>
      <c r="K40" s="1651"/>
      <c r="L40" s="221"/>
      <c r="M40" s="205"/>
      <c r="N40" s="205"/>
      <c r="O40" s="205"/>
      <c r="P40" s="1590"/>
      <c r="Q40" s="169" t="str">
        <f t="shared" si="11"/>
        <v>房型</v>
      </c>
      <c r="R40" s="271" t="s">
        <v>1440</v>
      </c>
      <c r="S40" s="272">
        <f t="shared" si="12"/>
        <v>100</v>
      </c>
      <c r="T40" s="271" t="s">
        <v>1440</v>
      </c>
      <c r="U40" s="272">
        <f t="shared" si="13"/>
        <v>100</v>
      </c>
      <c r="V40" s="271" t="s">
        <v>1440</v>
      </c>
      <c r="W40" s="272">
        <f t="shared" si="14"/>
        <v>100</v>
      </c>
      <c r="X40" s="258"/>
      <c r="Y40" s="232"/>
      <c r="Z40" s="244" t="str">
        <f t="shared" si="18"/>
        <v>房型</v>
      </c>
      <c r="AA40" s="287">
        <f t="shared" si="15"/>
        <v>1</v>
      </c>
      <c r="AB40" s="287">
        <f t="shared" si="16"/>
        <v>1</v>
      </c>
      <c r="AC40" s="287">
        <f t="shared" si="17"/>
        <v>1</v>
      </c>
    </row>
    <row r="41" s="17" customFormat="1" ht="28.8" spans="1:29">
      <c r="A41" s="126"/>
      <c r="B41" s="67" t="s">
        <v>1469</v>
      </c>
      <c r="C41" s="1411"/>
      <c r="D41" s="69">
        <v>100</v>
      </c>
      <c r="E41" s="72"/>
      <c r="F41" s="1410">
        <f>SUMIF(120:120,E41,121:121)-SUMIF(120:120,C41,121:121)+100</f>
        <v>100</v>
      </c>
      <c r="G41" s="71"/>
      <c r="H41" s="69">
        <f>SUMIF(120:120,G41,121:121)-SUMIF(120:120,C41,121:121)+100</f>
        <v>100</v>
      </c>
      <c r="I41" s="110"/>
      <c r="J41" s="79">
        <f>SUMIF(120:120,I41,121:121)-SUMIF(120:120,C41,121:121)+100</f>
        <v>100</v>
      </c>
      <c r="K41" s="1652"/>
      <c r="L41" s="219"/>
      <c r="M41" s="230"/>
      <c r="N41" s="230"/>
      <c r="O41" s="230"/>
      <c r="P41" s="1590"/>
      <c r="Q41" s="1456" t="str">
        <f t="shared" si="11"/>
        <v>单套/主力户型建筑面积</v>
      </c>
      <c r="R41" s="273" t="s">
        <v>1440</v>
      </c>
      <c r="S41" s="274">
        <f t="shared" si="12"/>
        <v>100</v>
      </c>
      <c r="T41" s="273" t="s">
        <v>1440</v>
      </c>
      <c r="U41" s="274">
        <f t="shared" si="13"/>
        <v>100</v>
      </c>
      <c r="V41" s="273" t="s">
        <v>1440</v>
      </c>
      <c r="W41" s="274">
        <f t="shared" si="14"/>
        <v>100</v>
      </c>
      <c r="X41" s="275"/>
      <c r="Y41" s="232"/>
      <c r="Z41" s="288" t="str">
        <f t="shared" si="18"/>
        <v>单套/主力户型建筑面积</v>
      </c>
      <c r="AA41" s="287">
        <f t="shared" si="15"/>
        <v>1</v>
      </c>
      <c r="AB41" s="287">
        <f t="shared" si="16"/>
        <v>1</v>
      </c>
      <c r="AC41" s="287">
        <f t="shared" si="17"/>
        <v>1</v>
      </c>
    </row>
    <row r="42" ht="15" spans="1:29">
      <c r="A42" s="121"/>
      <c r="B42" s="67" t="s">
        <v>1470</v>
      </c>
      <c r="C42" s="122"/>
      <c r="D42" s="79">
        <v>100</v>
      </c>
      <c r="E42" s="1637"/>
      <c r="F42" s="1417">
        <f>SUMIF(122:122,E42,123:123)-SUMIF(122:122,C42,123:123)+100</f>
        <v>100</v>
      </c>
      <c r="G42" s="122"/>
      <c r="H42" s="79">
        <f>SUMIF(122:122,G42,123:123)-SUMIF(122:122,C42,123:123)+100</f>
        <v>100</v>
      </c>
      <c r="I42" s="1637"/>
      <c r="J42" s="79">
        <f>SUMIF(122:122,I42,123:123)-SUMIF(122:122,C42,123:123)+100</f>
        <v>100</v>
      </c>
      <c r="K42" s="1651"/>
      <c r="L42" s="221"/>
      <c r="M42" s="205"/>
      <c r="N42" s="205"/>
      <c r="O42" s="205"/>
      <c r="P42" s="1590"/>
      <c r="Q42" s="169" t="str">
        <f t="shared" si="11"/>
        <v>内部装修</v>
      </c>
      <c r="R42" s="271" t="s">
        <v>1440</v>
      </c>
      <c r="S42" s="272">
        <f t="shared" si="12"/>
        <v>100</v>
      </c>
      <c r="T42" s="271" t="s">
        <v>1440</v>
      </c>
      <c r="U42" s="272">
        <f t="shared" si="13"/>
        <v>100</v>
      </c>
      <c r="V42" s="271" t="s">
        <v>1440</v>
      </c>
      <c r="W42" s="272">
        <f t="shared" si="14"/>
        <v>100</v>
      </c>
      <c r="X42" s="258"/>
      <c r="Y42" s="232"/>
      <c r="Z42" s="244" t="str">
        <f t="shared" si="18"/>
        <v>内部装修</v>
      </c>
      <c r="AA42" s="287">
        <f t="shared" si="15"/>
        <v>1</v>
      </c>
      <c r="AB42" s="287">
        <f t="shared" si="16"/>
        <v>1</v>
      </c>
      <c r="AC42" s="287">
        <f t="shared" si="17"/>
        <v>1</v>
      </c>
    </row>
    <row r="43" ht="28.8" spans="1:29">
      <c r="A43" s="121"/>
      <c r="B43" s="67" t="s">
        <v>1471</v>
      </c>
      <c r="C43" s="122"/>
      <c r="D43" s="79">
        <v>100</v>
      </c>
      <c r="E43" s="1637"/>
      <c r="F43" s="1417">
        <f>SUMIF(124:124,E43,125:125)-SUMIF(124:124,C43,125:125)+100</f>
        <v>100</v>
      </c>
      <c r="G43" s="122"/>
      <c r="H43" s="79">
        <f>SUMIF(124:124,G43,125:125)-SUMIF(124:124,C43,125:125)+100</f>
        <v>100</v>
      </c>
      <c r="I43" s="1637"/>
      <c r="J43" s="79">
        <f>SUMIF(124:124,I43,125:125)-SUMIF(124:124,C43,125:125)+100</f>
        <v>100</v>
      </c>
      <c r="K43" s="1651"/>
      <c r="L43" s="221"/>
      <c r="M43" s="205"/>
      <c r="N43" s="205"/>
      <c r="O43" s="205"/>
      <c r="P43" s="1590"/>
      <c r="Q43" s="169" t="str">
        <f t="shared" si="11"/>
        <v>内部装修维护情况</v>
      </c>
      <c r="R43" s="271" t="s">
        <v>1440</v>
      </c>
      <c r="S43" s="272">
        <f t="shared" si="12"/>
        <v>100</v>
      </c>
      <c r="T43" s="271" t="s">
        <v>1440</v>
      </c>
      <c r="U43" s="272">
        <f t="shared" si="13"/>
        <v>100</v>
      </c>
      <c r="V43" s="271" t="s">
        <v>1440</v>
      </c>
      <c r="W43" s="272">
        <f t="shared" si="14"/>
        <v>100</v>
      </c>
      <c r="X43" s="258"/>
      <c r="Y43" s="232"/>
      <c r="Z43" s="244" t="str">
        <f t="shared" si="18"/>
        <v>内部装修维护情况</v>
      </c>
      <c r="AA43" s="287">
        <f t="shared" si="15"/>
        <v>1</v>
      </c>
      <c r="AB43" s="287">
        <f t="shared" si="16"/>
        <v>1</v>
      </c>
      <c r="AC43" s="287">
        <f t="shared" si="17"/>
        <v>1</v>
      </c>
    </row>
    <row r="44" s="15" customFormat="1" ht="15" spans="1:29">
      <c r="A44" s="123"/>
      <c r="B44" s="1368">
        <v>111</v>
      </c>
      <c r="C44" s="1411"/>
      <c r="D44" s="69">
        <v>100</v>
      </c>
      <c r="E44" s="1411"/>
      <c r="F44" s="1410">
        <f>SUMIF(126:126,E44,127:127)-SUMIF(126:126,C44,127:127)+100</f>
        <v>100</v>
      </c>
      <c r="G44" s="1411"/>
      <c r="H44" s="69">
        <f>SUMIF(126:126,G44,127:127)-SUMIF(126:126,C44,127:127)+100</f>
        <v>100</v>
      </c>
      <c r="I44" s="1411"/>
      <c r="J44" s="69">
        <f>SUMIF(126:126,I44,127:127)-SUMIF(126:126,C44,127:127)+100</f>
        <v>100</v>
      </c>
      <c r="K44" s="1652"/>
      <c r="L44" s="210"/>
      <c r="M44" s="211"/>
      <c r="N44" s="211"/>
      <c r="O44" s="211"/>
      <c r="P44" s="1590"/>
      <c r="Q44" s="270">
        <f t="shared" si="11"/>
        <v>111</v>
      </c>
      <c r="R44" s="266" t="s">
        <v>1440</v>
      </c>
      <c r="S44" s="267">
        <f t="shared" si="12"/>
        <v>100</v>
      </c>
      <c r="T44" s="266" t="s">
        <v>1440</v>
      </c>
      <c r="U44" s="267">
        <f t="shared" si="13"/>
        <v>100</v>
      </c>
      <c r="V44" s="266" t="s">
        <v>1440</v>
      </c>
      <c r="W44" s="267">
        <f t="shared" si="14"/>
        <v>100</v>
      </c>
      <c r="X44" s="268"/>
      <c r="Y44" s="232"/>
      <c r="Z44" s="286">
        <f t="shared" si="18"/>
        <v>111</v>
      </c>
      <c r="AA44" s="285">
        <f t="shared" si="15"/>
        <v>1</v>
      </c>
      <c r="AB44" s="285">
        <f t="shared" si="16"/>
        <v>1</v>
      </c>
      <c r="AC44" s="285">
        <f t="shared" si="17"/>
        <v>1</v>
      </c>
    </row>
    <row r="45" ht="15" spans="1:29">
      <c r="A45" s="121"/>
      <c r="B45" s="1368">
        <v>111</v>
      </c>
      <c r="C45" s="78"/>
      <c r="D45" s="79">
        <v>100</v>
      </c>
      <c r="E45" s="78"/>
      <c r="F45" s="1417">
        <f>SUMIF(128:128,E45,129:129)-SUMIF(128:128,C45,129:129)+100</f>
        <v>100</v>
      </c>
      <c r="G45" s="78"/>
      <c r="H45" s="79">
        <f>SUMIF(128:128,G45,129:129)-SUMIF(128:128,C45,129:129)+100</f>
        <v>100</v>
      </c>
      <c r="I45" s="78"/>
      <c r="J45" s="79">
        <f>SUMIF(128:128,I45,129:129)-SUMIF(128:128,C45,129:129)+100</f>
        <v>100</v>
      </c>
      <c r="K45" s="1652"/>
      <c r="L45" s="221"/>
      <c r="M45" s="205"/>
      <c r="N45" s="205"/>
      <c r="O45" s="205"/>
      <c r="P45" s="1590"/>
      <c r="Q45" s="169">
        <f t="shared" si="11"/>
        <v>111</v>
      </c>
      <c r="R45" s="271" t="s">
        <v>1440</v>
      </c>
      <c r="S45" s="272">
        <f t="shared" si="12"/>
        <v>100</v>
      </c>
      <c r="T45" s="271" t="s">
        <v>1440</v>
      </c>
      <c r="U45" s="272">
        <f t="shared" si="13"/>
        <v>100</v>
      </c>
      <c r="V45" s="271" t="s">
        <v>1440</v>
      </c>
      <c r="W45" s="272">
        <f t="shared" si="14"/>
        <v>100</v>
      </c>
      <c r="X45" s="258"/>
      <c r="Y45" s="232"/>
      <c r="Z45" s="244">
        <f t="shared" si="18"/>
        <v>111</v>
      </c>
      <c r="AA45" s="287">
        <f t="shared" si="15"/>
        <v>1</v>
      </c>
      <c r="AB45" s="287">
        <f t="shared" si="16"/>
        <v>1</v>
      </c>
      <c r="AC45" s="287">
        <f t="shared" si="17"/>
        <v>1</v>
      </c>
    </row>
    <row r="46" ht="15.75" spans="1:29">
      <c r="A46" s="1429"/>
      <c r="B46" s="81">
        <v>111</v>
      </c>
      <c r="C46" s="82"/>
      <c r="D46" s="83">
        <v>100</v>
      </c>
      <c r="E46" s="82"/>
      <c r="F46" s="1430">
        <f>SUMIF(130:130,E46,131:131)-SUMIF(130:130,C46,131:131)+100</f>
        <v>100</v>
      </c>
      <c r="G46" s="82"/>
      <c r="H46" s="83">
        <f>SUMIF(130:130,G46,131:131)-SUMIF(130:130,C46,131:131)+100</f>
        <v>100</v>
      </c>
      <c r="I46" s="82"/>
      <c r="J46" s="83">
        <f>SUMIF(130:130,I46,131:131)-SUMIF(130:130,C46,131:131)+100</f>
        <v>100</v>
      </c>
      <c r="K46" s="1652"/>
      <c r="L46" s="221"/>
      <c r="M46" s="205"/>
      <c r="N46" s="205"/>
      <c r="O46" s="205"/>
      <c r="P46" s="1591"/>
      <c r="Q46" s="169">
        <f t="shared" si="11"/>
        <v>111</v>
      </c>
      <c r="R46" s="271" t="s">
        <v>1440</v>
      </c>
      <c r="S46" s="272">
        <f t="shared" si="12"/>
        <v>100</v>
      </c>
      <c r="T46" s="271" t="s">
        <v>1440</v>
      </c>
      <c r="U46" s="272">
        <f t="shared" si="13"/>
        <v>100</v>
      </c>
      <c r="V46" s="271" t="s">
        <v>1440</v>
      </c>
      <c r="W46" s="272">
        <f t="shared" si="14"/>
        <v>100</v>
      </c>
      <c r="X46" s="258"/>
      <c r="Y46" s="1547"/>
      <c r="Z46" s="244">
        <f t="shared" si="18"/>
        <v>111</v>
      </c>
      <c r="AA46" s="287">
        <f t="shared" si="15"/>
        <v>1</v>
      </c>
      <c r="AB46" s="287">
        <f t="shared" si="16"/>
        <v>1</v>
      </c>
      <c r="AC46" s="287">
        <f t="shared" si="17"/>
        <v>1</v>
      </c>
    </row>
    <row r="47" ht="14.4" spans="1:29">
      <c r="A47" s="128" t="s">
        <v>1472</v>
      </c>
      <c r="B47" s="1431"/>
      <c r="C47" s="1432" t="s">
        <v>124</v>
      </c>
      <c r="D47" s="1433"/>
      <c r="E47" s="1434"/>
      <c r="F47" s="1435"/>
      <c r="G47" s="1436"/>
      <c r="H47" s="1437"/>
      <c r="I47" s="1434"/>
      <c r="J47" s="1437"/>
      <c r="K47" s="1656"/>
      <c r="L47" s="236"/>
      <c r="M47" s="145"/>
      <c r="N47" s="205"/>
      <c r="O47" s="145"/>
      <c r="P47" s="169" t="str">
        <f>A47</f>
        <v>成交单价（元/平方米）</v>
      </c>
      <c r="Q47" s="169"/>
      <c r="R47" s="287">
        <f>E47</f>
        <v>0</v>
      </c>
      <c r="S47" s="287"/>
      <c r="T47" s="287">
        <f>G47</f>
        <v>0</v>
      </c>
      <c r="U47" s="287"/>
      <c r="V47" s="287">
        <f>I47</f>
        <v>0</v>
      </c>
      <c r="W47" s="287"/>
      <c r="X47" s="193"/>
      <c r="Y47" s="289"/>
      <c r="Z47" s="193"/>
      <c r="AA47" s="193"/>
      <c r="AB47" s="193"/>
      <c r="AC47" s="193"/>
    </row>
    <row r="48" ht="15.15" spans="1:29">
      <c r="A48" s="136" t="s">
        <v>1473</v>
      </c>
      <c r="B48" s="1438"/>
      <c r="C48" s="1439" t="e">
        <f>R49</f>
        <v>#DIV/0!</v>
      </c>
      <c r="D48" s="139" t="s">
        <v>1474</v>
      </c>
      <c r="E48" s="1440" t="e">
        <f>R48</f>
        <v>#DIV/0!</v>
      </c>
      <c r="F48" s="140"/>
      <c r="G48" s="1439" t="e">
        <f>T48</f>
        <v>#DIV/0!</v>
      </c>
      <c r="H48" s="140"/>
      <c r="I48" s="1440" t="e">
        <f>V48</f>
        <v>#DIV/0!</v>
      </c>
      <c r="J48" s="140"/>
      <c r="K48" s="1657">
        <f>F48+H48+J48</f>
        <v>0</v>
      </c>
      <c r="L48" s="236"/>
      <c r="M48" s="145"/>
      <c r="N48" s="145"/>
      <c r="O48" s="145"/>
      <c r="P48" s="169" t="str">
        <f>A48</f>
        <v>比较价值（元/平方米）</v>
      </c>
      <c r="Q48" s="169"/>
      <c r="R48" s="287" t="e">
        <f>IF(F1="售价",ROUND(PRODUCT(R47,AA7:AA46),0),ROUND(PRODUCT(R47,AA7:AA46),1))</f>
        <v>#DIV/0!</v>
      </c>
      <c r="S48" s="287"/>
      <c r="T48" s="287" t="e">
        <f>IF(F1="售价",ROUND(PRODUCT(T47,AB7:AB46),0),ROUND(PRODUCT(T47,AB7:AB46),1))</f>
        <v>#DIV/0!</v>
      </c>
      <c r="U48" s="287"/>
      <c r="V48" s="287" t="e">
        <f>IF(F1="售价",ROUND(PRODUCT(V47,AC7:AC46),0),ROUND(PRODUCT(V47,AC7:AC46),1))</f>
        <v>#DIV/0!</v>
      </c>
      <c r="W48" s="287"/>
      <c r="X48" s="193"/>
      <c r="Y48" s="193"/>
      <c r="Z48" s="193"/>
      <c r="AA48" s="193"/>
      <c r="AB48" s="193"/>
      <c r="AC48" s="193"/>
    </row>
    <row r="49" ht="15.15" spans="1:29">
      <c r="A49" s="142" t="s">
        <v>1475</v>
      </c>
      <c r="B49" s="143"/>
      <c r="C49" s="1640" t="e">
        <f>R49</f>
        <v>#DIV/0!</v>
      </c>
      <c r="D49" s="1441"/>
      <c r="E49" s="1441"/>
      <c r="F49" s="1441"/>
      <c r="G49" s="1441"/>
      <c r="H49" s="1441"/>
      <c r="I49" s="1441"/>
      <c r="J49" s="1441"/>
      <c r="K49" s="1658"/>
      <c r="L49" s="236"/>
      <c r="M49" s="145"/>
      <c r="N49" s="145"/>
      <c r="O49" s="145"/>
      <c r="P49" s="239" t="str">
        <f>A49</f>
        <v>估价对象XX用房的比较价值（楼面单价，元/平方米）</v>
      </c>
      <c r="Q49" s="277"/>
      <c r="R49" s="1563" t="e">
        <f>IF(F1="售价",ROUND(IF(D48="简单平均",AVERAGE(R48:V48),R48*F48+T48*H48+V48*J48),0),ROUND(IF(D48="简单平均",AVERAGE(R48:V48),R48*F48+T48*H48+V48*J48),1))</f>
        <v>#DIV/0!</v>
      </c>
      <c r="S49" s="1563"/>
      <c r="T49" s="1563"/>
      <c r="U49" s="1563"/>
      <c r="V49" s="1563"/>
      <c r="W49" s="1563"/>
      <c r="X49" s="193"/>
      <c r="Y49" s="193"/>
      <c r="Z49" s="193"/>
      <c r="AA49" s="193"/>
      <c r="AB49" s="193"/>
      <c r="AC49" s="193"/>
    </row>
    <row r="50" spans="1:15">
      <c r="A50" s="145"/>
      <c r="B50" s="145"/>
      <c r="C50" s="145"/>
      <c r="D50" s="145"/>
      <c r="E50" s="145"/>
      <c r="F50" s="145"/>
      <c r="G50" s="146"/>
      <c r="H50" s="145"/>
      <c r="I50" s="145"/>
      <c r="J50" s="145"/>
      <c r="K50" s="240"/>
      <c r="L50" s="241"/>
      <c r="M50" s="145"/>
      <c r="N50" s="145"/>
      <c r="O50" s="145"/>
    </row>
    <row r="51" spans="1:15">
      <c r="A51" s="145"/>
      <c r="B51" s="145"/>
      <c r="C51" s="145"/>
      <c r="D51" s="145"/>
      <c r="E51" s="145"/>
      <c r="F51" s="145"/>
      <c r="G51" s="145"/>
      <c r="H51" s="145"/>
      <c r="I51" s="145"/>
      <c r="J51" s="145"/>
      <c r="K51" s="240"/>
      <c r="L51" s="241"/>
      <c r="M51" s="145"/>
      <c r="N51" s="145"/>
      <c r="O51" s="145"/>
    </row>
    <row r="52" ht="13.5" customHeight="1" spans="1:15">
      <c r="A52" s="145"/>
      <c r="B52" s="145"/>
      <c r="C52" s="147" t="s">
        <v>1476</v>
      </c>
      <c r="D52" s="148"/>
      <c r="E52" s="149" t="e">
        <f>IF(E47&lt;E48,E48/E47-1,E47/E48-1)</f>
        <v>#DIV/0!</v>
      </c>
      <c r="F52" s="150" t="e">
        <f>IF(OR(E52&gt;=0.3,E52&lt;=-0.3),"超过30%","")</f>
        <v>#DIV/0!</v>
      </c>
      <c r="G52" s="149" t="e">
        <f>IF(G47&lt;G48,G48/G47-1,G47/G48-1)</f>
        <v>#DIV/0!</v>
      </c>
      <c r="H52" s="150" t="e">
        <f>IF(OR(G52&gt;=0.3,G52&lt;=-0.3),"超过30%","")</f>
        <v>#DIV/0!</v>
      </c>
      <c r="I52" s="149" t="e">
        <f>IF(I47&lt;I48,I48/I47-1,I47/I48-1)</f>
        <v>#DIV/0!</v>
      </c>
      <c r="J52" s="150" t="e">
        <f>IF(OR(I52&gt;=0.3,I52&lt;=-0.3),"超过30%","")</f>
        <v>#DIV/0!</v>
      </c>
      <c r="K52" s="240"/>
      <c r="L52" s="241"/>
      <c r="M52" s="145"/>
      <c r="N52" s="145"/>
      <c r="O52" s="145"/>
    </row>
    <row r="53" ht="13.5" customHeight="1" spans="1:15">
      <c r="A53" s="145"/>
      <c r="B53" s="145"/>
      <c r="C53" s="147" t="s">
        <v>1477</v>
      </c>
      <c r="D53" s="151"/>
      <c r="E53" s="149" t="e">
        <f>IF(E48&lt;G48,G48/E48-1,E48/G48-1)</f>
        <v>#DIV/0!</v>
      </c>
      <c r="F53" s="150" t="e">
        <f>IF(OR(E53&gt;=0.2,E53&lt;=-0.2),"超过20%","")</f>
        <v>#DIV/0!</v>
      </c>
      <c r="G53" s="149" t="e">
        <f>IF(G48&lt;I48,I48/G48-1,G48/I48-1)</f>
        <v>#DIV/0!</v>
      </c>
      <c r="H53" s="150" t="e">
        <f>IF(OR(G53&gt;=0.2,G53&lt;=-0.2),"超过20%","")</f>
        <v>#DIV/0!</v>
      </c>
      <c r="I53" s="149" t="e">
        <f>IF(I48&lt;E48,E48/I48-1,I48/E48-1)</f>
        <v>#DIV/0!</v>
      </c>
      <c r="J53" s="150" t="e">
        <f>IF(OR(I53&gt;=0.2,I53&lt;=-0.2),"超过20%","")</f>
        <v>#DIV/0!</v>
      </c>
      <c r="K53" s="240"/>
      <c r="L53" s="241"/>
      <c r="M53" s="145"/>
      <c r="N53" s="145"/>
      <c r="O53" s="145"/>
    </row>
    <row r="54" s="18" customFormat="1" ht="13.5" customHeight="1" spans="1:16">
      <c r="A54" s="152"/>
      <c r="B54" s="152"/>
      <c r="C54" s="147" t="s">
        <v>1478</v>
      </c>
      <c r="D54" s="151"/>
      <c r="E54" s="149" t="e">
        <f>IF(E47&lt;G47,G47/E47-1,E47/G47-1)</f>
        <v>#DIV/0!</v>
      </c>
      <c r="F54" s="150" t="e">
        <f>IF(OR(E54&gt;=0.3,E54&lt;=-0.3),"超过30%","")</f>
        <v>#DIV/0!</v>
      </c>
      <c r="G54" s="149" t="e">
        <f>IF(G47&lt;I47,I47/G47-1,G47/I47-1)</f>
        <v>#DIV/0!</v>
      </c>
      <c r="H54" s="150" t="e">
        <f>IF(OR(G54&gt;=0.3,G54&lt;=-0.3),"超过30%","")</f>
        <v>#DIV/0!</v>
      </c>
      <c r="I54" s="149" t="e">
        <f>IF(I47&lt;E47,E47/I47-1,I47/E47-1)</f>
        <v>#DIV/0!</v>
      </c>
      <c r="J54" s="150" t="e">
        <f>IF(OR(I54&gt;=0.3,I54&lt;=-0.3),"超过30%","")</f>
        <v>#DIV/0!</v>
      </c>
      <c r="K54" s="242"/>
      <c r="L54" s="243"/>
      <c r="M54" s="152"/>
      <c r="N54" s="152"/>
      <c r="O54" s="152"/>
      <c r="P54" s="1659"/>
    </row>
    <row r="55" s="18" customFormat="1" spans="1:16">
      <c r="A55" s="152"/>
      <c r="B55" s="153"/>
      <c r="C55" s="1442"/>
      <c r="D55" s="152"/>
      <c r="E55" s="152"/>
      <c r="F55" s="152"/>
      <c r="G55" s="152"/>
      <c r="H55" s="152"/>
      <c r="I55" s="152"/>
      <c r="J55" s="152"/>
      <c r="K55" s="242"/>
      <c r="L55" s="243"/>
      <c r="M55" s="152"/>
      <c r="N55" s="152"/>
      <c r="O55" s="152"/>
      <c r="P55" s="1659"/>
    </row>
    <row r="56" spans="1:15">
      <c r="A56" s="145"/>
      <c r="B56" s="153"/>
      <c r="C56" s="1442"/>
      <c r="D56" s="145"/>
      <c r="E56" s="145"/>
      <c r="F56" s="145"/>
      <c r="G56" s="145"/>
      <c r="H56" s="145"/>
      <c r="I56" s="145"/>
      <c r="J56" s="145"/>
      <c r="K56" s="240"/>
      <c r="L56" s="241"/>
      <c r="M56" s="145"/>
      <c r="N56" s="145"/>
      <c r="O56" s="145"/>
    </row>
    <row r="57" ht="21.15" spans="1:17">
      <c r="A57" s="192" t="s">
        <v>1479</v>
      </c>
      <c r="B57" s="193"/>
      <c r="C57" s="194"/>
      <c r="D57" s="194"/>
      <c r="E57" s="194"/>
      <c r="F57" s="195"/>
      <c r="G57" s="195"/>
      <c r="H57" s="194"/>
      <c r="I57" s="194"/>
      <c r="J57" s="194"/>
      <c r="K57" s="1386"/>
      <c r="L57" s="1387"/>
      <c r="M57" s="253"/>
      <c r="N57" s="253"/>
      <c r="O57" s="253"/>
      <c r="P57" s="1660"/>
      <c r="Q57" s="1553"/>
    </row>
    <row r="58" s="20" customFormat="1" ht="14.4" spans="1:16">
      <c r="A58" s="1443" t="s">
        <v>1438</v>
      </c>
      <c r="B58" s="1444"/>
      <c r="C58" s="1641" t="str">
        <f>YEAR(C7)&amp;"-"&amp;MONTH(C7)</f>
        <v>2022-8</v>
      </c>
      <c r="D58" s="1446">
        <f>EDATE(C58,-1)</f>
        <v>44743</v>
      </c>
      <c r="E58" s="1446">
        <f>EDATE(D58,-1)</f>
        <v>44713</v>
      </c>
      <c r="F58" s="1446">
        <f t="shared" ref="F58:O58" si="19">EDATE(E58,-1)</f>
        <v>44682</v>
      </c>
      <c r="G58" s="1446">
        <f t="shared" si="19"/>
        <v>44652</v>
      </c>
      <c r="H58" s="1446">
        <f t="shared" si="19"/>
        <v>44621</v>
      </c>
      <c r="I58" s="1446">
        <f t="shared" si="19"/>
        <v>44593</v>
      </c>
      <c r="J58" s="1446">
        <f t="shared" si="19"/>
        <v>44562</v>
      </c>
      <c r="K58" s="1446">
        <f t="shared" si="19"/>
        <v>44531</v>
      </c>
      <c r="L58" s="1446">
        <f t="shared" si="19"/>
        <v>44501</v>
      </c>
      <c r="M58" s="1446">
        <f t="shared" si="19"/>
        <v>44470</v>
      </c>
      <c r="N58" s="1446">
        <f t="shared" si="19"/>
        <v>44440</v>
      </c>
      <c r="O58" s="1446">
        <f t="shared" si="19"/>
        <v>44409</v>
      </c>
      <c r="P58" s="1661"/>
    </row>
    <row r="59" s="15" customFormat="1" spans="1:16">
      <c r="A59" s="1447"/>
      <c r="B59" s="1642"/>
      <c r="C59" s="1448">
        <v>100</v>
      </c>
      <c r="D59" s="1582"/>
      <c r="E59" s="306"/>
      <c r="F59" s="306"/>
      <c r="G59" s="306"/>
      <c r="H59" s="306"/>
      <c r="I59" s="306"/>
      <c r="J59" s="306"/>
      <c r="K59" s="306"/>
      <c r="L59" s="306"/>
      <c r="M59" s="1455"/>
      <c r="N59" s="306"/>
      <c r="O59" s="1455"/>
      <c r="P59" s="1662"/>
    </row>
    <row r="60" s="15" customFormat="1" ht="15.15" spans="1:17">
      <c r="A60" s="297" t="s">
        <v>1480</v>
      </c>
      <c r="B60" s="298"/>
      <c r="C60" s="299"/>
      <c r="D60" s="300"/>
      <c r="E60" s="300"/>
      <c r="F60" s="300"/>
      <c r="G60" s="300"/>
      <c r="H60" s="300"/>
      <c r="I60" s="300"/>
      <c r="J60" s="300"/>
      <c r="K60" s="300"/>
      <c r="L60" s="300"/>
      <c r="M60" s="348"/>
      <c r="N60" s="300"/>
      <c r="O60" s="348"/>
      <c r="P60" s="1662"/>
      <c r="Q60" s="1553"/>
    </row>
    <row r="61" s="15" customFormat="1" ht="14.4" spans="1:17">
      <c r="A61" s="301" t="s">
        <v>1441</v>
      </c>
      <c r="B61" s="302"/>
      <c r="C61" s="303" t="s">
        <v>1442</v>
      </c>
      <c r="D61" s="304"/>
      <c r="E61" s="304"/>
      <c r="F61" s="304"/>
      <c r="G61" s="304"/>
      <c r="H61" s="304"/>
      <c r="I61" s="304"/>
      <c r="J61" s="304"/>
      <c r="K61" s="304"/>
      <c r="L61" s="350"/>
      <c r="M61" s="351"/>
      <c r="N61" s="1556"/>
      <c r="O61" s="1556"/>
      <c r="P61" s="1663"/>
      <c r="Q61" s="1553"/>
    </row>
    <row r="62" s="15" customFormat="1" ht="14.55" spans="1:17">
      <c r="A62" s="301"/>
      <c r="B62" s="302"/>
      <c r="C62" s="1582">
        <v>100</v>
      </c>
      <c r="D62" s="306"/>
      <c r="E62" s="306"/>
      <c r="F62" s="306"/>
      <c r="G62" s="306"/>
      <c r="H62" s="306"/>
      <c r="I62" s="306"/>
      <c r="J62" s="306"/>
      <c r="K62" s="306"/>
      <c r="L62" s="306"/>
      <c r="M62" s="354"/>
      <c r="N62" s="1556"/>
      <c r="O62" s="1556"/>
      <c r="P62" s="1662"/>
      <c r="Q62" s="1553"/>
    </row>
    <row r="63" ht="14.4" spans="1:17">
      <c r="A63" s="307" t="s">
        <v>1481</v>
      </c>
      <c r="B63" s="308" t="s">
        <v>1445</v>
      </c>
      <c r="C63" s="330">
        <f>C9</f>
        <v>0</v>
      </c>
      <c r="D63" s="233"/>
      <c r="E63" s="233"/>
      <c r="F63" s="233"/>
      <c r="G63" s="233"/>
      <c r="H63" s="233"/>
      <c r="I63" s="233"/>
      <c r="J63" s="233"/>
      <c r="K63" s="355"/>
      <c r="L63" s="356"/>
      <c r="M63" s="357"/>
      <c r="N63" s="1558"/>
      <c r="O63" s="1558"/>
      <c r="P63" s="1664"/>
      <c r="Q63" s="1553"/>
    </row>
    <row r="64" ht="14.55" spans="1:17">
      <c r="A64" s="309"/>
      <c r="B64" s="310"/>
      <c r="C64" s="311">
        <v>100</v>
      </c>
      <c r="D64" s="311"/>
      <c r="E64" s="311"/>
      <c r="F64" s="311"/>
      <c r="G64" s="311"/>
      <c r="H64" s="311"/>
      <c r="I64" s="311"/>
      <c r="J64" s="311"/>
      <c r="K64" s="311"/>
      <c r="L64" s="311"/>
      <c r="M64" s="360"/>
      <c r="N64" s="1560"/>
      <c r="O64" s="1560"/>
      <c r="P64" s="1664"/>
      <c r="Q64" s="1553"/>
    </row>
    <row r="65" ht="29.55" spans="1:17">
      <c r="A65" s="309"/>
      <c r="B65" s="312" t="s">
        <v>1448</v>
      </c>
      <c r="C65" s="313" t="s">
        <v>1482</v>
      </c>
      <c r="D65" s="313" t="s">
        <v>1483</v>
      </c>
      <c r="E65" s="313" t="s">
        <v>1484</v>
      </c>
      <c r="F65" s="313" t="s">
        <v>1485</v>
      </c>
      <c r="G65" s="313" t="s">
        <v>1486</v>
      </c>
      <c r="H65" s="313" t="s">
        <v>1487</v>
      </c>
      <c r="I65" s="313" t="s">
        <v>1488</v>
      </c>
      <c r="J65" s="313"/>
      <c r="K65" s="362"/>
      <c r="L65" s="363"/>
      <c r="M65" s="364"/>
      <c r="N65" s="1558"/>
      <c r="O65" s="1558"/>
      <c r="P65" s="1664"/>
      <c r="Q65" s="1553"/>
    </row>
    <row r="66" ht="14.55" spans="1:17">
      <c r="A66" s="309"/>
      <c r="B66" s="314"/>
      <c r="C66" s="315">
        <v>100</v>
      </c>
      <c r="D66" s="315">
        <f t="shared" ref="D66:I66" si="20">C66-$K10</f>
        <v>100</v>
      </c>
      <c r="E66" s="315">
        <f t="shared" si="20"/>
        <v>100</v>
      </c>
      <c r="F66" s="315">
        <f t="shared" si="20"/>
        <v>100</v>
      </c>
      <c r="G66" s="315">
        <f t="shared" si="20"/>
        <v>100</v>
      </c>
      <c r="H66" s="315">
        <f t="shared" si="20"/>
        <v>100</v>
      </c>
      <c r="I66" s="315">
        <f t="shared" si="20"/>
        <v>100</v>
      </c>
      <c r="J66" s="315"/>
      <c r="K66" s="315"/>
      <c r="L66" s="315"/>
      <c r="M66" s="365"/>
      <c r="N66" s="1560"/>
      <c r="O66" s="1560"/>
      <c r="P66" s="1664"/>
      <c r="Q66" s="1553"/>
    </row>
    <row r="67" ht="15.15" spans="1:17">
      <c r="A67" s="309"/>
      <c r="B67" s="316" t="s">
        <v>1449</v>
      </c>
      <c r="C67" s="317" t="str">
        <f>C68&amp;"（含）"&amp;"-"&amp;D68</f>
        <v>（含）-</v>
      </c>
      <c r="D67" s="317" t="str">
        <f t="shared" ref="D67:L67" si="21">D68&amp;"（含）"&amp;"-"&amp;E68</f>
        <v>（含）-</v>
      </c>
      <c r="E67" s="317" t="str">
        <f t="shared" si="21"/>
        <v>（含）-</v>
      </c>
      <c r="F67" s="317" t="str">
        <f t="shared" si="21"/>
        <v>（含）-</v>
      </c>
      <c r="G67" s="317" t="str">
        <f t="shared" si="21"/>
        <v>（含）-</v>
      </c>
      <c r="H67" s="317" t="str">
        <f t="shared" si="21"/>
        <v>（含）-</v>
      </c>
      <c r="I67" s="317" t="str">
        <f t="shared" si="21"/>
        <v>（含）-</v>
      </c>
      <c r="J67" s="317" t="str">
        <f t="shared" si="21"/>
        <v>（含）-</v>
      </c>
      <c r="K67" s="317" t="str">
        <f t="shared" si="21"/>
        <v>（含）-</v>
      </c>
      <c r="L67" s="317" t="str">
        <f t="shared" si="21"/>
        <v>（含）-</v>
      </c>
      <c r="M67" s="91" t="str">
        <f>M68&amp;"（含）"&amp;"-"&amp;P68</f>
        <v>（含）-</v>
      </c>
      <c r="N67" s="1560"/>
      <c r="O67" s="1560"/>
      <c r="P67" s="1664"/>
      <c r="Q67" s="1553"/>
    </row>
    <row r="68" spans="1:17">
      <c r="A68" s="309"/>
      <c r="B68" s="318"/>
      <c r="C68" s="76"/>
      <c r="D68" s="76"/>
      <c r="E68" s="76"/>
      <c r="F68" s="76"/>
      <c r="G68" s="76"/>
      <c r="H68" s="76"/>
      <c r="I68" s="76"/>
      <c r="J68" s="76"/>
      <c r="K68" s="366"/>
      <c r="L68" s="367"/>
      <c r="M68" s="368"/>
      <c r="N68" s="1558"/>
      <c r="O68" s="1558"/>
      <c r="P68" s="1664"/>
      <c r="Q68" s="1553"/>
    </row>
    <row r="69" ht="14.55" spans="1:17">
      <c r="A69" s="309"/>
      <c r="B69" s="310"/>
      <c r="C69" s="315">
        <v>100</v>
      </c>
      <c r="D69" s="315">
        <f t="shared" ref="D69:M69" si="22">C69-$K11</f>
        <v>100</v>
      </c>
      <c r="E69" s="315">
        <f t="shared" si="22"/>
        <v>100</v>
      </c>
      <c r="F69" s="315">
        <f t="shared" si="22"/>
        <v>100</v>
      </c>
      <c r="G69" s="315">
        <f t="shared" si="22"/>
        <v>100</v>
      </c>
      <c r="H69" s="315">
        <f t="shared" si="22"/>
        <v>100</v>
      </c>
      <c r="I69" s="315">
        <f t="shared" si="22"/>
        <v>100</v>
      </c>
      <c r="J69" s="315">
        <f t="shared" si="22"/>
        <v>100</v>
      </c>
      <c r="K69" s="315">
        <f t="shared" si="22"/>
        <v>100</v>
      </c>
      <c r="L69" s="315">
        <f t="shared" si="22"/>
        <v>100</v>
      </c>
      <c r="M69" s="365">
        <f t="shared" si="22"/>
        <v>100</v>
      </c>
      <c r="N69" s="1560"/>
      <c r="O69" s="1560"/>
      <c r="P69" s="1664"/>
      <c r="Q69" s="1553"/>
    </row>
    <row r="70" s="17" customFormat="1" ht="14.55" spans="1:17">
      <c r="A70" s="319"/>
      <c r="B70" s="312">
        <f>B12</f>
        <v>111</v>
      </c>
      <c r="C70" s="320"/>
      <c r="D70" s="320"/>
      <c r="E70" s="320"/>
      <c r="F70" s="320"/>
      <c r="G70" s="320"/>
      <c r="H70" s="321"/>
      <c r="I70" s="321"/>
      <c r="J70" s="321"/>
      <c r="K70" s="321"/>
      <c r="L70" s="369"/>
      <c r="M70" s="370"/>
      <c r="N70" s="1561"/>
      <c r="O70" s="1561"/>
      <c r="P70" s="1668"/>
      <c r="Q70" s="1564"/>
    </row>
    <row r="71" s="17" customFormat="1" ht="14.55" spans="1:17">
      <c r="A71" s="319"/>
      <c r="B71" s="314"/>
      <c r="C71" s="322"/>
      <c r="D71" s="311"/>
      <c r="E71" s="311"/>
      <c r="F71" s="311"/>
      <c r="G71" s="311"/>
      <c r="H71" s="311"/>
      <c r="I71" s="311"/>
      <c r="J71" s="311"/>
      <c r="K71" s="311"/>
      <c r="L71" s="311"/>
      <c r="M71" s="360"/>
      <c r="N71" s="1560"/>
      <c r="O71" s="1560"/>
      <c r="P71" s="1668"/>
      <c r="Q71" s="1564"/>
    </row>
    <row r="72" s="17" customFormat="1" ht="14.55" spans="1:17">
      <c r="A72" s="319"/>
      <c r="B72" s="312">
        <f>B13</f>
        <v>111</v>
      </c>
      <c r="C72" s="320"/>
      <c r="D72" s="320"/>
      <c r="E72" s="320"/>
      <c r="F72" s="320"/>
      <c r="G72" s="320"/>
      <c r="H72" s="321"/>
      <c r="I72" s="321"/>
      <c r="J72" s="321"/>
      <c r="K72" s="321"/>
      <c r="L72" s="369"/>
      <c r="M72" s="370"/>
      <c r="N72" s="1561"/>
      <c r="O72" s="1561"/>
      <c r="P72" s="1669"/>
      <c r="Q72" s="1570"/>
    </row>
    <row r="73" s="17" customFormat="1" ht="14.55" spans="1:17">
      <c r="A73" s="319"/>
      <c r="B73" s="314"/>
      <c r="C73" s="322"/>
      <c r="D73" s="322"/>
      <c r="E73" s="322"/>
      <c r="F73" s="322"/>
      <c r="G73" s="322"/>
      <c r="H73" s="323"/>
      <c r="I73" s="323"/>
      <c r="J73" s="323"/>
      <c r="K73" s="323"/>
      <c r="L73" s="323"/>
      <c r="M73" s="373"/>
      <c r="N73" s="1561"/>
      <c r="O73" s="1561"/>
      <c r="P73" s="1668"/>
      <c r="Q73" s="1564"/>
    </row>
    <row r="74" s="17" customFormat="1" ht="14.55" spans="1:17">
      <c r="A74" s="319"/>
      <c r="B74" s="316">
        <f>B14</f>
        <v>111</v>
      </c>
      <c r="C74" s="320"/>
      <c r="D74" s="320"/>
      <c r="E74" s="320"/>
      <c r="F74" s="320"/>
      <c r="G74" s="304"/>
      <c r="H74" s="324"/>
      <c r="I74" s="324"/>
      <c r="J74" s="324"/>
      <c r="K74" s="324"/>
      <c r="L74" s="374"/>
      <c r="M74" s="375"/>
      <c r="N74" s="1561"/>
      <c r="O74" s="1561"/>
      <c r="P74" s="1670"/>
      <c r="Q74" s="1564"/>
    </row>
    <row r="75" s="17" customFormat="1" ht="14.55" spans="1:17">
      <c r="A75" s="325"/>
      <c r="B75" s="326"/>
      <c r="C75" s="327"/>
      <c r="D75" s="327"/>
      <c r="E75" s="327"/>
      <c r="F75" s="327"/>
      <c r="G75" s="327"/>
      <c r="H75" s="328"/>
      <c r="I75" s="328"/>
      <c r="J75" s="328"/>
      <c r="K75" s="328"/>
      <c r="L75" s="328"/>
      <c r="M75" s="377"/>
      <c r="N75" s="1561"/>
      <c r="O75" s="1561"/>
      <c r="P75" s="1668"/>
      <c r="Q75" s="1564"/>
    </row>
    <row r="76" ht="14.4" spans="1:17">
      <c r="A76" s="307" t="s">
        <v>1450</v>
      </c>
      <c r="B76" s="308" t="s">
        <v>1451</v>
      </c>
      <c r="C76" s="329" t="s">
        <v>1489</v>
      </c>
      <c r="D76" s="329" t="s">
        <v>1490</v>
      </c>
      <c r="E76" s="329" t="s">
        <v>1491</v>
      </c>
      <c r="F76" s="329" t="s">
        <v>1492</v>
      </c>
      <c r="G76" s="329" t="s">
        <v>1493</v>
      </c>
      <c r="H76" s="330"/>
      <c r="I76" s="330"/>
      <c r="J76" s="330"/>
      <c r="K76" s="378"/>
      <c r="L76" s="379"/>
      <c r="M76" s="380"/>
      <c r="N76" s="1558"/>
      <c r="O76" s="1558"/>
      <c r="P76" s="1671"/>
      <c r="Q76" s="1553"/>
    </row>
    <row r="77" ht="14.55" spans="1:17">
      <c r="A77" s="309"/>
      <c r="B77" s="314"/>
      <c r="C77" s="315">
        <v>100</v>
      </c>
      <c r="D77" s="315">
        <f>C77-$K15</f>
        <v>100</v>
      </c>
      <c r="E77" s="315">
        <f>D77-$K15</f>
        <v>100</v>
      </c>
      <c r="F77" s="315">
        <f>E77-$K15</f>
        <v>100</v>
      </c>
      <c r="G77" s="315">
        <f>F77-$K15</f>
        <v>100</v>
      </c>
      <c r="H77" s="315"/>
      <c r="I77" s="315"/>
      <c r="J77" s="315"/>
      <c r="K77" s="315"/>
      <c r="L77" s="315"/>
      <c r="M77" s="365"/>
      <c r="N77" s="1560"/>
      <c r="O77" s="1560"/>
      <c r="P77" s="1664"/>
      <c r="Q77" s="1553"/>
    </row>
    <row r="78" ht="15.15" spans="1:17">
      <c r="A78" s="309"/>
      <c r="B78" s="312" t="s">
        <v>1453</v>
      </c>
      <c r="C78" s="331" t="s">
        <v>1489</v>
      </c>
      <c r="D78" s="331" t="s">
        <v>1490</v>
      </c>
      <c r="E78" s="331" t="s">
        <v>1491</v>
      </c>
      <c r="F78" s="331" t="s">
        <v>1492</v>
      </c>
      <c r="G78" s="331" t="s">
        <v>1493</v>
      </c>
      <c r="H78" s="313"/>
      <c r="I78" s="313"/>
      <c r="J78" s="313"/>
      <c r="K78" s="362"/>
      <c r="L78" s="363"/>
      <c r="M78" s="364"/>
      <c r="N78" s="1558"/>
      <c r="O78" s="1558"/>
      <c r="P78" s="1664"/>
      <c r="Q78" s="1553"/>
    </row>
    <row r="79" ht="14.55" spans="1:17">
      <c r="A79" s="309"/>
      <c r="B79" s="314"/>
      <c r="C79" s="315">
        <v>100</v>
      </c>
      <c r="D79" s="315">
        <f>C79-$K17</f>
        <v>100</v>
      </c>
      <c r="E79" s="315">
        <f>D79-$K17</f>
        <v>100</v>
      </c>
      <c r="F79" s="315">
        <f>E79-$K17</f>
        <v>100</v>
      </c>
      <c r="G79" s="315">
        <f>F79-$K17</f>
        <v>100</v>
      </c>
      <c r="H79" s="315"/>
      <c r="I79" s="315"/>
      <c r="J79" s="315"/>
      <c r="K79" s="315"/>
      <c r="L79" s="315"/>
      <c r="M79" s="365"/>
      <c r="N79" s="1560"/>
      <c r="O79" s="1560"/>
      <c r="P79" s="1664"/>
      <c r="Q79" s="1553"/>
    </row>
    <row r="80" ht="15.15" spans="1:17">
      <c r="A80" s="309"/>
      <c r="B80" s="312" t="s">
        <v>1454</v>
      </c>
      <c r="C80" s="331" t="s">
        <v>1489</v>
      </c>
      <c r="D80" s="331" t="s">
        <v>1490</v>
      </c>
      <c r="E80" s="331" t="s">
        <v>1491</v>
      </c>
      <c r="F80" s="331" t="s">
        <v>1492</v>
      </c>
      <c r="G80" s="331" t="s">
        <v>1493</v>
      </c>
      <c r="H80" s="313"/>
      <c r="I80" s="313"/>
      <c r="J80" s="313"/>
      <c r="K80" s="362"/>
      <c r="L80" s="363"/>
      <c r="M80" s="364"/>
      <c r="N80" s="1558"/>
      <c r="O80" s="1558"/>
      <c r="P80" s="1664"/>
      <c r="Q80" s="1553"/>
    </row>
    <row r="81" ht="14.55" spans="1:17">
      <c r="A81" s="309"/>
      <c r="B81" s="314"/>
      <c r="C81" s="315">
        <v>100</v>
      </c>
      <c r="D81" s="315">
        <f>C81-$K19</f>
        <v>100</v>
      </c>
      <c r="E81" s="315">
        <f>D81-$K19</f>
        <v>100</v>
      </c>
      <c r="F81" s="315">
        <f>E81-$K19</f>
        <v>100</v>
      </c>
      <c r="G81" s="315">
        <f>F81-$K19</f>
        <v>100</v>
      </c>
      <c r="H81" s="315"/>
      <c r="I81" s="315"/>
      <c r="J81" s="315"/>
      <c r="K81" s="315"/>
      <c r="L81" s="315"/>
      <c r="M81" s="365"/>
      <c r="N81" s="1560"/>
      <c r="O81" s="1560"/>
      <c r="P81" s="1664"/>
      <c r="Q81" s="1553"/>
    </row>
    <row r="82" ht="15.15" spans="1:17">
      <c r="A82" s="309"/>
      <c r="B82" s="316" t="s">
        <v>1455</v>
      </c>
      <c r="C82" s="313" t="s">
        <v>1494</v>
      </c>
      <c r="D82" s="313" t="s">
        <v>1495</v>
      </c>
      <c r="E82" s="313" t="s">
        <v>1496</v>
      </c>
      <c r="F82" s="313" t="s">
        <v>1497</v>
      </c>
      <c r="G82" s="313" t="s">
        <v>1498</v>
      </c>
      <c r="H82" s="313"/>
      <c r="I82" s="313"/>
      <c r="J82" s="313"/>
      <c r="K82" s="313"/>
      <c r="L82" s="313"/>
      <c r="M82" s="1461"/>
      <c r="N82" s="1560"/>
      <c r="O82" s="1560"/>
      <c r="P82" s="1664"/>
      <c r="Q82" s="1553"/>
    </row>
    <row r="83" ht="14.55" spans="1:17">
      <c r="A83" s="309"/>
      <c r="B83" s="316"/>
      <c r="C83" s="336">
        <v>100</v>
      </c>
      <c r="D83" s="336">
        <f>C83-$K21</f>
        <v>100</v>
      </c>
      <c r="E83" s="336">
        <f t="shared" ref="E83:G83" si="23">D83-$K21</f>
        <v>100</v>
      </c>
      <c r="F83" s="336">
        <f t="shared" si="23"/>
        <v>100</v>
      </c>
      <c r="G83" s="336">
        <f t="shared" si="23"/>
        <v>100</v>
      </c>
      <c r="H83" s="336"/>
      <c r="I83" s="336"/>
      <c r="J83" s="336"/>
      <c r="K83" s="336"/>
      <c r="L83" s="336"/>
      <c r="M83" s="93"/>
      <c r="N83" s="1560"/>
      <c r="O83" s="1560"/>
      <c r="P83" s="1664"/>
      <c r="Q83" s="1553"/>
    </row>
    <row r="84" ht="15.15" spans="1:17">
      <c r="A84" s="309"/>
      <c r="B84" s="312" t="s">
        <v>1456</v>
      </c>
      <c r="C84" s="331" t="s">
        <v>1489</v>
      </c>
      <c r="D84" s="331" t="s">
        <v>1490</v>
      </c>
      <c r="E84" s="331" t="s">
        <v>1491</v>
      </c>
      <c r="F84" s="331" t="s">
        <v>1492</v>
      </c>
      <c r="G84" s="331" t="s">
        <v>1493</v>
      </c>
      <c r="H84" s="313"/>
      <c r="I84" s="313"/>
      <c r="J84" s="313"/>
      <c r="K84" s="362"/>
      <c r="L84" s="363"/>
      <c r="M84" s="364"/>
      <c r="N84" s="1558"/>
      <c r="O84" s="1558"/>
      <c r="P84" s="1664"/>
      <c r="Q84" s="1553"/>
    </row>
    <row r="85" ht="14.55" spans="1:17">
      <c r="A85" s="309"/>
      <c r="B85" s="314"/>
      <c r="C85" s="315">
        <v>100</v>
      </c>
      <c r="D85" s="315">
        <f>C85-$K23</f>
        <v>100</v>
      </c>
      <c r="E85" s="315">
        <f>D85-$K23</f>
        <v>100</v>
      </c>
      <c r="F85" s="315">
        <f>E85-$K23</f>
        <v>100</v>
      </c>
      <c r="G85" s="315">
        <f>F85-$K23</f>
        <v>100</v>
      </c>
      <c r="H85" s="315"/>
      <c r="I85" s="315"/>
      <c r="J85" s="315"/>
      <c r="K85" s="315"/>
      <c r="L85" s="315"/>
      <c r="M85" s="365"/>
      <c r="N85" s="1560"/>
      <c r="O85" s="1560"/>
      <c r="P85" s="1664"/>
      <c r="Q85" s="1553"/>
    </row>
    <row r="86" s="15" customFormat="1" ht="15.15" spans="1:17">
      <c r="A86" s="332"/>
      <c r="B86" s="312" t="s">
        <v>1457</v>
      </c>
      <c r="C86" s="320"/>
      <c r="D86" s="320"/>
      <c r="E86" s="320"/>
      <c r="F86" s="320"/>
      <c r="G86" s="320"/>
      <c r="H86" s="320"/>
      <c r="I86" s="320"/>
      <c r="J86" s="320"/>
      <c r="K86" s="320"/>
      <c r="L86" s="1462"/>
      <c r="M86" s="1463"/>
      <c r="N86" s="1556"/>
      <c r="O86" s="1556"/>
      <c r="P86" s="1664"/>
      <c r="Q86" s="1553"/>
    </row>
    <row r="87" s="15" customFormat="1" ht="14.55" spans="1:17">
      <c r="A87" s="332"/>
      <c r="B87" s="314"/>
      <c r="C87" s="333">
        <v>100</v>
      </c>
      <c r="D87" s="315">
        <f t="shared" ref="D87:M87" si="24">$C$87-($C$86-D86)*$K$25</f>
        <v>100</v>
      </c>
      <c r="E87" s="315">
        <f t="shared" si="24"/>
        <v>100</v>
      </c>
      <c r="F87" s="315">
        <f t="shared" si="24"/>
        <v>100</v>
      </c>
      <c r="G87" s="315">
        <f t="shared" si="24"/>
        <v>100</v>
      </c>
      <c r="H87" s="315">
        <f t="shared" si="24"/>
        <v>100</v>
      </c>
      <c r="I87" s="315">
        <f t="shared" si="24"/>
        <v>100</v>
      </c>
      <c r="J87" s="315">
        <f t="shared" si="24"/>
        <v>100</v>
      </c>
      <c r="K87" s="315">
        <f t="shared" si="24"/>
        <v>100</v>
      </c>
      <c r="L87" s="315">
        <f t="shared" si="24"/>
        <v>100</v>
      </c>
      <c r="M87" s="315">
        <f t="shared" si="24"/>
        <v>100</v>
      </c>
      <c r="N87" s="1560"/>
      <c r="O87" s="1560"/>
      <c r="P87" s="1664"/>
      <c r="Q87" s="1553"/>
    </row>
    <row r="88" s="15" customFormat="1" ht="15.15" spans="1:17">
      <c r="A88" s="332"/>
      <c r="B88" s="312" t="s">
        <v>1458</v>
      </c>
      <c r="C88" s="320"/>
      <c r="D88" s="320"/>
      <c r="E88" s="320"/>
      <c r="F88" s="1605"/>
      <c r="G88" s="320"/>
      <c r="H88" s="320"/>
      <c r="I88" s="320"/>
      <c r="J88" s="320"/>
      <c r="K88" s="320"/>
      <c r="L88" s="320"/>
      <c r="M88" s="1463"/>
      <c r="N88" s="1556"/>
      <c r="O88" s="1556"/>
      <c r="P88" s="1664"/>
      <c r="Q88" s="1553"/>
    </row>
    <row r="89" s="15" customFormat="1" ht="14.55" spans="1:17">
      <c r="A89" s="332"/>
      <c r="B89" s="314"/>
      <c r="C89" s="333">
        <v>100</v>
      </c>
      <c r="D89" s="315">
        <f t="shared" ref="D89:M89" si="25">C89-$K26</f>
        <v>100</v>
      </c>
      <c r="E89" s="315">
        <f t="shared" si="25"/>
        <v>100</v>
      </c>
      <c r="F89" s="315">
        <f t="shared" si="25"/>
        <v>100</v>
      </c>
      <c r="G89" s="315">
        <f t="shared" si="25"/>
        <v>100</v>
      </c>
      <c r="H89" s="315">
        <f t="shared" si="25"/>
        <v>100</v>
      </c>
      <c r="I89" s="315">
        <f t="shared" si="25"/>
        <v>100</v>
      </c>
      <c r="J89" s="315">
        <f t="shared" si="25"/>
        <v>100</v>
      </c>
      <c r="K89" s="315">
        <f t="shared" si="25"/>
        <v>100</v>
      </c>
      <c r="L89" s="315">
        <f t="shared" si="25"/>
        <v>100</v>
      </c>
      <c r="M89" s="315">
        <f t="shared" si="25"/>
        <v>100</v>
      </c>
      <c r="N89" s="1560"/>
      <c r="O89" s="1560"/>
      <c r="P89" s="1664"/>
      <c r="Q89" s="1553"/>
    </row>
    <row r="90" s="17" customFormat="1" ht="14.55" spans="1:17">
      <c r="A90" s="319"/>
      <c r="B90" s="312">
        <f>B27</f>
        <v>111</v>
      </c>
      <c r="C90" s="320"/>
      <c r="D90" s="320"/>
      <c r="E90" s="320"/>
      <c r="F90" s="320"/>
      <c r="G90" s="320"/>
      <c r="H90" s="321"/>
      <c r="I90" s="321"/>
      <c r="J90" s="321"/>
      <c r="K90" s="321"/>
      <c r="L90" s="369"/>
      <c r="M90" s="370"/>
      <c r="N90" s="1561"/>
      <c r="O90" s="1561"/>
      <c r="P90" s="1668"/>
      <c r="Q90" s="1564"/>
    </row>
    <row r="91" s="17" customFormat="1" ht="14.55" spans="1:17">
      <c r="A91" s="319"/>
      <c r="B91" s="314"/>
      <c r="C91" s="322"/>
      <c r="D91" s="322"/>
      <c r="E91" s="322"/>
      <c r="F91" s="322"/>
      <c r="G91" s="322"/>
      <c r="H91" s="323"/>
      <c r="I91" s="323"/>
      <c r="J91" s="323"/>
      <c r="K91" s="323"/>
      <c r="L91" s="323"/>
      <c r="M91" s="373"/>
      <c r="N91" s="1561"/>
      <c r="O91" s="1561"/>
      <c r="P91" s="1668"/>
      <c r="Q91" s="1564"/>
    </row>
    <row r="92" ht="14.55" spans="1:17">
      <c r="A92" s="309"/>
      <c r="B92" s="312">
        <f>B28</f>
        <v>111</v>
      </c>
      <c r="C92" s="320"/>
      <c r="D92" s="320"/>
      <c r="E92" s="320"/>
      <c r="F92" s="320"/>
      <c r="G92" s="337"/>
      <c r="H92" s="337"/>
      <c r="I92" s="337"/>
      <c r="J92" s="337"/>
      <c r="K92" s="388"/>
      <c r="L92" s="389"/>
      <c r="M92" s="390"/>
      <c r="N92" s="1558"/>
      <c r="O92" s="1558"/>
      <c r="P92" s="1664"/>
      <c r="Q92" s="1553"/>
    </row>
    <row r="93" ht="14.55" spans="1:17">
      <c r="A93" s="309"/>
      <c r="B93" s="314"/>
      <c r="C93" s="322"/>
      <c r="D93" s="311"/>
      <c r="E93" s="311"/>
      <c r="F93" s="311"/>
      <c r="G93" s="311"/>
      <c r="H93" s="311"/>
      <c r="I93" s="311"/>
      <c r="J93" s="311"/>
      <c r="K93" s="311"/>
      <c r="L93" s="311"/>
      <c r="M93" s="360"/>
      <c r="N93" s="1560"/>
      <c r="O93" s="1560"/>
      <c r="P93" s="1664"/>
      <c r="Q93" s="1553"/>
    </row>
    <row r="94" ht="14.55" spans="1:17">
      <c r="A94" s="309"/>
      <c r="B94" s="312">
        <f>B29</f>
        <v>111</v>
      </c>
      <c r="C94" s="320"/>
      <c r="D94" s="320"/>
      <c r="E94" s="320"/>
      <c r="F94" s="320"/>
      <c r="G94" s="337"/>
      <c r="H94" s="337"/>
      <c r="I94" s="337"/>
      <c r="J94" s="337"/>
      <c r="K94" s="388"/>
      <c r="L94" s="389"/>
      <c r="M94" s="390"/>
      <c r="N94" s="1558"/>
      <c r="O94" s="1558"/>
      <c r="P94" s="1664"/>
      <c r="Q94" s="1553"/>
    </row>
    <row r="95" ht="14.55" spans="1:17">
      <c r="A95" s="309"/>
      <c r="B95" s="314"/>
      <c r="C95" s="322"/>
      <c r="D95" s="322"/>
      <c r="E95" s="322"/>
      <c r="F95" s="322"/>
      <c r="G95" s="311"/>
      <c r="H95" s="311"/>
      <c r="I95" s="311"/>
      <c r="J95" s="311"/>
      <c r="K95" s="311"/>
      <c r="L95" s="311"/>
      <c r="M95" s="360"/>
      <c r="N95" s="1560"/>
      <c r="O95" s="1560"/>
      <c r="P95" s="1664"/>
      <c r="Q95" s="1553"/>
    </row>
    <row r="96" ht="14.55" spans="1:17">
      <c r="A96" s="309"/>
      <c r="B96" s="312">
        <f>B30</f>
        <v>111</v>
      </c>
      <c r="C96" s="320"/>
      <c r="D96" s="320"/>
      <c r="E96" s="320"/>
      <c r="F96" s="320"/>
      <c r="G96" s="337"/>
      <c r="H96" s="337"/>
      <c r="I96" s="337"/>
      <c r="J96" s="337"/>
      <c r="K96" s="388"/>
      <c r="L96" s="389"/>
      <c r="M96" s="390"/>
      <c r="N96" s="1558"/>
      <c r="O96" s="1558"/>
      <c r="P96" s="1664"/>
      <c r="Q96" s="1553"/>
    </row>
    <row r="97" ht="14.55" spans="1:17">
      <c r="A97" s="309"/>
      <c r="B97" s="314"/>
      <c r="C97" s="327"/>
      <c r="D97" s="327"/>
      <c r="E97" s="327"/>
      <c r="F97" s="327"/>
      <c r="G97" s="311"/>
      <c r="H97" s="311"/>
      <c r="I97" s="311"/>
      <c r="J97" s="311"/>
      <c r="K97" s="311"/>
      <c r="L97" s="311"/>
      <c r="M97" s="360"/>
      <c r="N97" s="1560"/>
      <c r="O97" s="1560"/>
      <c r="P97" s="1664"/>
      <c r="Q97" s="1553"/>
    </row>
    <row r="98" ht="14.55" spans="1:17">
      <c r="A98" s="309"/>
      <c r="B98" s="316">
        <f>B31</f>
        <v>111</v>
      </c>
      <c r="C98" s="339"/>
      <c r="D98" s="339"/>
      <c r="E98" s="339"/>
      <c r="F98" s="339"/>
      <c r="G98" s="339"/>
      <c r="H98" s="339"/>
      <c r="I98" s="339"/>
      <c r="J98" s="339"/>
      <c r="K98" s="391"/>
      <c r="L98" s="392"/>
      <c r="M98" s="393"/>
      <c r="N98" s="1558"/>
      <c r="O98" s="1558"/>
      <c r="P98" s="1664"/>
      <c r="Q98" s="1553"/>
    </row>
    <row r="99" ht="14.55" spans="1:17">
      <c r="A99" s="1565"/>
      <c r="B99" s="326"/>
      <c r="C99" s="340"/>
      <c r="D99" s="340"/>
      <c r="E99" s="340"/>
      <c r="F99" s="340"/>
      <c r="G99" s="340"/>
      <c r="H99" s="340"/>
      <c r="I99" s="340"/>
      <c r="J99" s="340"/>
      <c r="K99" s="340"/>
      <c r="L99" s="340"/>
      <c r="M99" s="394"/>
      <c r="N99" s="1560"/>
      <c r="O99" s="1560"/>
      <c r="P99" s="1664"/>
      <c r="Q99" s="1553"/>
    </row>
    <row r="100" ht="14.4" spans="1:17">
      <c r="A100" s="307" t="s">
        <v>1459</v>
      </c>
      <c r="B100" s="308" t="s">
        <v>1460</v>
      </c>
      <c r="C100" s="233"/>
      <c r="D100" s="233"/>
      <c r="E100" s="233"/>
      <c r="F100" s="233"/>
      <c r="G100" s="233"/>
      <c r="H100" s="233"/>
      <c r="I100" s="233"/>
      <c r="J100" s="233"/>
      <c r="K100" s="355"/>
      <c r="L100" s="356"/>
      <c r="M100" s="357"/>
      <c r="N100" s="1558"/>
      <c r="O100" s="1558"/>
      <c r="P100" s="1664"/>
      <c r="Q100" s="1553"/>
    </row>
    <row r="101" ht="14.55" spans="1:17">
      <c r="A101" s="309"/>
      <c r="B101" s="314"/>
      <c r="C101" s="315">
        <v>100</v>
      </c>
      <c r="D101" s="315">
        <f t="shared" ref="D101:M101" si="26">C101-$K32</f>
        <v>100</v>
      </c>
      <c r="E101" s="315">
        <f t="shared" si="26"/>
        <v>100</v>
      </c>
      <c r="F101" s="315">
        <f t="shared" si="26"/>
        <v>100</v>
      </c>
      <c r="G101" s="315">
        <f t="shared" si="26"/>
        <v>100</v>
      </c>
      <c r="H101" s="315">
        <f t="shared" si="26"/>
        <v>100</v>
      </c>
      <c r="I101" s="315">
        <f t="shared" si="26"/>
        <v>100</v>
      </c>
      <c r="J101" s="315">
        <f t="shared" si="26"/>
        <v>100</v>
      </c>
      <c r="K101" s="315">
        <f t="shared" si="26"/>
        <v>100</v>
      </c>
      <c r="L101" s="315">
        <f t="shared" si="26"/>
        <v>100</v>
      </c>
      <c r="M101" s="315">
        <f t="shared" si="26"/>
        <v>100</v>
      </c>
      <c r="N101" s="1560"/>
      <c r="O101" s="1560"/>
      <c r="P101" s="1664"/>
      <c r="Q101" s="1553"/>
    </row>
    <row r="102" ht="15.15" spans="1:17">
      <c r="A102" s="309"/>
      <c r="B102" s="312" t="s">
        <v>1462</v>
      </c>
      <c r="C102" s="331" t="str">
        <f>C103&amp;"(含)"&amp;"-"&amp;D103</f>
        <v>(含)-</v>
      </c>
      <c r="D102" s="331" t="str">
        <f t="shared" ref="D102:L102" si="27">D103&amp;"(含)"&amp;"-"&amp;E103</f>
        <v>(含)-</v>
      </c>
      <c r="E102" s="331" t="str">
        <f t="shared" si="27"/>
        <v>(含)-</v>
      </c>
      <c r="F102" s="331" t="str">
        <f t="shared" si="27"/>
        <v>(含)-</v>
      </c>
      <c r="G102" s="331" t="str">
        <f t="shared" si="27"/>
        <v>(含)-</v>
      </c>
      <c r="H102" s="331" t="str">
        <f t="shared" si="27"/>
        <v>(含)-</v>
      </c>
      <c r="I102" s="331" t="str">
        <f t="shared" si="27"/>
        <v>(含)-</v>
      </c>
      <c r="J102" s="331" t="str">
        <f t="shared" si="27"/>
        <v>(含)-</v>
      </c>
      <c r="K102" s="331" t="str">
        <f t="shared" si="27"/>
        <v>(含)-</v>
      </c>
      <c r="L102" s="331" t="str">
        <f t="shared" si="27"/>
        <v>(含)-</v>
      </c>
      <c r="M102" s="331" t="str">
        <f>M103&amp;"(含)"&amp;"-"&amp;P103</f>
        <v>(含)-</v>
      </c>
      <c r="N102" s="1556"/>
      <c r="O102" s="1556"/>
      <c r="P102" s="1664"/>
      <c r="Q102" s="1553"/>
    </row>
    <row r="103" s="17" customFormat="1" spans="1:17">
      <c r="A103" s="341"/>
      <c r="B103" s="342"/>
      <c r="C103" s="296"/>
      <c r="D103" s="296"/>
      <c r="E103" s="296"/>
      <c r="F103" s="296"/>
      <c r="G103" s="296"/>
      <c r="H103" s="296"/>
      <c r="I103" s="296"/>
      <c r="J103" s="395"/>
      <c r="K103" s="395"/>
      <c r="L103" s="396"/>
      <c r="M103" s="397"/>
      <c r="N103" s="1561"/>
      <c r="O103" s="1561"/>
      <c r="P103" s="1668"/>
      <c r="Q103" s="1564"/>
    </row>
    <row r="104" s="17" customFormat="1" ht="14.55" spans="1:17">
      <c r="A104" s="319"/>
      <c r="B104" s="314"/>
      <c r="C104" s="322"/>
      <c r="D104" s="311"/>
      <c r="E104" s="311"/>
      <c r="F104" s="311"/>
      <c r="G104" s="311"/>
      <c r="H104" s="311"/>
      <c r="I104" s="311"/>
      <c r="J104" s="311"/>
      <c r="K104" s="311"/>
      <c r="L104" s="311"/>
      <c r="M104" s="311"/>
      <c r="N104" s="1560"/>
      <c r="O104" s="1560"/>
      <c r="P104" s="1668"/>
      <c r="Q104" s="1564"/>
    </row>
    <row r="105" ht="15.15" spans="1:17">
      <c r="A105" s="344"/>
      <c r="B105" s="312" t="s">
        <v>1463</v>
      </c>
      <c r="C105" s="320"/>
      <c r="D105" s="320"/>
      <c r="E105" s="337"/>
      <c r="F105" s="337"/>
      <c r="G105" s="337"/>
      <c r="H105" s="337"/>
      <c r="I105" s="337"/>
      <c r="J105" s="337"/>
      <c r="K105" s="388"/>
      <c r="L105" s="389"/>
      <c r="M105" s="390"/>
      <c r="N105" s="1558"/>
      <c r="O105" s="1558"/>
      <c r="P105" s="1664"/>
      <c r="Q105" s="1553"/>
    </row>
    <row r="106" ht="14.55" spans="1:17">
      <c r="A106" s="309"/>
      <c r="B106" s="314"/>
      <c r="C106" s="315">
        <v>100</v>
      </c>
      <c r="D106" s="315">
        <f t="shared" ref="D106:M106" si="28">C106-$K34</f>
        <v>100</v>
      </c>
      <c r="E106" s="315">
        <f t="shared" si="28"/>
        <v>100</v>
      </c>
      <c r="F106" s="315">
        <f t="shared" si="28"/>
        <v>100</v>
      </c>
      <c r="G106" s="315">
        <f t="shared" si="28"/>
        <v>100</v>
      </c>
      <c r="H106" s="315">
        <f t="shared" si="28"/>
        <v>100</v>
      </c>
      <c r="I106" s="315">
        <f t="shared" si="28"/>
        <v>100</v>
      </c>
      <c r="J106" s="315">
        <f t="shared" si="28"/>
        <v>100</v>
      </c>
      <c r="K106" s="315">
        <f t="shared" si="28"/>
        <v>100</v>
      </c>
      <c r="L106" s="315">
        <f t="shared" si="28"/>
        <v>100</v>
      </c>
      <c r="M106" s="315">
        <f t="shared" si="28"/>
        <v>100</v>
      </c>
      <c r="N106" s="1560"/>
      <c r="O106" s="1560"/>
      <c r="P106" s="1664"/>
      <c r="Q106" s="1553"/>
    </row>
    <row r="107" ht="15.15" spans="1:17">
      <c r="A107" s="344"/>
      <c r="B107" s="312" t="s">
        <v>1464</v>
      </c>
      <c r="C107" s="337"/>
      <c r="D107" s="337"/>
      <c r="E107" s="337"/>
      <c r="F107" s="337"/>
      <c r="G107" s="337"/>
      <c r="H107" s="337"/>
      <c r="I107" s="337"/>
      <c r="J107" s="337"/>
      <c r="K107" s="388"/>
      <c r="L107" s="389"/>
      <c r="M107" s="390"/>
      <c r="N107" s="1558"/>
      <c r="O107" s="1558"/>
      <c r="P107" s="1664"/>
      <c r="Q107" s="1553"/>
    </row>
    <row r="108" ht="14.55" spans="1:17">
      <c r="A108" s="309"/>
      <c r="B108" s="314"/>
      <c r="C108" s="315">
        <v>100</v>
      </c>
      <c r="D108" s="315">
        <f t="shared" ref="D108:M108" si="29">C108-$K35</f>
        <v>100</v>
      </c>
      <c r="E108" s="315">
        <f t="shared" si="29"/>
        <v>100</v>
      </c>
      <c r="F108" s="315">
        <f t="shared" si="29"/>
        <v>100</v>
      </c>
      <c r="G108" s="315">
        <f t="shared" si="29"/>
        <v>100</v>
      </c>
      <c r="H108" s="315">
        <f t="shared" si="29"/>
        <v>100</v>
      </c>
      <c r="I108" s="315">
        <f t="shared" si="29"/>
        <v>100</v>
      </c>
      <c r="J108" s="315">
        <f t="shared" si="29"/>
        <v>100</v>
      </c>
      <c r="K108" s="315">
        <f t="shared" si="29"/>
        <v>100</v>
      </c>
      <c r="L108" s="315">
        <f t="shared" si="29"/>
        <v>100</v>
      </c>
      <c r="M108" s="315">
        <f t="shared" si="29"/>
        <v>100</v>
      </c>
      <c r="N108" s="1560"/>
      <c r="O108" s="1560"/>
      <c r="P108" s="1664"/>
      <c r="Q108" s="1553"/>
    </row>
    <row r="109" ht="15.15" spans="1:17">
      <c r="A109" s="344"/>
      <c r="B109" s="312" t="s">
        <v>1465</v>
      </c>
      <c r="C109" s="320"/>
      <c r="D109" s="320"/>
      <c r="E109" s="320"/>
      <c r="F109" s="337"/>
      <c r="G109" s="337"/>
      <c r="H109" s="337"/>
      <c r="I109" s="337"/>
      <c r="J109" s="337"/>
      <c r="K109" s="388"/>
      <c r="L109" s="389"/>
      <c r="M109" s="390"/>
      <c r="N109" s="1558"/>
      <c r="O109" s="1558"/>
      <c r="P109" s="1664"/>
      <c r="Q109" s="1553"/>
    </row>
    <row r="110" ht="14.55" spans="1:17">
      <c r="A110" s="309"/>
      <c r="B110" s="314"/>
      <c r="C110" s="315">
        <v>100</v>
      </c>
      <c r="D110" s="315">
        <f t="shared" ref="D110:M110" si="30">C110-$K36</f>
        <v>100</v>
      </c>
      <c r="E110" s="315">
        <f t="shared" si="30"/>
        <v>100</v>
      </c>
      <c r="F110" s="315">
        <f t="shared" si="30"/>
        <v>100</v>
      </c>
      <c r="G110" s="315">
        <f t="shared" si="30"/>
        <v>100</v>
      </c>
      <c r="H110" s="315">
        <f t="shared" si="30"/>
        <v>100</v>
      </c>
      <c r="I110" s="315">
        <f t="shared" si="30"/>
        <v>100</v>
      </c>
      <c r="J110" s="315">
        <f t="shared" si="30"/>
        <v>100</v>
      </c>
      <c r="K110" s="315">
        <f t="shared" si="30"/>
        <v>100</v>
      </c>
      <c r="L110" s="315">
        <f t="shared" si="30"/>
        <v>100</v>
      </c>
      <c r="M110" s="315">
        <f t="shared" si="30"/>
        <v>100</v>
      </c>
      <c r="N110" s="1560"/>
      <c r="O110" s="1560"/>
      <c r="P110" s="1664"/>
      <c r="Q110" s="1553"/>
    </row>
    <row r="111" s="17" customFormat="1" ht="15.15" spans="1:17">
      <c r="A111" s="341"/>
      <c r="B111" s="312" t="s">
        <v>565</v>
      </c>
      <c r="C111" s="331" t="str">
        <f>C112&amp;"(含)"&amp;"-"&amp;D112</f>
        <v>0.5(含)-0.6</v>
      </c>
      <c r="D111" s="331" t="str">
        <f>D112&amp;"(含)"&amp;"-"&amp;E112</f>
        <v>0.6(含)-0.7</v>
      </c>
      <c r="E111" s="331" t="str">
        <f>E112&amp;"(含)"&amp;"-"&amp;F112</f>
        <v>0.7(含)-0.8</v>
      </c>
      <c r="F111" s="331" t="str">
        <f>F112&amp;"(含)"&amp;"-"&amp;G112</f>
        <v>0.8(含)-0.9</v>
      </c>
      <c r="G111" s="331" t="str">
        <f>G112&amp;"(含)"&amp;"-"&amp;ROUND(H112,0)&amp;"(含)"</f>
        <v>0.9(含)-1(含)</v>
      </c>
      <c r="H111" s="331" t="str">
        <f>ROUND(H112,0)&amp;"(含)"&amp;"-"&amp;I112</f>
        <v>1(含)-</v>
      </c>
      <c r="I111" s="331"/>
      <c r="J111" s="334"/>
      <c r="K111" s="334"/>
      <c r="L111" s="384"/>
      <c r="M111" s="385"/>
      <c r="N111" s="1561"/>
      <c r="O111" s="1561"/>
      <c r="P111" s="1668"/>
      <c r="Q111" s="1564"/>
    </row>
    <row r="112" s="17" customFormat="1" spans="1:17">
      <c r="A112" s="341"/>
      <c r="B112" s="316"/>
      <c r="C112" s="295">
        <v>0.5</v>
      </c>
      <c r="D112" s="295">
        <v>0.6</v>
      </c>
      <c r="E112" s="295">
        <v>0.7</v>
      </c>
      <c r="F112" s="295">
        <v>0.8</v>
      </c>
      <c r="G112" s="295">
        <v>0.9</v>
      </c>
      <c r="H112" s="295">
        <v>1.0001</v>
      </c>
      <c r="I112" s="295"/>
      <c r="J112" s="1672"/>
      <c r="K112" s="1672"/>
      <c r="L112" s="1673"/>
      <c r="M112" s="1674"/>
      <c r="N112" s="1561"/>
      <c r="O112" s="1561"/>
      <c r="P112" s="1668"/>
      <c r="Q112" s="1564"/>
    </row>
    <row r="113" s="17" customFormat="1" ht="14.55" spans="1:17">
      <c r="A113" s="319"/>
      <c r="B113" s="314"/>
      <c r="C113" s="333">
        <v>100</v>
      </c>
      <c r="D113" s="315">
        <f>C113+$K37</f>
        <v>100</v>
      </c>
      <c r="E113" s="315">
        <f>D113+$K37</f>
        <v>100</v>
      </c>
      <c r="F113" s="315">
        <f>E113+$K37</f>
        <v>100</v>
      </c>
      <c r="G113" s="315">
        <f>F113+$K37</f>
        <v>100</v>
      </c>
      <c r="H113" s="315">
        <f>G113+$K37</f>
        <v>100</v>
      </c>
      <c r="I113" s="333"/>
      <c r="J113" s="335"/>
      <c r="K113" s="335"/>
      <c r="L113" s="335"/>
      <c r="M113" s="386"/>
      <c r="N113" s="1561"/>
      <c r="O113" s="1561"/>
      <c r="P113" s="1668"/>
      <c r="Q113" s="1564"/>
    </row>
    <row r="114" ht="15.15" spans="1:17">
      <c r="A114" s="344"/>
      <c r="B114" s="312" t="s">
        <v>1466</v>
      </c>
      <c r="C114" s="320"/>
      <c r="D114" s="320"/>
      <c r="E114" s="337"/>
      <c r="F114" s="337"/>
      <c r="G114" s="337"/>
      <c r="H114" s="337"/>
      <c r="I114" s="337"/>
      <c r="J114" s="337"/>
      <c r="K114" s="388"/>
      <c r="L114" s="389"/>
      <c r="M114" s="390"/>
      <c r="N114" s="1558"/>
      <c r="O114" s="1558"/>
      <c r="P114" s="1664"/>
      <c r="Q114" s="1553"/>
    </row>
    <row r="115" ht="14.55" spans="1:17">
      <c r="A115" s="309"/>
      <c r="B115" s="314"/>
      <c r="C115" s="315">
        <v>100</v>
      </c>
      <c r="D115" s="315">
        <f t="shared" ref="D115:M115" si="31">C115-$K38</f>
        <v>100</v>
      </c>
      <c r="E115" s="315">
        <f t="shared" si="31"/>
        <v>100</v>
      </c>
      <c r="F115" s="315">
        <f t="shared" si="31"/>
        <v>100</v>
      </c>
      <c r="G115" s="315">
        <f t="shared" si="31"/>
        <v>100</v>
      </c>
      <c r="H115" s="315">
        <f t="shared" si="31"/>
        <v>100</v>
      </c>
      <c r="I115" s="315">
        <f t="shared" si="31"/>
        <v>100</v>
      </c>
      <c r="J115" s="315">
        <f t="shared" si="31"/>
        <v>100</v>
      </c>
      <c r="K115" s="315">
        <f t="shared" si="31"/>
        <v>100</v>
      </c>
      <c r="L115" s="315">
        <f t="shared" si="31"/>
        <v>100</v>
      </c>
      <c r="M115" s="315">
        <f t="shared" si="31"/>
        <v>100</v>
      </c>
      <c r="N115" s="1560"/>
      <c r="O115" s="1560"/>
      <c r="P115" s="1664"/>
      <c r="Q115" s="1553"/>
    </row>
    <row r="116" ht="15.15" spans="1:17">
      <c r="A116" s="344"/>
      <c r="B116" s="312" t="s">
        <v>1467</v>
      </c>
      <c r="C116" s="320"/>
      <c r="D116" s="320"/>
      <c r="E116" s="320"/>
      <c r="F116" s="320"/>
      <c r="G116" s="320"/>
      <c r="H116" s="337"/>
      <c r="I116" s="337"/>
      <c r="J116" s="337"/>
      <c r="K116" s="388"/>
      <c r="L116" s="389"/>
      <c r="M116" s="390"/>
      <c r="N116" s="1558"/>
      <c r="O116" s="1558"/>
      <c r="P116" s="1664"/>
      <c r="Q116" s="1553"/>
    </row>
    <row r="117" ht="14.55" spans="1:17">
      <c r="A117" s="309"/>
      <c r="B117" s="314"/>
      <c r="C117" s="315">
        <v>100</v>
      </c>
      <c r="D117" s="315">
        <f>C117-$K39</f>
        <v>100</v>
      </c>
      <c r="E117" s="315">
        <f>D117-$K39</f>
        <v>100</v>
      </c>
      <c r="F117" s="315">
        <f>E117-$K39</f>
        <v>100</v>
      </c>
      <c r="G117" s="315">
        <f>F117-$K39</f>
        <v>100</v>
      </c>
      <c r="H117" s="315"/>
      <c r="I117" s="315"/>
      <c r="J117" s="315"/>
      <c r="K117" s="315"/>
      <c r="L117" s="315"/>
      <c r="M117" s="365"/>
      <c r="N117" s="1560"/>
      <c r="O117" s="1560"/>
      <c r="P117" s="1664"/>
      <c r="Q117" s="1553"/>
    </row>
    <row r="118" ht="15.15" spans="1:17">
      <c r="A118" s="344"/>
      <c r="B118" s="312" t="s">
        <v>1468</v>
      </c>
      <c r="C118" s="337"/>
      <c r="D118" s="337"/>
      <c r="E118" s="337"/>
      <c r="F118" s="337"/>
      <c r="G118" s="337"/>
      <c r="H118" s="337"/>
      <c r="I118" s="337"/>
      <c r="J118" s="337"/>
      <c r="K118" s="388"/>
      <c r="L118" s="389"/>
      <c r="M118" s="390"/>
      <c r="N118" s="1558"/>
      <c r="O118" s="1558"/>
      <c r="P118" s="1664"/>
      <c r="Q118" s="1553"/>
    </row>
    <row r="119" ht="14.55" spans="1:17">
      <c r="A119" s="309"/>
      <c r="B119" s="314"/>
      <c r="C119" s="315">
        <v>100</v>
      </c>
      <c r="D119" s="315">
        <f t="shared" ref="D119:M119" si="32">C119-$K40</f>
        <v>100</v>
      </c>
      <c r="E119" s="315">
        <f t="shared" si="32"/>
        <v>100</v>
      </c>
      <c r="F119" s="315">
        <f t="shared" si="32"/>
        <v>100</v>
      </c>
      <c r="G119" s="315">
        <f t="shared" si="32"/>
        <v>100</v>
      </c>
      <c r="H119" s="315">
        <f t="shared" si="32"/>
        <v>100</v>
      </c>
      <c r="I119" s="315">
        <f t="shared" si="32"/>
        <v>100</v>
      </c>
      <c r="J119" s="315">
        <f t="shared" si="32"/>
        <v>100</v>
      </c>
      <c r="K119" s="315">
        <f t="shared" si="32"/>
        <v>100</v>
      </c>
      <c r="L119" s="315">
        <f t="shared" si="32"/>
        <v>100</v>
      </c>
      <c r="M119" s="315">
        <f t="shared" si="32"/>
        <v>100</v>
      </c>
      <c r="N119" s="1560"/>
      <c r="O119" s="1560"/>
      <c r="P119" s="1664"/>
      <c r="Q119" s="1553"/>
    </row>
    <row r="120" s="17" customFormat="1" ht="29.55" spans="1:17">
      <c r="A120" s="341"/>
      <c r="B120" s="312" t="s">
        <v>1469</v>
      </c>
      <c r="C120" s="320"/>
      <c r="D120" s="320"/>
      <c r="E120" s="320"/>
      <c r="F120" s="320"/>
      <c r="G120" s="320"/>
      <c r="H120" s="320"/>
      <c r="I120" s="320"/>
      <c r="J120" s="320"/>
      <c r="K120" s="320"/>
      <c r="L120" s="1462"/>
      <c r="M120" s="1463"/>
      <c r="N120" s="1561"/>
      <c r="O120" s="1561"/>
      <c r="P120" s="1668"/>
      <c r="Q120" s="1564"/>
    </row>
    <row r="121" s="17" customFormat="1" ht="14.55" spans="1:17">
      <c r="A121" s="319"/>
      <c r="B121" s="310"/>
      <c r="C121" s="322"/>
      <c r="D121" s="311"/>
      <c r="E121" s="311"/>
      <c r="F121" s="311"/>
      <c r="G121" s="311"/>
      <c r="H121" s="311"/>
      <c r="I121" s="311"/>
      <c r="J121" s="311"/>
      <c r="K121" s="311"/>
      <c r="L121" s="311"/>
      <c r="M121" s="311"/>
      <c r="N121" s="1561"/>
      <c r="O121" s="1561"/>
      <c r="P121" s="1668"/>
      <c r="Q121" s="1564"/>
    </row>
    <row r="122" ht="15.15" spans="1:17">
      <c r="A122" s="344"/>
      <c r="B122" s="312" t="s">
        <v>1470</v>
      </c>
      <c r="C122" s="320"/>
      <c r="D122" s="320"/>
      <c r="E122" s="320"/>
      <c r="F122" s="337"/>
      <c r="G122" s="337"/>
      <c r="H122" s="337"/>
      <c r="I122" s="337"/>
      <c r="J122" s="337"/>
      <c r="K122" s="388"/>
      <c r="L122" s="389"/>
      <c r="M122" s="390"/>
      <c r="N122" s="1558"/>
      <c r="O122" s="1558"/>
      <c r="P122" s="1664"/>
      <c r="Q122" s="1553"/>
    </row>
    <row r="123" ht="14.55" spans="1:17">
      <c r="A123" s="309"/>
      <c r="B123" s="314"/>
      <c r="C123" s="315">
        <v>100</v>
      </c>
      <c r="D123" s="315">
        <f t="shared" ref="D123:M123" si="33">C123-$K42</f>
        <v>100</v>
      </c>
      <c r="E123" s="315">
        <f t="shared" si="33"/>
        <v>100</v>
      </c>
      <c r="F123" s="315">
        <f t="shared" si="33"/>
        <v>100</v>
      </c>
      <c r="G123" s="315">
        <f t="shared" si="33"/>
        <v>100</v>
      </c>
      <c r="H123" s="315">
        <f t="shared" si="33"/>
        <v>100</v>
      </c>
      <c r="I123" s="315">
        <f t="shared" si="33"/>
        <v>100</v>
      </c>
      <c r="J123" s="315">
        <f t="shared" si="33"/>
        <v>100</v>
      </c>
      <c r="K123" s="315">
        <f t="shared" si="33"/>
        <v>100</v>
      </c>
      <c r="L123" s="315">
        <f t="shared" si="33"/>
        <v>100</v>
      </c>
      <c r="M123" s="315">
        <f t="shared" si="33"/>
        <v>100</v>
      </c>
      <c r="N123" s="1560"/>
      <c r="O123" s="1560"/>
      <c r="P123" s="1664"/>
      <c r="Q123" s="1553"/>
    </row>
    <row r="124" ht="29.55" spans="1:17">
      <c r="A124" s="344"/>
      <c r="B124" s="312" t="s">
        <v>1471</v>
      </c>
      <c r="C124" s="331" t="s">
        <v>1489</v>
      </c>
      <c r="D124" s="331" t="s">
        <v>1490</v>
      </c>
      <c r="E124" s="331" t="s">
        <v>1491</v>
      </c>
      <c r="F124" s="331" t="s">
        <v>1492</v>
      </c>
      <c r="G124" s="331" t="s">
        <v>1493</v>
      </c>
      <c r="H124" s="313"/>
      <c r="I124" s="313"/>
      <c r="J124" s="313"/>
      <c r="K124" s="362"/>
      <c r="L124" s="363"/>
      <c r="M124" s="364"/>
      <c r="N124" s="1558"/>
      <c r="O124" s="1558"/>
      <c r="P124" s="1668"/>
      <c r="Q124" s="1553"/>
    </row>
    <row r="125" ht="14.55" spans="1:17">
      <c r="A125" s="309"/>
      <c r="B125" s="314"/>
      <c r="C125" s="315">
        <v>100</v>
      </c>
      <c r="D125" s="315">
        <f>C125-$K43</f>
        <v>100</v>
      </c>
      <c r="E125" s="315">
        <f>D125-$K43</f>
        <v>100</v>
      </c>
      <c r="F125" s="315">
        <f>E125-$K43</f>
        <v>100</v>
      </c>
      <c r="G125" s="315">
        <f>F125-$K43</f>
        <v>100</v>
      </c>
      <c r="H125" s="315"/>
      <c r="I125" s="315"/>
      <c r="J125" s="315"/>
      <c r="K125" s="315"/>
      <c r="L125" s="315"/>
      <c r="M125" s="365"/>
      <c r="N125" s="1560"/>
      <c r="O125" s="1560"/>
      <c r="P125" s="1664"/>
      <c r="Q125" s="1553"/>
    </row>
    <row r="126" s="17" customFormat="1" ht="14.55" spans="1:17">
      <c r="A126" s="341"/>
      <c r="B126" s="312">
        <f>B44</f>
        <v>111</v>
      </c>
      <c r="C126" s="320"/>
      <c r="D126" s="320"/>
      <c r="E126" s="320"/>
      <c r="F126" s="320"/>
      <c r="G126" s="320"/>
      <c r="H126" s="321"/>
      <c r="I126" s="321"/>
      <c r="J126" s="321"/>
      <c r="K126" s="321"/>
      <c r="L126" s="369"/>
      <c r="M126" s="370"/>
      <c r="N126" s="1561"/>
      <c r="O126" s="1561"/>
      <c r="P126" s="1668"/>
      <c r="Q126" s="1564"/>
    </row>
    <row r="127" s="17" customFormat="1" ht="14.55" spans="1:17">
      <c r="A127" s="319"/>
      <c r="B127" s="314"/>
      <c r="C127" s="322"/>
      <c r="D127" s="311"/>
      <c r="E127" s="311"/>
      <c r="F127" s="311"/>
      <c r="G127" s="322"/>
      <c r="H127" s="323"/>
      <c r="I127" s="323"/>
      <c r="J127" s="323"/>
      <c r="K127" s="323"/>
      <c r="L127" s="323"/>
      <c r="M127" s="373"/>
      <c r="N127" s="1561"/>
      <c r="O127" s="1561"/>
      <c r="P127" s="1668"/>
      <c r="Q127" s="1564"/>
    </row>
    <row r="128" ht="14.55" spans="1:17">
      <c r="A128" s="344"/>
      <c r="B128" s="312">
        <f>B45</f>
        <v>111</v>
      </c>
      <c r="C128" s="320"/>
      <c r="D128" s="320"/>
      <c r="E128" s="320"/>
      <c r="F128" s="320"/>
      <c r="G128" s="337"/>
      <c r="H128" s="337"/>
      <c r="I128" s="337"/>
      <c r="J128" s="337"/>
      <c r="K128" s="388"/>
      <c r="L128" s="389"/>
      <c r="M128" s="390"/>
      <c r="N128" s="1558"/>
      <c r="O128" s="1558"/>
      <c r="P128" s="1664"/>
      <c r="Q128" s="1553"/>
    </row>
    <row r="129" ht="14.55" spans="1:17">
      <c r="A129" s="309"/>
      <c r="B129" s="314"/>
      <c r="C129" s="322"/>
      <c r="D129" s="322"/>
      <c r="E129" s="322"/>
      <c r="F129" s="322"/>
      <c r="G129" s="311"/>
      <c r="H129" s="311"/>
      <c r="I129" s="311"/>
      <c r="J129" s="311"/>
      <c r="K129" s="311"/>
      <c r="L129" s="311"/>
      <c r="M129" s="360"/>
      <c r="N129" s="1560"/>
      <c r="O129" s="1560"/>
      <c r="P129" s="1664"/>
      <c r="Q129" s="1553"/>
    </row>
    <row r="130" ht="14.55" spans="1:17">
      <c r="A130" s="344"/>
      <c r="B130" s="316">
        <f>B46</f>
        <v>111</v>
      </c>
      <c r="C130" s="320"/>
      <c r="D130" s="320"/>
      <c r="E130" s="320"/>
      <c r="F130" s="320"/>
      <c r="G130" s="339"/>
      <c r="H130" s="339"/>
      <c r="I130" s="339"/>
      <c r="J130" s="339"/>
      <c r="K130" s="304"/>
      <c r="L130" s="350"/>
      <c r="M130" s="393"/>
      <c r="N130" s="1558"/>
      <c r="O130" s="1558"/>
      <c r="P130" s="1664"/>
      <c r="Q130" s="1553"/>
    </row>
    <row r="131" ht="14.55" spans="1:17">
      <c r="A131" s="1565"/>
      <c r="B131" s="326"/>
      <c r="C131" s="327"/>
      <c r="D131" s="327"/>
      <c r="E131" s="327"/>
      <c r="F131" s="327"/>
      <c r="G131" s="340"/>
      <c r="H131" s="340"/>
      <c r="I131" s="340"/>
      <c r="J131" s="340"/>
      <c r="K131" s="340"/>
      <c r="L131" s="340"/>
      <c r="M131" s="394"/>
      <c r="N131" s="1560"/>
      <c r="O131" s="1560"/>
      <c r="P131" s="1664"/>
      <c r="Q131" s="1553"/>
    </row>
    <row r="136" ht="15.15" spans="2:2">
      <c r="B136" s="1675" t="s">
        <v>1499</v>
      </c>
    </row>
    <row r="137" ht="15" spans="2:11">
      <c r="B137" s="1676" t="s">
        <v>1500</v>
      </c>
      <c r="C137" s="1677"/>
      <c r="D137" s="1677"/>
      <c r="E137" s="1677"/>
      <c r="F137" s="1677"/>
      <c r="G137" s="1678"/>
      <c r="H137" s="1679"/>
      <c r="I137" s="1702" t="s">
        <v>1501</v>
      </c>
      <c r="J137" s="1677"/>
      <c r="K137" s="1703"/>
    </row>
    <row r="138" ht="15" spans="2:11">
      <c r="B138" s="1680"/>
      <c r="C138" s="1681" t="s">
        <v>1502</v>
      </c>
      <c r="D138" s="1681" t="s">
        <v>1503</v>
      </c>
      <c r="E138" s="1682" t="s">
        <v>1504</v>
      </c>
      <c r="F138" s="1683" t="s">
        <v>1505</v>
      </c>
      <c r="G138" s="1681" t="s">
        <v>1503</v>
      </c>
      <c r="H138" s="1684" t="s">
        <v>1504</v>
      </c>
      <c r="I138" s="1704"/>
      <c r="J138" s="1681" t="s">
        <v>1506</v>
      </c>
      <c r="K138" s="1684" t="s">
        <v>1507</v>
      </c>
    </row>
    <row r="139" ht="15" spans="2:11">
      <c r="B139" s="1685">
        <v>6</v>
      </c>
      <c r="C139" s="1686">
        <v>96</v>
      </c>
      <c r="D139" s="1687" t="s">
        <v>1508</v>
      </c>
      <c r="E139" s="1688">
        <v>100</v>
      </c>
      <c r="F139" s="1689">
        <v>102.5</v>
      </c>
      <c r="G139" s="1687" t="s">
        <v>1508</v>
      </c>
      <c r="H139" s="1690">
        <v>105</v>
      </c>
      <c r="I139" s="1705" t="s">
        <v>1509</v>
      </c>
      <c r="J139" s="1686">
        <v>20</v>
      </c>
      <c r="K139" s="1706">
        <f>C145/(J139-2)</f>
        <v>0.00405555555555556</v>
      </c>
    </row>
    <row r="140" ht="15" spans="2:11">
      <c r="B140" s="1691">
        <v>5</v>
      </c>
      <c r="C140" s="1692">
        <v>100</v>
      </c>
      <c r="D140" s="1692"/>
      <c r="E140" s="1693"/>
      <c r="F140" s="1694">
        <v>102</v>
      </c>
      <c r="G140" s="1692"/>
      <c r="H140" s="1695"/>
      <c r="I140" s="1707" t="s">
        <v>1510</v>
      </c>
      <c r="J140" s="639">
        <f>ROUNDUP((J139-1)/2,0)</f>
        <v>10</v>
      </c>
      <c r="K140" s="1708">
        <v>100</v>
      </c>
    </row>
    <row r="141" ht="15" spans="2:11">
      <c r="B141" s="1691">
        <v>4</v>
      </c>
      <c r="C141" s="1692">
        <v>102</v>
      </c>
      <c r="D141" s="1692"/>
      <c r="E141" s="1693"/>
      <c r="F141" s="1694">
        <v>101.5</v>
      </c>
      <c r="G141" s="1692"/>
      <c r="H141" s="1695"/>
      <c r="I141" s="1707" t="s">
        <v>1511</v>
      </c>
      <c r="J141" s="639">
        <v>1</v>
      </c>
      <c r="K141" s="1709">
        <f>ROUND(100+(J141-J140)*K139*100,1)</f>
        <v>96.4</v>
      </c>
    </row>
    <row r="142" ht="15" spans="2:11">
      <c r="B142" s="1691">
        <v>3</v>
      </c>
      <c r="C142" s="1692">
        <v>103</v>
      </c>
      <c r="D142" s="1692"/>
      <c r="E142" s="1693"/>
      <c r="F142" s="1694">
        <v>101</v>
      </c>
      <c r="G142" s="1692"/>
      <c r="H142" s="1695"/>
      <c r="I142" s="1707" t="s">
        <v>1512</v>
      </c>
      <c r="J142" s="639">
        <f>J139</f>
        <v>20</v>
      </c>
      <c r="K142" s="1710">
        <v>95</v>
      </c>
    </row>
    <row r="143" ht="15" spans="2:11">
      <c r="B143" s="1691">
        <v>2</v>
      </c>
      <c r="C143" s="1692">
        <v>100</v>
      </c>
      <c r="D143" s="1692"/>
      <c r="E143" s="1693"/>
      <c r="F143" s="1694">
        <v>100.5</v>
      </c>
      <c r="G143" s="1692"/>
      <c r="H143" s="1695"/>
      <c r="I143" s="1707" t="s">
        <v>1513</v>
      </c>
      <c r="J143" s="1692">
        <v>15</v>
      </c>
      <c r="K143" s="1709">
        <f>ROUND(100+(J143-J140)*K139*100,1)</f>
        <v>102</v>
      </c>
    </row>
    <row r="144" ht="15" spans="2:11">
      <c r="B144" s="1691">
        <v>1</v>
      </c>
      <c r="C144" s="1692">
        <v>98</v>
      </c>
      <c r="D144" s="1696" t="s">
        <v>1514</v>
      </c>
      <c r="E144" s="1693">
        <v>102</v>
      </c>
      <c r="F144" s="1697">
        <v>100</v>
      </c>
      <c r="G144" s="1696" t="s">
        <v>1514</v>
      </c>
      <c r="H144" s="1695">
        <v>105</v>
      </c>
      <c r="I144" s="1707" t="s">
        <v>1513</v>
      </c>
      <c r="J144" s="1692">
        <v>18</v>
      </c>
      <c r="K144" s="1709">
        <f>ROUND(100+(J144-J140)*K139*100,1)</f>
        <v>103.2</v>
      </c>
    </row>
    <row r="145" ht="16.35" spans="2:11">
      <c r="B145" s="1698" t="s">
        <v>1515</v>
      </c>
      <c r="C145" s="1699">
        <f>ROUND(MAX(C139:C144)/MIN(C139:C144)-1,3)</f>
        <v>0.073</v>
      </c>
      <c r="D145" s="1700"/>
      <c r="E145" s="1700"/>
      <c r="F145" s="1701" t="s">
        <v>1516</v>
      </c>
      <c r="G145" s="1599"/>
      <c r="H145" s="1604"/>
      <c r="I145" s="1711" t="s">
        <v>1513</v>
      </c>
      <c r="J145" s="1712">
        <v>8</v>
      </c>
      <c r="K145" s="1713">
        <f>ROUND(100+(J145-J140)*K139*100,1)</f>
        <v>99.2</v>
      </c>
    </row>
    <row r="147" ht="14.4" spans="2:2">
      <c r="B147" s="1675" t="s">
        <v>1517</v>
      </c>
    </row>
    <row r="148" ht="14.4" spans="2:2">
      <c r="B148" s="1675" t="s">
        <v>1518</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C39 E39 G39 I39">
      <formula1>住宅基础设施水平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6 E26 G26 I26">
      <formula1>住宅朝向</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F33" sqref="F33"/>
    </sheetView>
  </sheetViews>
  <sheetFormatPr defaultColWidth="9" defaultRowHeight="13.8"/>
  <cols>
    <col min="1" max="1" width="10.4444444444444" style="21" customWidth="1"/>
    <col min="2" max="2" width="15.7777777777778" style="21" customWidth="1"/>
    <col min="3" max="3" width="15.1111111111111" style="21" customWidth="1"/>
    <col min="4" max="4" width="12.2222222222222" style="21" customWidth="1"/>
    <col min="5" max="5" width="14.3333333333333" style="21" customWidth="1"/>
    <col min="6" max="6" width="12.2222222222222" style="21" customWidth="1"/>
    <col min="7" max="7" width="14.4444444444444" style="21" customWidth="1"/>
    <col min="8" max="8" width="12.2222222222222" style="21" customWidth="1"/>
    <col min="9" max="9" width="14.4444444444444" style="21" customWidth="1"/>
    <col min="10" max="10" width="12.2222222222222" style="21" customWidth="1"/>
    <col min="11" max="11" width="12.2222222222222" style="22" customWidth="1"/>
    <col min="12" max="12" width="12.2222222222222" style="23" customWidth="1"/>
    <col min="13" max="15" width="12.2222222222222" style="21" customWidth="1"/>
    <col min="16" max="16" width="4.77777777777778" style="1609" customWidth="1"/>
    <col min="17" max="17" width="19.4444444444444" style="21" customWidth="1"/>
    <col min="18" max="22" width="6.11111111111111" style="21" customWidth="1"/>
    <col min="23" max="23" width="5.77777777777778" style="21" customWidth="1"/>
    <col min="24" max="24" width="4.22222222222222" style="21" customWidth="1"/>
    <col min="25" max="25" width="3.44444444444444" style="21" customWidth="1"/>
    <col min="26" max="26" width="19.7777777777778" style="21" customWidth="1"/>
    <col min="27" max="28" width="9.33333333333333" style="21" customWidth="1"/>
    <col min="29" max="16384" width="9" style="21"/>
  </cols>
  <sheetData>
    <row r="1" s="1391" customFormat="1" ht="28.5" customHeight="1" spans="1:29">
      <c r="A1" s="1392" t="s">
        <v>1419</v>
      </c>
      <c r="B1" s="1610" t="s">
        <v>1519</v>
      </c>
      <c r="C1" s="1451" t="s">
        <v>1421</v>
      </c>
      <c r="D1" s="1395"/>
      <c r="E1" s="1611"/>
      <c r="F1" s="1397"/>
      <c r="G1" s="1398" t="s">
        <v>1423</v>
      </c>
      <c r="H1" s="1396"/>
      <c r="I1" s="1396"/>
      <c r="J1" s="1396"/>
      <c r="K1" s="1449"/>
      <c r="L1" s="1450"/>
      <c r="M1" s="1451"/>
      <c r="N1" s="1451"/>
      <c r="O1" s="1451"/>
      <c r="P1" s="1616"/>
      <c r="Q1" s="1625"/>
      <c r="R1" s="1625"/>
      <c r="S1" s="1625"/>
      <c r="T1" s="1625"/>
      <c r="U1" s="1625"/>
      <c r="V1" s="1625"/>
      <c r="W1" s="1625"/>
      <c r="X1" s="1625"/>
      <c r="Y1" s="1625"/>
      <c r="Z1" s="1625"/>
      <c r="AA1" s="1625"/>
      <c r="AB1" s="1625"/>
      <c r="AC1" s="1626"/>
    </row>
    <row r="2" s="14" customFormat="1" ht="28.5" customHeight="1" spans="1:29">
      <c r="A2" s="1399" t="s">
        <v>937</v>
      </c>
      <c r="B2" s="1400" t="e">
        <f ca="1">IF(C2="——",ROUND(C49*D3/10000,0),ROUND(C49*D3/10000,0)-D2)</f>
        <v>#DIV/0!</v>
      </c>
      <c r="C2" s="1401"/>
      <c r="D2" s="1572" t="e">
        <f ca="1">SUMIF(INDIRECT("'"&amp;F2&amp;"'"&amp;"!A:A"),"承租人权益价值",INDIRECT("'"&amp;F2&amp;"'"&amp;"!c:c"))</f>
        <v>#REF!</v>
      </c>
      <c r="E2" s="1402" t="s">
        <v>938</v>
      </c>
      <c r="F2" s="1403"/>
      <c r="G2" s="31"/>
      <c r="H2" s="31"/>
      <c r="I2" s="31"/>
      <c r="J2" s="31"/>
      <c r="K2" s="31"/>
      <c r="L2" s="201"/>
      <c r="M2" s="202"/>
      <c r="N2" s="202"/>
      <c r="O2" s="202"/>
      <c r="P2" s="1617"/>
      <c r="Q2" s="1533"/>
      <c r="R2" s="1533"/>
      <c r="S2" s="1533"/>
      <c r="T2" s="1533"/>
      <c r="U2" s="1533"/>
      <c r="V2" s="1533"/>
      <c r="W2" s="1533"/>
      <c r="X2" s="1533"/>
      <c r="Y2" s="1533"/>
      <c r="Z2" s="1533"/>
      <c r="AA2" s="1533"/>
      <c r="AB2" s="1533"/>
      <c r="AC2" s="1627"/>
    </row>
    <row r="3" s="14" customFormat="1" ht="28.5" customHeight="1" spans="1:29">
      <c r="A3" s="33" t="s">
        <v>939</v>
      </c>
      <c r="B3" s="34" t="e">
        <f ca="1">IF(C2="——",C49,ROUND(B2*10000/D3,0))</f>
        <v>#DIV/0!</v>
      </c>
      <c r="C3" s="1404" t="s">
        <v>1424</v>
      </c>
      <c r="D3" s="1405">
        <f>IF(D1="",'数据-汇总表'!E3,SUMIF('数据-汇总表'!$C19:$C33,D1,'数据-汇总表'!$E19:$E33))</f>
        <v>18907.05</v>
      </c>
      <c r="E3" s="1573"/>
      <c r="F3" s="32"/>
      <c r="G3" s="31"/>
      <c r="H3" s="31"/>
      <c r="I3" s="31"/>
      <c r="J3" s="31"/>
      <c r="K3" s="200"/>
      <c r="L3" s="201"/>
      <c r="M3" s="202"/>
      <c r="N3" s="202"/>
      <c r="O3" s="202"/>
      <c r="P3" s="1617"/>
      <c r="Q3" s="1533"/>
      <c r="R3" s="1533"/>
      <c r="S3" s="1533"/>
      <c r="T3" s="1533"/>
      <c r="U3" s="1533"/>
      <c r="V3" s="1533"/>
      <c r="W3" s="1533"/>
      <c r="X3" s="1533"/>
      <c r="Y3" s="1533"/>
      <c r="Z3" s="1533"/>
      <c r="AA3" s="1533"/>
      <c r="AB3" s="1533"/>
      <c r="AC3" s="1573"/>
    </row>
    <row r="4" ht="14.4" spans="1:29">
      <c r="A4" s="36" t="s">
        <v>1425</v>
      </c>
      <c r="B4" s="37"/>
      <c r="C4" s="38" t="s">
        <v>1426</v>
      </c>
      <c r="D4" s="39"/>
      <c r="E4" s="40" t="s">
        <v>1427</v>
      </c>
      <c r="F4" s="41"/>
      <c r="G4" s="38" t="s">
        <v>1428</v>
      </c>
      <c r="H4" s="39"/>
      <c r="I4" s="38" t="s">
        <v>1429</v>
      </c>
      <c r="J4" s="39"/>
      <c r="K4" s="203" t="s">
        <v>1430</v>
      </c>
      <c r="L4" s="204"/>
      <c r="M4" s="205"/>
      <c r="N4" s="205"/>
      <c r="O4" s="205"/>
      <c r="P4" s="206" t="s">
        <v>1431</v>
      </c>
      <c r="Q4" s="255"/>
      <c r="R4" s="256" t="s">
        <v>1427</v>
      </c>
      <c r="S4" s="257"/>
      <c r="T4" s="256" t="s">
        <v>1428</v>
      </c>
      <c r="U4" s="257"/>
      <c r="V4" s="244" t="s">
        <v>1429</v>
      </c>
      <c r="W4" s="244"/>
      <c r="X4" s="258"/>
      <c r="Y4" s="256" t="s">
        <v>1431</v>
      </c>
      <c r="Z4" s="257"/>
      <c r="AA4" s="283" t="s">
        <v>1427</v>
      </c>
      <c r="AB4" s="244" t="s">
        <v>1428</v>
      </c>
      <c r="AC4" s="283" t="s">
        <v>1429</v>
      </c>
    </row>
    <row r="5" spans="1:29">
      <c r="A5" s="42"/>
      <c r="B5" s="43"/>
      <c r="C5" s="44" t="s">
        <v>1432</v>
      </c>
      <c r="D5" s="45"/>
      <c r="E5" s="46" t="s">
        <v>1433</v>
      </c>
      <c r="F5" s="47"/>
      <c r="G5" s="44" t="s">
        <v>1434</v>
      </c>
      <c r="H5" s="45"/>
      <c r="I5" s="44" t="s">
        <v>1435</v>
      </c>
      <c r="J5" s="45"/>
      <c r="K5" s="203"/>
      <c r="L5" s="204"/>
      <c r="M5" s="205"/>
      <c r="N5" s="205"/>
      <c r="O5" s="205"/>
      <c r="P5" s="207"/>
      <c r="Q5" s="259"/>
      <c r="R5" s="260"/>
      <c r="S5" s="261"/>
      <c r="T5" s="260"/>
      <c r="U5" s="261"/>
      <c r="V5" s="244"/>
      <c r="W5" s="244"/>
      <c r="X5" s="258"/>
      <c r="Y5" s="260"/>
      <c r="Z5" s="261"/>
      <c r="AA5" s="258"/>
      <c r="AB5" s="244"/>
      <c r="AC5" s="258"/>
    </row>
    <row r="6" ht="15.15" spans="1:29">
      <c r="A6" s="48"/>
      <c r="B6" s="49"/>
      <c r="C6" s="1353" t="s">
        <v>1436</v>
      </c>
      <c r="D6" s="1354"/>
      <c r="E6" s="1355" t="s">
        <v>1436</v>
      </c>
      <c r="F6" s="1356"/>
      <c r="G6" s="1353" t="s">
        <v>1436</v>
      </c>
      <c r="H6" s="1354"/>
      <c r="I6" s="1353" t="s">
        <v>1436</v>
      </c>
      <c r="J6" s="1354"/>
      <c r="K6" s="203" t="s">
        <v>1437</v>
      </c>
      <c r="L6" s="204"/>
      <c r="M6" s="205"/>
      <c r="N6" s="205"/>
      <c r="O6" s="205"/>
      <c r="P6" s="208"/>
      <c r="Q6" s="262"/>
      <c r="R6" s="260"/>
      <c r="S6" s="261"/>
      <c r="T6" s="263"/>
      <c r="U6" s="264"/>
      <c r="V6" s="244"/>
      <c r="W6" s="244"/>
      <c r="X6" s="258"/>
      <c r="Y6" s="263"/>
      <c r="Z6" s="264"/>
      <c r="AA6" s="284"/>
      <c r="AB6" s="244"/>
      <c r="AC6" s="284"/>
    </row>
    <row r="7" s="15" customFormat="1" ht="15.15" spans="1:29">
      <c r="A7" s="54" t="s">
        <v>1438</v>
      </c>
      <c r="B7" s="55"/>
      <c r="C7" s="56">
        <f>'数据-取费表'!B2</f>
        <v>44802</v>
      </c>
      <c r="D7" s="57">
        <v>100</v>
      </c>
      <c r="E7" s="58"/>
      <c r="F7" s="59">
        <f>SUMIF(58:58,YEAR(E7)&amp;"-"&amp;MONTH(E7),59:59)</f>
        <v>0</v>
      </c>
      <c r="G7" s="58"/>
      <c r="H7" s="57">
        <f>SUMIF(58:58,YEAR(G7)&amp;"-"&amp;MONTH(G7),59:59)</f>
        <v>0</v>
      </c>
      <c r="I7" s="58"/>
      <c r="J7" s="57">
        <f>SUMIF(58:58,YEAR(I7)&amp;"-"&amp;MONTH(I7),59:59)</f>
        <v>0</v>
      </c>
      <c r="K7" s="209"/>
      <c r="L7" s="210"/>
      <c r="M7" s="211"/>
      <c r="N7" s="211"/>
      <c r="O7" s="211"/>
      <c r="P7" s="212" t="s">
        <v>1439</v>
      </c>
      <c r="Q7" s="265"/>
      <c r="R7" s="266" t="s">
        <v>1440</v>
      </c>
      <c r="S7" s="267">
        <f t="shared" ref="S7:S15" si="0">F7</f>
        <v>0</v>
      </c>
      <c r="T7" s="266" t="s">
        <v>1440</v>
      </c>
      <c r="U7" s="267">
        <f t="shared" ref="U7:U15" si="1">H7</f>
        <v>0</v>
      </c>
      <c r="V7" s="266" t="s">
        <v>1440</v>
      </c>
      <c r="W7" s="267">
        <f t="shared" ref="W7:W15" si="2">J7</f>
        <v>0</v>
      </c>
      <c r="X7" s="268"/>
      <c r="Y7" s="212" t="s">
        <v>1439</v>
      </c>
      <c r="Z7" s="269"/>
      <c r="AA7" s="285" t="e">
        <f>D7/F7</f>
        <v>#DIV/0!</v>
      </c>
      <c r="AB7" s="285" t="e">
        <f>D7/H7</f>
        <v>#DIV/0!</v>
      </c>
      <c r="AC7" s="285" t="e">
        <f>D7/J7</f>
        <v>#DIV/0!</v>
      </c>
    </row>
    <row r="8" s="15" customFormat="1" ht="15.15" spans="1:29">
      <c r="A8" s="54" t="s">
        <v>1441</v>
      </c>
      <c r="B8" s="55"/>
      <c r="C8" s="61" t="s">
        <v>1442</v>
      </c>
      <c r="D8" s="57">
        <v>100</v>
      </c>
      <c r="E8" s="61"/>
      <c r="F8" s="59">
        <f>SUMIF(61:61,E8,62:62)-SUMIF(61:61,C8,62:62)+100</f>
        <v>0</v>
      </c>
      <c r="G8" s="61"/>
      <c r="H8" s="57">
        <f>SUMIF(61:61,G8,62:62)-SUMIF(61:61,C8,62:62)+100</f>
        <v>0</v>
      </c>
      <c r="I8" s="61"/>
      <c r="J8" s="57">
        <f>SUMIF(61:61,I8,62:62)-SUMIF(61:61,C8,62:62)+100</f>
        <v>0</v>
      </c>
      <c r="K8" s="209"/>
      <c r="L8" s="210"/>
      <c r="M8" s="211"/>
      <c r="N8" s="211"/>
      <c r="O8" s="211"/>
      <c r="P8" s="212" t="s">
        <v>1443</v>
      </c>
      <c r="Q8" s="269"/>
      <c r="R8" s="266" t="s">
        <v>1440</v>
      </c>
      <c r="S8" s="267">
        <f t="shared" si="0"/>
        <v>0</v>
      </c>
      <c r="T8" s="266" t="s">
        <v>1440</v>
      </c>
      <c r="U8" s="267">
        <f t="shared" si="1"/>
        <v>0</v>
      </c>
      <c r="V8" s="266" t="s">
        <v>1440</v>
      </c>
      <c r="W8" s="267">
        <f t="shared" si="2"/>
        <v>0</v>
      </c>
      <c r="X8" s="268"/>
      <c r="Y8" s="212" t="s">
        <v>1443</v>
      </c>
      <c r="Z8" s="269"/>
      <c r="AA8" s="285" t="e">
        <f t="shared" ref="AA8:AA46" si="3">D8/F8</f>
        <v>#DIV/0!</v>
      </c>
      <c r="AB8" s="285" t="e">
        <f t="shared" ref="AB8:AB46" si="4">D8/H8</f>
        <v>#DIV/0!</v>
      </c>
      <c r="AC8" s="285" t="e">
        <f t="shared" ref="AC8:AC46" si="5">D8/J8</f>
        <v>#DIV/0!</v>
      </c>
    </row>
    <row r="9" s="15" customFormat="1" ht="14.4" spans="1:29">
      <c r="A9" s="62" t="s">
        <v>1444</v>
      </c>
      <c r="B9" s="63" t="s">
        <v>1445</v>
      </c>
      <c r="C9" s="1406"/>
      <c r="D9" s="65">
        <v>100</v>
      </c>
      <c r="E9" s="1476"/>
      <c r="F9" s="1408">
        <f>SUMIF(63:63,E9,64:64)-SUMIF(63:63,C9,64:64)+100</f>
        <v>100</v>
      </c>
      <c r="G9" s="1476"/>
      <c r="H9" s="65">
        <f>SUMIF(63:63,G9,64:64)-SUMIF(63:63,C9,64:64)+100</f>
        <v>100</v>
      </c>
      <c r="I9" s="1476"/>
      <c r="J9" s="65">
        <f>SUMIF(63:63,I9,64:64)-SUMIF(63:63,C9,64:64)+100</f>
        <v>100</v>
      </c>
      <c r="K9" s="209"/>
      <c r="L9" s="210"/>
      <c r="M9" s="211"/>
      <c r="N9" s="211"/>
      <c r="O9" s="211"/>
      <c r="P9" s="168" t="s">
        <v>1446</v>
      </c>
      <c r="Q9" s="270" t="str">
        <f t="shared" ref="Q9:Q15" si="6">B9</f>
        <v>用途</v>
      </c>
      <c r="R9" s="266" t="s">
        <v>1440</v>
      </c>
      <c r="S9" s="267">
        <f t="shared" si="0"/>
        <v>100</v>
      </c>
      <c r="T9" s="266" t="s">
        <v>1440</v>
      </c>
      <c r="U9" s="267">
        <f t="shared" si="1"/>
        <v>100</v>
      </c>
      <c r="V9" s="266" t="s">
        <v>1440</v>
      </c>
      <c r="W9" s="267">
        <f t="shared" si="2"/>
        <v>100</v>
      </c>
      <c r="X9" s="268"/>
      <c r="Y9" s="270" t="s">
        <v>1447</v>
      </c>
      <c r="Z9" s="286" t="str">
        <f t="shared" ref="Z9:Z15" si="7">Q9</f>
        <v>用途</v>
      </c>
      <c r="AA9" s="285">
        <f t="shared" si="3"/>
        <v>1</v>
      </c>
      <c r="AB9" s="285">
        <f t="shared" si="4"/>
        <v>1</v>
      </c>
      <c r="AC9" s="285">
        <f t="shared" si="5"/>
        <v>1</v>
      </c>
    </row>
    <row r="10" s="16" customFormat="1" ht="28.8" spans="1:29">
      <c r="A10" s="66"/>
      <c r="B10" s="67" t="s">
        <v>1448</v>
      </c>
      <c r="C10" s="1409"/>
      <c r="D10" s="69">
        <v>100</v>
      </c>
      <c r="E10" s="1479"/>
      <c r="F10" s="1410">
        <f>SUMIF(65:65,E10,66:66)-SUMIF(65:65,C10,66:66)+100</f>
        <v>100</v>
      </c>
      <c r="G10" s="1409"/>
      <c r="H10" s="69">
        <f>SUMIF(65:65,G10,66:66)-SUMIF(65:65,C10,66:66)+100</f>
        <v>100</v>
      </c>
      <c r="I10" s="1409"/>
      <c r="J10" s="69">
        <f>SUMIF(65:65,I10,66:66)-SUMIF(65:65,C10,66:66)+100</f>
        <v>100</v>
      </c>
      <c r="K10" s="228"/>
      <c r="L10" s="215"/>
      <c r="M10" s="216"/>
      <c r="N10" s="216"/>
      <c r="O10" s="216"/>
      <c r="P10" s="168"/>
      <c r="Q10" s="270" t="str">
        <f t="shared" si="6"/>
        <v>土地使用年限（年）</v>
      </c>
      <c r="R10" s="266" t="s">
        <v>1440</v>
      </c>
      <c r="S10" s="267">
        <f t="shared" si="0"/>
        <v>100</v>
      </c>
      <c r="T10" s="266" t="s">
        <v>1440</v>
      </c>
      <c r="U10" s="267">
        <f t="shared" si="1"/>
        <v>100</v>
      </c>
      <c r="V10" s="266" t="s">
        <v>1440</v>
      </c>
      <c r="W10" s="267">
        <f t="shared" si="2"/>
        <v>100</v>
      </c>
      <c r="X10" s="268"/>
      <c r="Y10" s="270"/>
      <c r="Z10" s="286" t="str">
        <f t="shared" si="7"/>
        <v>土地使用年限（年）</v>
      </c>
      <c r="AA10" s="285">
        <f t="shared" si="3"/>
        <v>1</v>
      </c>
      <c r="AB10" s="285">
        <f t="shared" si="4"/>
        <v>1</v>
      </c>
      <c r="AC10" s="285">
        <f t="shared" si="5"/>
        <v>1</v>
      </c>
    </row>
    <row r="11" ht="15" spans="1:29">
      <c r="A11" s="70"/>
      <c r="B11" s="67" t="s">
        <v>1449</v>
      </c>
      <c r="C11" s="71"/>
      <c r="D11" s="69">
        <v>100</v>
      </c>
      <c r="E11" s="72"/>
      <c r="F11" s="1410" t="e">
        <f>LOOKUP(E11,68:68,69:69)-LOOKUP(C11,68:68,69:69)+100</f>
        <v>#N/A</v>
      </c>
      <c r="G11" s="71"/>
      <c r="H11" s="69" t="e">
        <f>LOOKUP(G11,68:68,69:69)-LOOKUP(C11,68:68,69:69)+100</f>
        <v>#N/A</v>
      </c>
      <c r="I11" s="71"/>
      <c r="J11" s="69" t="e">
        <f>LOOKUP(I11,68:68,69:69)-LOOKUP(C11,68:68,69:69)+100</f>
        <v>#N/A</v>
      </c>
      <c r="K11" s="228"/>
      <c r="L11" s="219"/>
      <c r="M11" s="205"/>
      <c r="N11" s="205"/>
      <c r="O11" s="205"/>
      <c r="P11" s="168"/>
      <c r="Q11" s="270" t="str">
        <f t="shared" si="6"/>
        <v>容积率</v>
      </c>
      <c r="R11" s="266" t="s">
        <v>1440</v>
      </c>
      <c r="S11" s="267" t="e">
        <f t="shared" si="0"/>
        <v>#N/A</v>
      </c>
      <c r="T11" s="266" t="s">
        <v>1440</v>
      </c>
      <c r="U11" s="267" t="e">
        <f t="shared" si="1"/>
        <v>#N/A</v>
      </c>
      <c r="V11" s="266" t="s">
        <v>1440</v>
      </c>
      <c r="W11" s="267" t="e">
        <f t="shared" si="2"/>
        <v>#N/A</v>
      </c>
      <c r="X11" s="268"/>
      <c r="Y11" s="270"/>
      <c r="Z11" s="286" t="str">
        <f t="shared" si="7"/>
        <v>容积率</v>
      </c>
      <c r="AA11" s="285" t="e">
        <f t="shared" si="3"/>
        <v>#N/A</v>
      </c>
      <c r="AB11" s="285" t="e">
        <f t="shared" si="4"/>
        <v>#N/A</v>
      </c>
      <c r="AC11" s="285" t="e">
        <f t="shared" si="5"/>
        <v>#N/A</v>
      </c>
    </row>
    <row r="12" s="15" customFormat="1" ht="15" spans="1:29">
      <c r="A12" s="73"/>
      <c r="B12" s="74">
        <v>111</v>
      </c>
      <c r="C12" s="68"/>
      <c r="D12" s="75">
        <v>100</v>
      </c>
      <c r="E12" s="78"/>
      <c r="F12" s="1410">
        <f>SUMIF(70:70,E12,71:71)-SUMIF(70:70,C12,71:71)+100</f>
        <v>100</v>
      </c>
      <c r="G12" s="78"/>
      <c r="H12" s="69">
        <f>SUMIF(70:70,G12,71:71)-SUMIF(70:70,C12,71:71)+100</f>
        <v>100</v>
      </c>
      <c r="I12" s="78"/>
      <c r="J12" s="69">
        <f>SUMIF(70:70,I12,71:71)-SUMIF(70:70,C12,71:71)+100</f>
        <v>100</v>
      </c>
      <c r="K12" s="227"/>
      <c r="L12" s="210"/>
      <c r="M12" s="211"/>
      <c r="N12" s="211"/>
      <c r="O12" s="211"/>
      <c r="P12" s="168"/>
      <c r="Q12" s="270">
        <f t="shared" si="6"/>
        <v>111</v>
      </c>
      <c r="R12" s="266" t="s">
        <v>1440</v>
      </c>
      <c r="S12" s="267">
        <f t="shared" si="0"/>
        <v>100</v>
      </c>
      <c r="T12" s="266" t="s">
        <v>1440</v>
      </c>
      <c r="U12" s="267">
        <f t="shared" si="1"/>
        <v>100</v>
      </c>
      <c r="V12" s="266" t="s">
        <v>1440</v>
      </c>
      <c r="W12" s="267">
        <f t="shared" si="2"/>
        <v>100</v>
      </c>
      <c r="X12" s="268"/>
      <c r="Y12" s="270"/>
      <c r="Z12" s="286">
        <f t="shared" si="7"/>
        <v>111</v>
      </c>
      <c r="AA12" s="285">
        <f t="shared" si="3"/>
        <v>1</v>
      </c>
      <c r="AB12" s="285">
        <f t="shared" si="4"/>
        <v>1</v>
      </c>
      <c r="AC12" s="285">
        <f t="shared" si="5"/>
        <v>1</v>
      </c>
    </row>
    <row r="13" ht="15" spans="1:29">
      <c r="A13" s="70"/>
      <c r="B13" s="74">
        <v>111</v>
      </c>
      <c r="C13" s="78"/>
      <c r="D13" s="79">
        <v>100</v>
      </c>
      <c r="E13" s="78"/>
      <c r="F13" s="1410">
        <f>SUMIF(72:72,E13,73:73)-SUMIF(72:72,C13,73:73)+100</f>
        <v>100</v>
      </c>
      <c r="G13" s="78"/>
      <c r="H13" s="79">
        <f>SUMIF(72:72,G13,73:73)-SUMIF(72:72,C13,73:73)+100</f>
        <v>100</v>
      </c>
      <c r="I13" s="78"/>
      <c r="J13" s="79">
        <f>SUMIF(72:72,I13,73:73)-SUMIF(72:72,C13,73:73)+100</f>
        <v>100</v>
      </c>
      <c r="K13" s="227"/>
      <c r="L13" s="221"/>
      <c r="M13" s="205"/>
      <c r="N13" s="205"/>
      <c r="O13" s="205"/>
      <c r="P13" s="168"/>
      <c r="Q13" s="270">
        <f t="shared" si="6"/>
        <v>111</v>
      </c>
      <c r="R13" s="266" t="s">
        <v>1440</v>
      </c>
      <c r="S13" s="267">
        <f t="shared" si="0"/>
        <v>100</v>
      </c>
      <c r="T13" s="266" t="s">
        <v>1440</v>
      </c>
      <c r="U13" s="267">
        <f t="shared" si="1"/>
        <v>100</v>
      </c>
      <c r="V13" s="266" t="s">
        <v>1440</v>
      </c>
      <c r="W13" s="267">
        <f t="shared" si="2"/>
        <v>100</v>
      </c>
      <c r="X13" s="268"/>
      <c r="Y13" s="270"/>
      <c r="Z13" s="286">
        <f t="shared" si="7"/>
        <v>111</v>
      </c>
      <c r="AA13" s="285">
        <f t="shared" si="3"/>
        <v>1</v>
      </c>
      <c r="AB13" s="285">
        <f t="shared" si="4"/>
        <v>1</v>
      </c>
      <c r="AC13" s="285">
        <f t="shared" si="5"/>
        <v>1</v>
      </c>
    </row>
    <row r="14" ht="15.75" spans="1:29">
      <c r="A14" s="80"/>
      <c r="B14" s="81">
        <v>111</v>
      </c>
      <c r="C14" s="82"/>
      <c r="D14" s="83">
        <v>100</v>
      </c>
      <c r="E14" s="78"/>
      <c r="F14" s="1430">
        <f>SUMIF(74:74,E14,75:75)-SUMIF(74:74,C14,75:75)+100</f>
        <v>100</v>
      </c>
      <c r="G14" s="78"/>
      <c r="H14" s="83">
        <f>SUMIF(74:74,G14,75:75)-SUMIF(74:74,C14,75:75)+100</f>
        <v>100</v>
      </c>
      <c r="I14" s="78"/>
      <c r="J14" s="83">
        <f>SUMIF(74:74,I14,75:75)-SUMIF(74:74,C14,75:75)+100</f>
        <v>100</v>
      </c>
      <c r="K14" s="227"/>
      <c r="L14" s="221"/>
      <c r="M14" s="205"/>
      <c r="N14" s="205"/>
      <c r="O14" s="205"/>
      <c r="P14" s="168"/>
      <c r="Q14" s="270">
        <f t="shared" si="6"/>
        <v>111</v>
      </c>
      <c r="R14" s="266" t="s">
        <v>1440</v>
      </c>
      <c r="S14" s="267">
        <f t="shared" si="0"/>
        <v>100</v>
      </c>
      <c r="T14" s="266" t="s">
        <v>1440</v>
      </c>
      <c r="U14" s="267">
        <f t="shared" si="1"/>
        <v>100</v>
      </c>
      <c r="V14" s="266" t="s">
        <v>1440</v>
      </c>
      <c r="W14" s="267">
        <f t="shared" si="2"/>
        <v>100</v>
      </c>
      <c r="X14" s="268"/>
      <c r="Y14" s="270"/>
      <c r="Z14" s="286">
        <f t="shared" si="7"/>
        <v>111</v>
      </c>
      <c r="AA14" s="285">
        <f t="shared" si="3"/>
        <v>1</v>
      </c>
      <c r="AB14" s="285">
        <f t="shared" si="4"/>
        <v>1</v>
      </c>
      <c r="AC14" s="285">
        <f t="shared" si="5"/>
        <v>1</v>
      </c>
    </row>
    <row r="15" ht="72" spans="1:29">
      <c r="A15" s="84" t="s">
        <v>1450</v>
      </c>
      <c r="B15" s="1359" t="s">
        <v>1520</v>
      </c>
      <c r="C15" s="1360" t="str">
        <f>估价对象房地状况!C4</f>
        <v>估价对象位于XX商圈，周边商业氛围成熟，人流量大，商业繁华度好</v>
      </c>
      <c r="D15" s="87">
        <v>100</v>
      </c>
      <c r="E15" s="88"/>
      <c r="F15" s="1413">
        <f>SUMIF(76:76,E16,77:77)-SUMIF(76:76,C16,77:77)+100</f>
        <v>100</v>
      </c>
      <c r="G15" s="222"/>
      <c r="H15" s="87">
        <f>SUMIF(76:76,G16,77:77)-SUMIF(76:76,C16,77:77)+100</f>
        <v>100</v>
      </c>
      <c r="I15" s="88"/>
      <c r="J15" s="87">
        <f>SUMIF(76:76,I16,77:77)-SUMIF(76:76,C16,77:77)+100</f>
        <v>100</v>
      </c>
      <c r="K15" s="1452"/>
      <c r="L15" s="221"/>
      <c r="M15" s="205"/>
      <c r="N15" s="205"/>
      <c r="O15" s="205"/>
      <c r="P15" s="1587" t="s">
        <v>1452</v>
      </c>
      <c r="Q15" s="169" t="str">
        <f t="shared" si="6"/>
        <v>商业繁华度</v>
      </c>
      <c r="R15" s="271" t="s">
        <v>1440</v>
      </c>
      <c r="S15" s="272">
        <f t="shared" si="0"/>
        <v>100</v>
      </c>
      <c r="T15" s="271" t="s">
        <v>1440</v>
      </c>
      <c r="U15" s="272">
        <f t="shared" si="1"/>
        <v>100</v>
      </c>
      <c r="V15" s="271" t="s">
        <v>1440</v>
      </c>
      <c r="W15" s="272">
        <f t="shared" si="2"/>
        <v>100</v>
      </c>
      <c r="X15" s="258"/>
      <c r="Y15" s="223" t="s">
        <v>1452</v>
      </c>
      <c r="Z15" s="244" t="str">
        <f t="shared" si="7"/>
        <v>商业繁华度</v>
      </c>
      <c r="AA15" s="287">
        <f t="shared" si="3"/>
        <v>1</v>
      </c>
      <c r="AB15" s="287">
        <f t="shared" si="4"/>
        <v>1</v>
      </c>
      <c r="AC15" s="287">
        <f t="shared" si="5"/>
        <v>1</v>
      </c>
    </row>
    <row r="16" ht="15" spans="1:29">
      <c r="A16" s="70"/>
      <c r="B16" s="1361"/>
      <c r="C16" s="90"/>
      <c r="D16" s="91"/>
      <c r="E16" s="90"/>
      <c r="F16" s="1414"/>
      <c r="G16" s="90"/>
      <c r="H16" s="93"/>
      <c r="I16" s="90"/>
      <c r="J16" s="91"/>
      <c r="K16" s="1453"/>
      <c r="L16" s="221"/>
      <c r="M16" s="205"/>
      <c r="N16" s="205"/>
      <c r="O16" s="205"/>
      <c r="P16" s="1588"/>
      <c r="Q16" s="169"/>
      <c r="R16" s="271"/>
      <c r="S16" s="272"/>
      <c r="T16" s="271"/>
      <c r="U16" s="272"/>
      <c r="V16" s="271"/>
      <c r="W16" s="272"/>
      <c r="X16" s="258"/>
      <c r="Y16" s="224"/>
      <c r="Z16" s="244"/>
      <c r="AA16" s="287">
        <v>1</v>
      </c>
      <c r="AB16" s="287">
        <v>1</v>
      </c>
      <c r="AC16" s="287">
        <v>1</v>
      </c>
    </row>
    <row r="17" ht="86.4" spans="1:29">
      <c r="A17" s="70"/>
      <c r="B17" s="1362" t="s">
        <v>1453</v>
      </c>
      <c r="C17" s="95" t="str">
        <f>估价对象房地状况!C6</f>
        <v>估价对象周边道路状况、公共交通通达情况、停车便捷程度，综合评价交通便捷度较好</v>
      </c>
      <c r="D17" s="93">
        <v>100</v>
      </c>
      <c r="E17" s="96"/>
      <c r="F17" s="1416">
        <f>SUMIF(78:78,E18,79:79)-SUMIF(78:78,C18,79:79)+100</f>
        <v>100</v>
      </c>
      <c r="G17" s="225"/>
      <c r="H17" s="97">
        <f>SUMIF(78:78,G18,79:79)-SUMIF(78:78,C18,79:79)+100</f>
        <v>100</v>
      </c>
      <c r="I17" s="96"/>
      <c r="J17" s="97">
        <f>SUMIF(78:78,I18,79:79)-SUMIF(78:78,C18,79:79)+100</f>
        <v>100</v>
      </c>
      <c r="K17" s="1452"/>
      <c r="L17" s="221"/>
      <c r="M17" s="205"/>
      <c r="N17" s="205"/>
      <c r="O17" s="205"/>
      <c r="P17" s="1588"/>
      <c r="Q17" s="169" t="str">
        <f>B17</f>
        <v>交通便捷度</v>
      </c>
      <c r="R17" s="271" t="s">
        <v>1440</v>
      </c>
      <c r="S17" s="272">
        <f>F17</f>
        <v>100</v>
      </c>
      <c r="T17" s="271" t="s">
        <v>1440</v>
      </c>
      <c r="U17" s="272">
        <f>H17</f>
        <v>100</v>
      </c>
      <c r="V17" s="271" t="s">
        <v>1440</v>
      </c>
      <c r="W17" s="272">
        <f>J17</f>
        <v>100</v>
      </c>
      <c r="X17" s="258"/>
      <c r="Y17" s="224"/>
      <c r="Z17" s="244" t="str">
        <f>Q17</f>
        <v>交通便捷度</v>
      </c>
      <c r="AA17" s="287">
        <f t="shared" si="3"/>
        <v>1</v>
      </c>
      <c r="AB17" s="287">
        <f t="shared" si="4"/>
        <v>1</v>
      </c>
      <c r="AC17" s="287">
        <f t="shared" si="5"/>
        <v>1</v>
      </c>
    </row>
    <row r="18" ht="15" spans="1:29">
      <c r="A18" s="70"/>
      <c r="B18" s="118"/>
      <c r="C18" s="1363"/>
      <c r="D18" s="93"/>
      <c r="E18" s="1364"/>
      <c r="F18" s="1416"/>
      <c r="G18" s="1373"/>
      <c r="H18" s="91"/>
      <c r="I18" s="1364"/>
      <c r="J18" s="91"/>
      <c r="K18" s="1453"/>
      <c r="L18" s="221"/>
      <c r="M18" s="205"/>
      <c r="N18" s="205"/>
      <c r="O18" s="205"/>
      <c r="P18" s="1588"/>
      <c r="Q18" s="169"/>
      <c r="R18" s="271"/>
      <c r="S18" s="272"/>
      <c r="T18" s="271"/>
      <c r="U18" s="272"/>
      <c r="V18" s="271"/>
      <c r="W18" s="272"/>
      <c r="X18" s="258"/>
      <c r="Y18" s="224"/>
      <c r="Z18" s="244"/>
      <c r="AA18" s="287">
        <v>1</v>
      </c>
      <c r="AB18" s="287">
        <v>1</v>
      </c>
      <c r="AC18" s="287">
        <v>1</v>
      </c>
    </row>
    <row r="19" ht="43.2" spans="1:29">
      <c r="A19" s="70"/>
      <c r="B19" s="1362" t="s">
        <v>1454</v>
      </c>
      <c r="C19" s="95" t="str">
        <f>估价对象房地状况!C7</f>
        <v>估价对象所在区域公共配套设施齐备情况</v>
      </c>
      <c r="D19" s="97">
        <v>100</v>
      </c>
      <c r="E19" s="1365"/>
      <c r="F19" s="1415">
        <f>SUMIF(80:80,E20,81:81)-SUMIF(80:80,C20,81:81)+100</f>
        <v>100</v>
      </c>
      <c r="G19" s="1374"/>
      <c r="H19" s="93">
        <f>SUMIF(80:80,G20,81:81)-SUMIF(80:80,C20,81:81)+100</f>
        <v>100</v>
      </c>
      <c r="I19" s="1365"/>
      <c r="J19" s="93">
        <f>SUMIF(80:80,I20,81:81)-SUMIF(80:80,C20,81:81)+100</f>
        <v>100</v>
      </c>
      <c r="K19" s="1452"/>
      <c r="L19" s="221"/>
      <c r="M19" s="205"/>
      <c r="N19" s="205"/>
      <c r="O19" s="205"/>
      <c r="P19" s="1588"/>
      <c r="Q19" s="169" t="str">
        <f>B19</f>
        <v>公共配套设施</v>
      </c>
      <c r="R19" s="271" t="s">
        <v>1440</v>
      </c>
      <c r="S19" s="272">
        <f>F19</f>
        <v>100</v>
      </c>
      <c r="T19" s="271" t="s">
        <v>1440</v>
      </c>
      <c r="U19" s="272">
        <f>H19</f>
        <v>100</v>
      </c>
      <c r="V19" s="271" t="s">
        <v>1440</v>
      </c>
      <c r="W19" s="272">
        <f>J19</f>
        <v>100</v>
      </c>
      <c r="X19" s="258"/>
      <c r="Y19" s="224"/>
      <c r="Z19" s="244" t="str">
        <f>Q19</f>
        <v>公共配套设施</v>
      </c>
      <c r="AA19" s="287">
        <f t="shared" si="3"/>
        <v>1</v>
      </c>
      <c r="AB19" s="287">
        <f t="shared" si="4"/>
        <v>1</v>
      </c>
      <c r="AC19" s="287">
        <f t="shared" si="5"/>
        <v>1</v>
      </c>
    </row>
    <row r="20" ht="15" spans="1:29">
      <c r="A20" s="70"/>
      <c r="B20" s="118"/>
      <c r="C20" s="90"/>
      <c r="D20" s="91"/>
      <c r="E20" s="99"/>
      <c r="F20" s="1414"/>
      <c r="G20" s="1367"/>
      <c r="H20" s="91"/>
      <c r="I20" s="99"/>
      <c r="J20" s="91"/>
      <c r="K20" s="1453"/>
      <c r="L20" s="221"/>
      <c r="M20" s="205"/>
      <c r="N20" s="205"/>
      <c r="O20" s="205"/>
      <c r="P20" s="1588"/>
      <c r="Q20" s="169"/>
      <c r="R20" s="271"/>
      <c r="S20" s="272"/>
      <c r="T20" s="271"/>
      <c r="U20" s="272"/>
      <c r="V20" s="271"/>
      <c r="W20" s="272"/>
      <c r="X20" s="258"/>
      <c r="Y20" s="224"/>
      <c r="Z20" s="244"/>
      <c r="AA20" s="287">
        <v>1</v>
      </c>
      <c r="AB20" s="287">
        <v>1</v>
      </c>
      <c r="AC20" s="287">
        <v>1</v>
      </c>
    </row>
    <row r="21" ht="28.8" spans="1:29">
      <c r="A21" s="70"/>
      <c r="B21" s="1366" t="s">
        <v>1455</v>
      </c>
      <c r="C21" s="95" t="str">
        <f>估价对象房地状况!C8</f>
        <v>估价对象所在区域基础设施水平</v>
      </c>
      <c r="D21" s="97">
        <v>100</v>
      </c>
      <c r="E21" s="1365"/>
      <c r="F21" s="1415">
        <f>SUMIF(82:82,E22,83:83)-SUMIF(82:82,C22,83:83)+100</f>
        <v>100</v>
      </c>
      <c r="G21" s="1374"/>
      <c r="H21" s="93">
        <f>SUMIF(82:82,G22,83:83)-SUMIF(82:82,C22,83:83)+100</f>
        <v>100</v>
      </c>
      <c r="I21" s="1365"/>
      <c r="J21" s="93">
        <f>SUMIF(82:82,I22,83:83)-SUMIF(82:82,C22,83:83)+100</f>
        <v>100</v>
      </c>
      <c r="K21" s="1452"/>
      <c r="L21" s="221"/>
      <c r="M21" s="205"/>
      <c r="N21" s="205"/>
      <c r="O21" s="205"/>
      <c r="P21" s="1588"/>
      <c r="Q21" s="169" t="str">
        <f>B21</f>
        <v>基础设施水平</v>
      </c>
      <c r="R21" s="271" t="s">
        <v>1440</v>
      </c>
      <c r="S21" s="272">
        <f>F21</f>
        <v>100</v>
      </c>
      <c r="T21" s="271" t="s">
        <v>1440</v>
      </c>
      <c r="U21" s="272">
        <f>H21</f>
        <v>100</v>
      </c>
      <c r="V21" s="271" t="s">
        <v>1440</v>
      </c>
      <c r="W21" s="272">
        <f>J21</f>
        <v>100</v>
      </c>
      <c r="X21" s="258"/>
      <c r="Y21" s="224"/>
      <c r="Z21" s="244" t="str">
        <f>Q21</f>
        <v>基础设施水平</v>
      </c>
      <c r="AA21" s="287">
        <f t="shared" ref="AA21" si="8">D21/F21</f>
        <v>1</v>
      </c>
      <c r="AB21" s="287">
        <f t="shared" ref="AB21" si="9">D21/H21</f>
        <v>1</v>
      </c>
      <c r="AC21" s="287">
        <f t="shared" ref="AC21" si="10">D21/J21</f>
        <v>1</v>
      </c>
    </row>
    <row r="22" ht="15" spans="1:29">
      <c r="A22" s="70"/>
      <c r="B22" s="1366"/>
      <c r="C22" s="1363"/>
      <c r="D22" s="91"/>
      <c r="E22" s="90"/>
      <c r="F22" s="1414"/>
      <c r="G22" s="90"/>
      <c r="H22" s="91"/>
      <c r="I22" s="90"/>
      <c r="J22" s="91"/>
      <c r="K22" s="1454"/>
      <c r="L22" s="221"/>
      <c r="M22" s="205"/>
      <c r="N22" s="205"/>
      <c r="O22" s="205"/>
      <c r="P22" s="1588"/>
      <c r="Q22" s="169"/>
      <c r="R22" s="271"/>
      <c r="S22" s="272"/>
      <c r="T22" s="271"/>
      <c r="U22" s="272"/>
      <c r="V22" s="271"/>
      <c r="W22" s="272"/>
      <c r="X22" s="258"/>
      <c r="Y22" s="224"/>
      <c r="Z22" s="244"/>
      <c r="AA22" s="287">
        <v>1</v>
      </c>
      <c r="AB22" s="287">
        <v>1</v>
      </c>
      <c r="AC22" s="287">
        <v>1</v>
      </c>
    </row>
    <row r="23" ht="57.6" spans="1:29">
      <c r="A23" s="70"/>
      <c r="B23" s="1362" t="s">
        <v>1456</v>
      </c>
      <c r="C23" s="1121" t="str">
        <f>估价对象房地状况!C9</f>
        <v>区域自然环境：；人文环境；综合评价环境状况一般</v>
      </c>
      <c r="D23" s="93">
        <v>100</v>
      </c>
      <c r="E23" s="96"/>
      <c r="F23" s="1416">
        <f>SUMIF(84:84,E24,85:85)-SUMIF(84:84,C24,85:85)+100</f>
        <v>100</v>
      </c>
      <c r="G23" s="225"/>
      <c r="H23" s="93">
        <f>SUMIF(84:84,G24,85:85)-SUMIF(84:84,C24,85:85)+100</f>
        <v>100</v>
      </c>
      <c r="I23" s="96"/>
      <c r="J23" s="93">
        <f>SUMIF(84:84,I24,85:85)-SUMIF(84:84,C24,85:85)+100</f>
        <v>100</v>
      </c>
      <c r="K23" s="1452"/>
      <c r="L23" s="221"/>
      <c r="M23" s="205"/>
      <c r="N23" s="205"/>
      <c r="O23" s="205"/>
      <c r="P23" s="1588"/>
      <c r="Q23" s="169" t="str">
        <f>B23</f>
        <v>自然及人文环境</v>
      </c>
      <c r="R23" s="271" t="s">
        <v>1440</v>
      </c>
      <c r="S23" s="272">
        <f>F23</f>
        <v>100</v>
      </c>
      <c r="T23" s="271" t="s">
        <v>1440</v>
      </c>
      <c r="U23" s="272">
        <f>H23</f>
        <v>100</v>
      </c>
      <c r="V23" s="271" t="s">
        <v>1440</v>
      </c>
      <c r="W23" s="272">
        <f>J23</f>
        <v>100</v>
      </c>
      <c r="X23" s="258"/>
      <c r="Y23" s="224"/>
      <c r="Z23" s="244" t="str">
        <f>Q23</f>
        <v>自然及人文环境</v>
      </c>
      <c r="AA23" s="287">
        <f t="shared" si="3"/>
        <v>1</v>
      </c>
      <c r="AB23" s="287">
        <f t="shared" si="4"/>
        <v>1</v>
      </c>
      <c r="AC23" s="287">
        <f t="shared" si="5"/>
        <v>1</v>
      </c>
    </row>
    <row r="24" ht="15" spans="1:29">
      <c r="A24" s="70"/>
      <c r="B24" s="118"/>
      <c r="C24" s="90"/>
      <c r="D24" s="91"/>
      <c r="E24" s="99"/>
      <c r="F24" s="1414"/>
      <c r="G24" s="1367"/>
      <c r="H24" s="91"/>
      <c r="I24" s="99"/>
      <c r="J24" s="91"/>
      <c r="K24" s="1453"/>
      <c r="L24" s="221"/>
      <c r="M24" s="205"/>
      <c r="N24" s="205"/>
      <c r="O24" s="205"/>
      <c r="P24" s="1588"/>
      <c r="Q24" s="169"/>
      <c r="R24" s="271"/>
      <c r="S24" s="272"/>
      <c r="T24" s="271"/>
      <c r="U24" s="272"/>
      <c r="V24" s="271"/>
      <c r="W24" s="272"/>
      <c r="X24" s="258"/>
      <c r="Y24" s="224"/>
      <c r="Z24" s="244"/>
      <c r="AA24" s="287">
        <v>1</v>
      </c>
      <c r="AB24" s="287">
        <v>1</v>
      </c>
      <c r="AC24" s="287">
        <v>1</v>
      </c>
    </row>
    <row r="25" ht="15" spans="1:29">
      <c r="A25" s="70"/>
      <c r="B25" s="67" t="s">
        <v>1521</v>
      </c>
      <c r="C25" s="104"/>
      <c r="D25" s="79">
        <v>100</v>
      </c>
      <c r="E25" s="104"/>
      <c r="F25" s="1417">
        <f>SUMIF(86:86,E25,87:87)-SUMIF(86:86,C25,87:87)+100</f>
        <v>100</v>
      </c>
      <c r="G25" s="104"/>
      <c r="H25" s="79">
        <f>SUMIF(86:86,G25,87:87)-SUMIF(86:86,C25,87:87)+100</f>
        <v>100</v>
      </c>
      <c r="I25" s="104"/>
      <c r="J25" s="79">
        <f>SUMIF(86:86,I25,87:87)-SUMIF(86:86,C25,87:87)+100</f>
        <v>100</v>
      </c>
      <c r="K25" s="228"/>
      <c r="L25" s="221"/>
      <c r="M25" s="205"/>
      <c r="N25" s="205"/>
      <c r="O25" s="205"/>
      <c r="P25" s="1588"/>
      <c r="Q25" s="169" t="str">
        <f t="shared" ref="Q25:Q46" si="11">B25</f>
        <v>临街状况</v>
      </c>
      <c r="R25" s="271" t="s">
        <v>1440</v>
      </c>
      <c r="S25" s="272">
        <f>F25</f>
        <v>100</v>
      </c>
      <c r="T25" s="271" t="s">
        <v>1440</v>
      </c>
      <c r="U25" s="272">
        <f>H25</f>
        <v>100</v>
      </c>
      <c r="V25" s="271" t="s">
        <v>1440</v>
      </c>
      <c r="W25" s="272">
        <f>J25</f>
        <v>100</v>
      </c>
      <c r="X25" s="258"/>
      <c r="Y25" s="224"/>
      <c r="Z25" s="244" t="str">
        <f>Q25</f>
        <v>临街状况</v>
      </c>
      <c r="AA25" s="287">
        <f t="shared" si="3"/>
        <v>1</v>
      </c>
      <c r="AB25" s="287">
        <f t="shared" si="4"/>
        <v>1</v>
      </c>
      <c r="AC25" s="287">
        <f t="shared" si="5"/>
        <v>1</v>
      </c>
    </row>
    <row r="26" ht="15" spans="1:29">
      <c r="A26" s="70"/>
      <c r="B26" s="1368" t="s">
        <v>1522</v>
      </c>
      <c r="C26" s="78"/>
      <c r="D26" s="79">
        <v>100</v>
      </c>
      <c r="E26" s="78"/>
      <c r="F26" s="1417">
        <f>SUMIF(88:88,E26,89:89)-SUMIF(88:88,C26,89:89)+100</f>
        <v>100</v>
      </c>
      <c r="G26" s="78"/>
      <c r="H26" s="79">
        <f>SUMIF(88:88,G26,89:89)-SUMIF(88:88,C26,89:89)+100</f>
        <v>100</v>
      </c>
      <c r="I26" s="78"/>
      <c r="J26" s="79">
        <f>SUMIF(88:88,I26,89:89)-SUMIF(88:88,C26,89:89)+100</f>
        <v>100</v>
      </c>
      <c r="K26" s="227"/>
      <c r="L26" s="221"/>
      <c r="M26" s="205"/>
      <c r="N26" s="205"/>
      <c r="O26" s="205"/>
      <c r="P26" s="1588"/>
      <c r="Q26" s="169" t="str">
        <f t="shared" si="11"/>
        <v>平面位置/可视性</v>
      </c>
      <c r="R26" s="271" t="s">
        <v>1440</v>
      </c>
      <c r="S26" s="272">
        <f>F26</f>
        <v>100</v>
      </c>
      <c r="T26" s="271" t="s">
        <v>1440</v>
      </c>
      <c r="U26" s="272">
        <f>H26</f>
        <v>100</v>
      </c>
      <c r="V26" s="271" t="s">
        <v>1440</v>
      </c>
      <c r="W26" s="272">
        <f>J26</f>
        <v>100</v>
      </c>
      <c r="X26" s="258"/>
      <c r="Y26" s="224"/>
      <c r="Z26" s="244" t="str">
        <f>Q26</f>
        <v>平面位置/可视性</v>
      </c>
      <c r="AA26" s="287">
        <f t="shared" si="3"/>
        <v>1</v>
      </c>
      <c r="AB26" s="287">
        <f t="shared" si="4"/>
        <v>1</v>
      </c>
      <c r="AC26" s="287">
        <f t="shared" si="5"/>
        <v>1</v>
      </c>
    </row>
    <row r="27" s="15" customFormat="1" ht="15" spans="1:29">
      <c r="A27" s="73"/>
      <c r="B27" s="1362" t="s">
        <v>1523</v>
      </c>
      <c r="C27" s="1580"/>
      <c r="D27" s="1530">
        <v>100</v>
      </c>
      <c r="E27" s="1580"/>
      <c r="F27" s="1531">
        <f>SUMIF(90:90,E27,91:91)-SUMIF(90:90,C27,91:91)+100</f>
        <v>100</v>
      </c>
      <c r="G27" s="1580"/>
      <c r="H27" s="1530">
        <f>SUMIF(90:90,G27,91:91)-SUMIF(90:90,C27,91:91)+100</f>
        <v>100</v>
      </c>
      <c r="I27" s="1580"/>
      <c r="J27" s="1530">
        <f>SUMIF(90:90,I27,91:91)-SUMIF(90:90,C27,91:91)+100</f>
        <v>100</v>
      </c>
      <c r="K27" s="228"/>
      <c r="L27" s="210"/>
      <c r="M27" s="211"/>
      <c r="N27" s="211"/>
      <c r="O27" s="211"/>
      <c r="P27" s="1588"/>
      <c r="Q27" s="270" t="str">
        <f t="shared" si="11"/>
        <v>人流量</v>
      </c>
      <c r="R27" s="266" t="s">
        <v>1440</v>
      </c>
      <c r="S27" s="267">
        <f>F27</f>
        <v>100</v>
      </c>
      <c r="T27" s="266" t="s">
        <v>1440</v>
      </c>
      <c r="U27" s="267">
        <f>H27</f>
        <v>100</v>
      </c>
      <c r="V27" s="266" t="s">
        <v>1440</v>
      </c>
      <c r="W27" s="267">
        <f>J27</f>
        <v>100</v>
      </c>
      <c r="X27" s="268"/>
      <c r="Y27" s="224"/>
      <c r="Z27" s="286" t="str">
        <f>Q27</f>
        <v>人流量</v>
      </c>
      <c r="AA27" s="287">
        <f t="shared" si="3"/>
        <v>1</v>
      </c>
      <c r="AB27" s="287">
        <f t="shared" si="4"/>
        <v>1</v>
      </c>
      <c r="AC27" s="287">
        <f t="shared" si="5"/>
        <v>1</v>
      </c>
    </row>
    <row r="28" ht="15" spans="1:29">
      <c r="A28" s="70"/>
      <c r="B28" s="67" t="s">
        <v>1524</v>
      </c>
      <c r="C28" s="104"/>
      <c r="D28" s="79">
        <v>100</v>
      </c>
      <c r="E28" s="104"/>
      <c r="F28" s="1417">
        <f>SUMIF(92:92,E28,93:93)-SUMIF(92:92,C28,93:93)+100</f>
        <v>100</v>
      </c>
      <c r="G28" s="104"/>
      <c r="H28" s="79">
        <f>SUMIF(92:92,G28,93:93)-SUMIF(92:92,C28,93:93)+100</f>
        <v>100</v>
      </c>
      <c r="I28" s="104"/>
      <c r="J28" s="79">
        <f>SUMIF(92:92,I28,93:93)-SUMIF(92:92,C28,93:93)+100</f>
        <v>100</v>
      </c>
      <c r="K28" s="227"/>
      <c r="L28" s="221"/>
      <c r="M28" s="205"/>
      <c r="N28" s="205"/>
      <c r="O28" s="205"/>
      <c r="P28" s="1588"/>
      <c r="Q28" s="169" t="str">
        <f t="shared" si="11"/>
        <v>楼层</v>
      </c>
      <c r="R28" s="271" t="s">
        <v>1440</v>
      </c>
      <c r="S28" s="272">
        <f t="shared" ref="S28:S46" si="12">F28</f>
        <v>100</v>
      </c>
      <c r="T28" s="271" t="s">
        <v>1440</v>
      </c>
      <c r="U28" s="272">
        <f t="shared" ref="U28:U46" si="13">H28</f>
        <v>100</v>
      </c>
      <c r="V28" s="271" t="s">
        <v>1440</v>
      </c>
      <c r="W28" s="272">
        <f t="shared" ref="W28:W46" si="14">J28</f>
        <v>100</v>
      </c>
      <c r="X28" s="258"/>
      <c r="Y28" s="224"/>
      <c r="Z28" s="244" t="str">
        <f t="shared" ref="Z28:Z46" si="15">Q28</f>
        <v>楼层</v>
      </c>
      <c r="AA28" s="287">
        <f t="shared" si="3"/>
        <v>1</v>
      </c>
      <c r="AB28" s="287">
        <f t="shared" si="4"/>
        <v>1</v>
      </c>
      <c r="AC28" s="287">
        <f t="shared" si="5"/>
        <v>1</v>
      </c>
    </row>
    <row r="29" ht="15" spans="1:29">
      <c r="A29" s="70"/>
      <c r="B29" s="1368">
        <v>111</v>
      </c>
      <c r="C29" s="78"/>
      <c r="D29" s="79">
        <v>100</v>
      </c>
      <c r="E29" s="78"/>
      <c r="F29" s="1417">
        <f>SUMIF(94:94,E29,95:95)-SUMIF(94:94,C29,95:95)+100</f>
        <v>100</v>
      </c>
      <c r="G29" s="78"/>
      <c r="H29" s="79">
        <f>SUMIF(94:94,G29,95:95)-SUMIF(94:94,C29,95:95)+100</f>
        <v>100</v>
      </c>
      <c r="I29" s="78"/>
      <c r="J29" s="79">
        <f>SUMIF(94:94,I29,95:95)-SUMIF(94:94,C29,95:95)+100</f>
        <v>100</v>
      </c>
      <c r="K29" s="227"/>
      <c r="L29" s="221"/>
      <c r="M29" s="205"/>
      <c r="N29" s="205"/>
      <c r="O29" s="205"/>
      <c r="P29" s="1588"/>
      <c r="Q29" s="169">
        <f t="shared" si="11"/>
        <v>111</v>
      </c>
      <c r="R29" s="271" t="s">
        <v>1440</v>
      </c>
      <c r="S29" s="272">
        <f t="shared" si="12"/>
        <v>100</v>
      </c>
      <c r="T29" s="271" t="s">
        <v>1440</v>
      </c>
      <c r="U29" s="272">
        <f t="shared" si="13"/>
        <v>100</v>
      </c>
      <c r="V29" s="271" t="s">
        <v>1440</v>
      </c>
      <c r="W29" s="272">
        <f t="shared" si="14"/>
        <v>100</v>
      </c>
      <c r="X29" s="258"/>
      <c r="Y29" s="224"/>
      <c r="Z29" s="244">
        <f t="shared" si="15"/>
        <v>111</v>
      </c>
      <c r="AA29" s="287">
        <f t="shared" si="3"/>
        <v>1</v>
      </c>
      <c r="AB29" s="287">
        <f t="shared" si="4"/>
        <v>1</v>
      </c>
      <c r="AC29" s="287">
        <f t="shared" si="5"/>
        <v>1</v>
      </c>
    </row>
    <row r="30" ht="15" spans="1:29">
      <c r="A30" s="70"/>
      <c r="B30" s="1368">
        <v>111</v>
      </c>
      <c r="C30" s="78"/>
      <c r="D30" s="79">
        <v>100</v>
      </c>
      <c r="E30" s="78"/>
      <c r="F30" s="1417">
        <f>SUMIF(96:96,E30,97:97)-SUMIF(96:96,C30,97:97)+100</f>
        <v>100</v>
      </c>
      <c r="G30" s="78"/>
      <c r="H30" s="79">
        <f>SUMIF(96:96,G30,97:97)-SUMIF(96:96,C30,97:97)+100</f>
        <v>100</v>
      </c>
      <c r="I30" s="78"/>
      <c r="J30" s="79">
        <f>SUMIF(96:96,I30,97:97)-SUMIF(96:96,C30,97:97)+100</f>
        <v>100</v>
      </c>
      <c r="K30" s="227"/>
      <c r="L30" s="221"/>
      <c r="M30" s="205"/>
      <c r="N30" s="205"/>
      <c r="O30" s="205"/>
      <c r="P30" s="1588"/>
      <c r="Q30" s="169">
        <f t="shared" si="11"/>
        <v>111</v>
      </c>
      <c r="R30" s="271" t="s">
        <v>1440</v>
      </c>
      <c r="S30" s="272">
        <f t="shared" si="12"/>
        <v>100</v>
      </c>
      <c r="T30" s="271" t="s">
        <v>1440</v>
      </c>
      <c r="U30" s="272">
        <f t="shared" si="13"/>
        <v>100</v>
      </c>
      <c r="V30" s="271" t="s">
        <v>1440</v>
      </c>
      <c r="W30" s="272">
        <f t="shared" si="14"/>
        <v>100</v>
      </c>
      <c r="X30" s="258"/>
      <c r="Y30" s="224"/>
      <c r="Z30" s="244">
        <f t="shared" si="15"/>
        <v>111</v>
      </c>
      <c r="AA30" s="287">
        <f t="shared" si="3"/>
        <v>1</v>
      </c>
      <c r="AB30" s="287">
        <f t="shared" si="4"/>
        <v>1</v>
      </c>
      <c r="AC30" s="287">
        <f t="shared" si="5"/>
        <v>1</v>
      </c>
    </row>
    <row r="31" ht="15.75" spans="1:29">
      <c r="A31" s="80"/>
      <c r="B31" s="1368">
        <v>111</v>
      </c>
      <c r="C31" s="82"/>
      <c r="D31" s="83">
        <v>100</v>
      </c>
      <c r="E31" s="78"/>
      <c r="F31" s="1430">
        <f>SUMIF(98:98,E31,99:99)-SUMIF(98:98,C31,99:99)+100</f>
        <v>100</v>
      </c>
      <c r="G31" s="78"/>
      <c r="H31" s="83">
        <f>SUMIF(98:98,G31,99:99)-SUMIF(98:98,C31,99:99)+100</f>
        <v>100</v>
      </c>
      <c r="I31" s="78"/>
      <c r="J31" s="83">
        <f>SUMIF(98:98,I31,99:99)-SUMIF(98:98,C31,99:99)+100</f>
        <v>100</v>
      </c>
      <c r="K31" s="227"/>
      <c r="L31" s="221"/>
      <c r="M31" s="205"/>
      <c r="N31" s="205"/>
      <c r="O31" s="205"/>
      <c r="P31" s="1588"/>
      <c r="Q31" s="169">
        <f t="shared" si="11"/>
        <v>111</v>
      </c>
      <c r="R31" s="271" t="s">
        <v>1440</v>
      </c>
      <c r="S31" s="272">
        <f t="shared" si="12"/>
        <v>100</v>
      </c>
      <c r="T31" s="271" t="s">
        <v>1440</v>
      </c>
      <c r="U31" s="272">
        <f t="shared" si="13"/>
        <v>100</v>
      </c>
      <c r="V31" s="271" t="s">
        <v>1440</v>
      </c>
      <c r="W31" s="272">
        <f t="shared" si="14"/>
        <v>100</v>
      </c>
      <c r="X31" s="258"/>
      <c r="Y31" s="224"/>
      <c r="Z31" s="244">
        <f t="shared" si="15"/>
        <v>111</v>
      </c>
      <c r="AA31" s="287">
        <f t="shared" si="3"/>
        <v>1</v>
      </c>
      <c r="AB31" s="287">
        <f t="shared" si="4"/>
        <v>1</v>
      </c>
      <c r="AC31" s="287">
        <f t="shared" si="5"/>
        <v>1</v>
      </c>
    </row>
    <row r="32" ht="15" spans="1:29">
      <c r="A32" s="84" t="s">
        <v>1459</v>
      </c>
      <c r="B32" s="63" t="s">
        <v>1525</v>
      </c>
      <c r="C32" s="1612"/>
      <c r="D32" s="120">
        <v>100</v>
      </c>
      <c r="E32" s="1612"/>
      <c r="F32" s="1417">
        <f>SUMIF(100:100,E32,101:101)-SUMIF(100:100,C32,101:101)+100</f>
        <v>100</v>
      </c>
      <c r="G32" s="1612"/>
      <c r="H32" s="79">
        <f>SUMIF(100:100,G32,101:101)-SUMIF(100:100,C32,101:101)+100</f>
        <v>100</v>
      </c>
      <c r="I32" s="1612"/>
      <c r="J32" s="120">
        <f>SUMIF(100:100,I32,101:101)-SUMIF(100:100,C32,101:101)+100</f>
        <v>100</v>
      </c>
      <c r="K32" s="228"/>
      <c r="L32" s="221"/>
      <c r="M32" s="205"/>
      <c r="N32" s="205"/>
      <c r="O32" s="205"/>
      <c r="P32" s="1589" t="s">
        <v>1461</v>
      </c>
      <c r="Q32" s="169" t="str">
        <f t="shared" si="11"/>
        <v>商业类型</v>
      </c>
      <c r="R32" s="271" t="s">
        <v>1440</v>
      </c>
      <c r="S32" s="272">
        <f t="shared" si="12"/>
        <v>100</v>
      </c>
      <c r="T32" s="271" t="s">
        <v>1440</v>
      </c>
      <c r="U32" s="272">
        <f t="shared" si="13"/>
        <v>100</v>
      </c>
      <c r="V32" s="271" t="s">
        <v>1440</v>
      </c>
      <c r="W32" s="272">
        <f t="shared" si="14"/>
        <v>100</v>
      </c>
      <c r="X32" s="258"/>
      <c r="Y32" s="232" t="s">
        <v>1461</v>
      </c>
      <c r="Z32" s="244" t="str">
        <f t="shared" si="15"/>
        <v>商业类型</v>
      </c>
      <c r="AA32" s="287">
        <f t="shared" si="3"/>
        <v>1</v>
      </c>
      <c r="AB32" s="287">
        <f t="shared" si="4"/>
        <v>1</v>
      </c>
      <c r="AC32" s="287">
        <f t="shared" si="5"/>
        <v>1</v>
      </c>
    </row>
    <row r="33" s="17" customFormat="1" ht="15" spans="1:29">
      <c r="A33" s="126"/>
      <c r="B33" s="67" t="s">
        <v>1462</v>
      </c>
      <c r="C33" s="1411"/>
      <c r="D33" s="69">
        <v>100</v>
      </c>
      <c r="E33" s="72"/>
      <c r="F33" s="1410" t="e">
        <f>LOOKUP(E33,103:103,104:104)-LOOKUP(C33,103:103,104:104)+100</f>
        <v>#N/A</v>
      </c>
      <c r="G33" s="71"/>
      <c r="H33" s="69" t="e">
        <f>LOOKUP(G33,103:103,104:104)-LOOKUP(C33,103:103,104:104)+100</f>
        <v>#N/A</v>
      </c>
      <c r="I33" s="71"/>
      <c r="J33" s="69" t="e">
        <f>LOOKUP(I33,103:103,104:104)-LOOKUP(C33,103:103,104:104)+100</f>
        <v>#N/A</v>
      </c>
      <c r="K33" s="227"/>
      <c r="L33" s="219"/>
      <c r="M33" s="230"/>
      <c r="N33" s="230"/>
      <c r="O33" s="230"/>
      <c r="P33" s="1590"/>
      <c r="Q33" s="1456" t="str">
        <f t="shared" si="11"/>
        <v>项目建筑规模</v>
      </c>
      <c r="R33" s="273" t="s">
        <v>1440</v>
      </c>
      <c r="S33" s="274" t="e">
        <f t="shared" si="12"/>
        <v>#N/A</v>
      </c>
      <c r="T33" s="273" t="s">
        <v>1440</v>
      </c>
      <c r="U33" s="274" t="e">
        <f t="shared" si="13"/>
        <v>#N/A</v>
      </c>
      <c r="V33" s="273" t="s">
        <v>1440</v>
      </c>
      <c r="W33" s="274" t="e">
        <f t="shared" si="14"/>
        <v>#N/A</v>
      </c>
      <c r="X33" s="275"/>
      <c r="Y33" s="232"/>
      <c r="Z33" s="288" t="str">
        <f t="shared" si="15"/>
        <v>项目建筑规模</v>
      </c>
      <c r="AA33" s="287" t="e">
        <f t="shared" si="3"/>
        <v>#N/A</v>
      </c>
      <c r="AB33" s="287" t="e">
        <f t="shared" si="4"/>
        <v>#N/A</v>
      </c>
      <c r="AC33" s="287" t="e">
        <f t="shared" si="5"/>
        <v>#N/A</v>
      </c>
    </row>
    <row r="34" ht="15" spans="1:29">
      <c r="A34" s="121"/>
      <c r="B34" s="67" t="s">
        <v>1463</v>
      </c>
      <c r="C34" s="1613"/>
      <c r="D34" s="79">
        <v>100</v>
      </c>
      <c r="E34" s="1613"/>
      <c r="F34" s="1417">
        <f>SUMIF(105:105,E34,106:106)-SUMIF(105:105,C34,106:106)+100</f>
        <v>100</v>
      </c>
      <c r="G34" s="1613"/>
      <c r="H34" s="79">
        <f>SUMIF(105:105,G34,106:106)-SUMIF(105:105,C34,106:106)+100</f>
        <v>100</v>
      </c>
      <c r="I34" s="1613"/>
      <c r="J34" s="79">
        <f>SUMIF(105:105,I34,106:106)-SUMIF(105:105,C34,106:106)+100</f>
        <v>100</v>
      </c>
      <c r="K34" s="228"/>
      <c r="L34" s="221"/>
      <c r="M34" s="205"/>
      <c r="N34" s="205"/>
      <c r="O34" s="205"/>
      <c r="P34" s="1590"/>
      <c r="Q34" s="169" t="str">
        <f t="shared" si="11"/>
        <v>建筑结构</v>
      </c>
      <c r="R34" s="271" t="s">
        <v>1440</v>
      </c>
      <c r="S34" s="272">
        <f t="shared" si="12"/>
        <v>100</v>
      </c>
      <c r="T34" s="271" t="s">
        <v>1440</v>
      </c>
      <c r="U34" s="272">
        <f t="shared" si="13"/>
        <v>100</v>
      </c>
      <c r="V34" s="271" t="s">
        <v>1440</v>
      </c>
      <c r="W34" s="272">
        <f t="shared" si="14"/>
        <v>100</v>
      </c>
      <c r="X34" s="258"/>
      <c r="Y34" s="232"/>
      <c r="Z34" s="244" t="str">
        <f t="shared" si="15"/>
        <v>建筑结构</v>
      </c>
      <c r="AA34" s="287">
        <f t="shared" si="3"/>
        <v>1</v>
      </c>
      <c r="AB34" s="287">
        <f t="shared" si="4"/>
        <v>1</v>
      </c>
      <c r="AC34" s="287">
        <f t="shared" si="5"/>
        <v>1</v>
      </c>
    </row>
    <row r="35" ht="15" spans="1:29">
      <c r="A35" s="121"/>
      <c r="B35" s="67" t="s">
        <v>1465</v>
      </c>
      <c r="C35" s="122"/>
      <c r="D35" s="79">
        <v>100</v>
      </c>
      <c r="E35" s="122"/>
      <c r="F35" s="1417">
        <f>SUMIF(107:107,E35,108:108)-SUMIF(107:107,C35,108:108)+100</f>
        <v>100</v>
      </c>
      <c r="G35" s="122"/>
      <c r="H35" s="79">
        <f>SUMIF(107:107,G35,108:108)-SUMIF(107:107,C35,108:108)+100</f>
        <v>100</v>
      </c>
      <c r="I35" s="122"/>
      <c r="J35" s="79">
        <f>SUMIF(107:107,I35,108:108)-SUMIF(107:107,C35,108:108)+100</f>
        <v>100</v>
      </c>
      <c r="K35" s="228"/>
      <c r="L35" s="221"/>
      <c r="M35" s="205"/>
      <c r="N35" s="205"/>
      <c r="O35" s="205"/>
      <c r="P35" s="1590"/>
      <c r="Q35" s="169" t="str">
        <f t="shared" si="11"/>
        <v>公共部分装修</v>
      </c>
      <c r="R35" s="271" t="s">
        <v>1440</v>
      </c>
      <c r="S35" s="272">
        <f t="shared" si="12"/>
        <v>100</v>
      </c>
      <c r="T35" s="271" t="s">
        <v>1440</v>
      </c>
      <c r="U35" s="272">
        <f t="shared" si="13"/>
        <v>100</v>
      </c>
      <c r="V35" s="271" t="s">
        <v>1440</v>
      </c>
      <c r="W35" s="272">
        <f t="shared" si="14"/>
        <v>100</v>
      </c>
      <c r="X35" s="258"/>
      <c r="Y35" s="232"/>
      <c r="Z35" s="244" t="str">
        <f t="shared" si="15"/>
        <v>公共部分装修</v>
      </c>
      <c r="AA35" s="287">
        <f t="shared" si="3"/>
        <v>1</v>
      </c>
      <c r="AB35" s="287">
        <f t="shared" si="4"/>
        <v>1</v>
      </c>
      <c r="AC35" s="287">
        <f t="shared" si="5"/>
        <v>1</v>
      </c>
    </row>
    <row r="36" ht="15" spans="1:29">
      <c r="A36" s="121"/>
      <c r="B36" s="67" t="s">
        <v>565</v>
      </c>
      <c r="C36" s="1424"/>
      <c r="D36" s="79">
        <v>100</v>
      </c>
      <c r="E36" s="1424"/>
      <c r="F36" s="1417" t="e">
        <f>LOOKUP(E36,110:110,111:111)-LOOKUP(C36,110:110,111:111)+100</f>
        <v>#N/A</v>
      </c>
      <c r="G36" s="1424"/>
      <c r="H36" s="1417" t="e">
        <f>LOOKUP(G36,110:110,111:111)-LOOKUP(C36,110:110,111:111)+100</f>
        <v>#N/A</v>
      </c>
      <c r="I36" s="1424"/>
      <c r="J36" s="79" t="e">
        <f>LOOKUP(I36,110:110,111:111)-LOOKUP(C36,110:110,111:111)+100</f>
        <v>#N/A</v>
      </c>
      <c r="K36" s="228"/>
      <c r="L36" s="221"/>
      <c r="M36" s="205"/>
      <c r="N36" s="205"/>
      <c r="O36" s="205"/>
      <c r="P36" s="1590"/>
      <c r="Q36" s="169" t="str">
        <f t="shared" si="11"/>
        <v>成新度</v>
      </c>
      <c r="R36" s="271" t="s">
        <v>1440</v>
      </c>
      <c r="S36" s="272" t="e">
        <f t="shared" si="12"/>
        <v>#N/A</v>
      </c>
      <c r="T36" s="271" t="s">
        <v>1440</v>
      </c>
      <c r="U36" s="272" t="e">
        <f t="shared" si="13"/>
        <v>#N/A</v>
      </c>
      <c r="V36" s="271" t="s">
        <v>1440</v>
      </c>
      <c r="W36" s="272" t="e">
        <f t="shared" si="14"/>
        <v>#N/A</v>
      </c>
      <c r="X36" s="258"/>
      <c r="Y36" s="232"/>
      <c r="Z36" s="244" t="str">
        <f t="shared" si="15"/>
        <v>成新度</v>
      </c>
      <c r="AA36" s="287" t="e">
        <f t="shared" si="3"/>
        <v>#N/A</v>
      </c>
      <c r="AB36" s="287" t="e">
        <f t="shared" si="4"/>
        <v>#N/A</v>
      </c>
      <c r="AC36" s="287" t="e">
        <f t="shared" si="5"/>
        <v>#N/A</v>
      </c>
    </row>
    <row r="37" s="15" customFormat="1" ht="15" spans="1:29">
      <c r="A37" s="123"/>
      <c r="B37" s="67" t="s">
        <v>1467</v>
      </c>
      <c r="C37" s="122"/>
      <c r="D37" s="69">
        <v>100</v>
      </c>
      <c r="E37" s="122"/>
      <c r="F37" s="1417">
        <f>SUMIF(112:112,E37,113:113)-SUMIF(112:112,C37,113:113)+100</f>
        <v>100</v>
      </c>
      <c r="G37" s="122"/>
      <c r="H37" s="79">
        <f>SUMIF(112:112,G37,113:113)-SUMIF(112:112,C37,113:113)+100</f>
        <v>100</v>
      </c>
      <c r="I37" s="122"/>
      <c r="J37" s="79">
        <f>SUMIF(112:112,I37,113:113)-SUMIF(112:112,C37,113:113)+100</f>
        <v>100</v>
      </c>
      <c r="K37" s="228"/>
      <c r="L37" s="210"/>
      <c r="M37" s="211"/>
      <c r="N37" s="211"/>
      <c r="O37" s="211"/>
      <c r="P37" s="1590"/>
      <c r="Q37" s="270" t="str">
        <f t="shared" si="11"/>
        <v>市政基础设施</v>
      </c>
      <c r="R37" s="266" t="s">
        <v>1440</v>
      </c>
      <c r="S37" s="267">
        <f t="shared" si="12"/>
        <v>100</v>
      </c>
      <c r="T37" s="266" t="s">
        <v>1440</v>
      </c>
      <c r="U37" s="267">
        <f t="shared" si="13"/>
        <v>100</v>
      </c>
      <c r="V37" s="266" t="s">
        <v>1440</v>
      </c>
      <c r="W37" s="267">
        <f t="shared" si="14"/>
        <v>100</v>
      </c>
      <c r="X37" s="268"/>
      <c r="Y37" s="232"/>
      <c r="Z37" s="286" t="str">
        <f t="shared" si="15"/>
        <v>市政基础设施</v>
      </c>
      <c r="AA37" s="285">
        <f t="shared" si="3"/>
        <v>1</v>
      </c>
      <c r="AB37" s="285">
        <f t="shared" si="4"/>
        <v>1</v>
      </c>
      <c r="AC37" s="285">
        <f t="shared" si="5"/>
        <v>1</v>
      </c>
    </row>
    <row r="38" ht="15" spans="1:29">
      <c r="A38" s="121"/>
      <c r="B38" s="67" t="s">
        <v>1526</v>
      </c>
      <c r="C38" s="122"/>
      <c r="D38" s="79">
        <v>100</v>
      </c>
      <c r="E38" s="122"/>
      <c r="F38" s="1417">
        <f>SUMIF(114:114,E38,115:115)-SUMIF(114:114,C38,115:115)+100</f>
        <v>100</v>
      </c>
      <c r="G38" s="122"/>
      <c r="H38" s="79">
        <f>SUMIF(114:114,G38,115:115)-SUMIF(114:114,C38,115:115)+100</f>
        <v>100</v>
      </c>
      <c r="I38" s="122"/>
      <c r="J38" s="79">
        <f>SUMIF(114:114,I38,115:115)-SUMIF(114:114,C38,115:115)+100</f>
        <v>100</v>
      </c>
      <c r="K38" s="228"/>
      <c r="L38" s="221"/>
      <c r="M38" s="205"/>
      <c r="N38" s="205"/>
      <c r="O38" s="205"/>
      <c r="P38" s="1590" t="s">
        <v>1461</v>
      </c>
      <c r="Q38" s="169" t="str">
        <f t="shared" si="11"/>
        <v>业态</v>
      </c>
      <c r="R38" s="271" t="s">
        <v>1440</v>
      </c>
      <c r="S38" s="272">
        <f t="shared" si="12"/>
        <v>100</v>
      </c>
      <c r="T38" s="271" t="s">
        <v>1440</v>
      </c>
      <c r="U38" s="272">
        <f t="shared" si="13"/>
        <v>100</v>
      </c>
      <c r="V38" s="271" t="s">
        <v>1440</v>
      </c>
      <c r="W38" s="272">
        <f t="shared" si="14"/>
        <v>100</v>
      </c>
      <c r="X38" s="258"/>
      <c r="Y38" s="232" t="s">
        <v>1461</v>
      </c>
      <c r="Z38" s="244" t="str">
        <f t="shared" si="15"/>
        <v>业态</v>
      </c>
      <c r="AA38" s="287">
        <f t="shared" si="3"/>
        <v>1</v>
      </c>
      <c r="AB38" s="287">
        <f t="shared" si="4"/>
        <v>1</v>
      </c>
      <c r="AC38" s="287">
        <f t="shared" si="5"/>
        <v>1</v>
      </c>
    </row>
    <row r="39" ht="15" spans="1:29">
      <c r="A39" s="121"/>
      <c r="B39" s="67" t="s">
        <v>1527</v>
      </c>
      <c r="C39" s="122"/>
      <c r="D39" s="79">
        <v>100</v>
      </c>
      <c r="E39" s="122"/>
      <c r="F39" s="1417">
        <f>SUMIF(116:116,E39,117:117)-SUMIF(116:116,C39,117:117)+100</f>
        <v>100</v>
      </c>
      <c r="G39" s="122"/>
      <c r="H39" s="79">
        <f>SUMIF(116:116,G39,117:117)-SUMIF(116:116,C39,117:117)+100</f>
        <v>100</v>
      </c>
      <c r="I39" s="122"/>
      <c r="J39" s="79">
        <f>SUMIF(116:116,I39,117:117)-SUMIF(116:116,C39,117:117)+100</f>
        <v>100</v>
      </c>
      <c r="K39" s="228"/>
      <c r="L39" s="221"/>
      <c r="M39" s="205"/>
      <c r="N39" s="205"/>
      <c r="O39" s="205"/>
      <c r="P39" s="1590"/>
      <c r="Q39" s="169" t="str">
        <f t="shared" si="11"/>
        <v>层高</v>
      </c>
      <c r="R39" s="271" t="s">
        <v>1440</v>
      </c>
      <c r="S39" s="272">
        <f t="shared" si="12"/>
        <v>100</v>
      </c>
      <c r="T39" s="271" t="s">
        <v>1440</v>
      </c>
      <c r="U39" s="272">
        <f t="shared" si="13"/>
        <v>100</v>
      </c>
      <c r="V39" s="271" t="s">
        <v>1440</v>
      </c>
      <c r="W39" s="272">
        <f t="shared" si="14"/>
        <v>100</v>
      </c>
      <c r="X39" s="258"/>
      <c r="Y39" s="232"/>
      <c r="Z39" s="244" t="str">
        <f t="shared" si="15"/>
        <v>层高</v>
      </c>
      <c r="AA39" s="287">
        <f t="shared" si="3"/>
        <v>1</v>
      </c>
      <c r="AB39" s="287">
        <f t="shared" si="4"/>
        <v>1</v>
      </c>
      <c r="AC39" s="287">
        <f t="shared" si="5"/>
        <v>1</v>
      </c>
    </row>
    <row r="40" ht="15" spans="1:29">
      <c r="A40" s="121"/>
      <c r="B40" s="67" t="s">
        <v>1528</v>
      </c>
      <c r="C40" s="1614"/>
      <c r="D40" s="79">
        <v>100</v>
      </c>
      <c r="E40" s="1615"/>
      <c r="F40" s="1417">
        <f>SUMIF(118:118,E40,119:119)-SUMIF(118:118,C40,119:119)+100</f>
        <v>100</v>
      </c>
      <c r="G40" s="1615"/>
      <c r="H40" s="79">
        <f>SUMIF(118:118,G40,119:119)-SUMIF(118:118,C40,119:119)+100</f>
        <v>100</v>
      </c>
      <c r="I40" s="1615"/>
      <c r="J40" s="79">
        <f>SUMIF(118:118,I40,119:119)-SUMIF(118:118,C40,119:119)+100</f>
        <v>100</v>
      </c>
      <c r="K40" s="227"/>
      <c r="L40" s="221"/>
      <c r="M40" s="205"/>
      <c r="N40" s="205"/>
      <c r="O40" s="205"/>
      <c r="P40" s="1590"/>
      <c r="Q40" s="169" t="str">
        <f t="shared" si="11"/>
        <v>单套建筑面积</v>
      </c>
      <c r="R40" s="271" t="s">
        <v>1440</v>
      </c>
      <c r="S40" s="272">
        <f t="shared" si="12"/>
        <v>100</v>
      </c>
      <c r="T40" s="271" t="s">
        <v>1440</v>
      </c>
      <c r="U40" s="272">
        <f t="shared" si="13"/>
        <v>100</v>
      </c>
      <c r="V40" s="271" t="s">
        <v>1440</v>
      </c>
      <c r="W40" s="272">
        <f t="shared" si="14"/>
        <v>100</v>
      </c>
      <c r="X40" s="258"/>
      <c r="Y40" s="232"/>
      <c r="Z40" s="244" t="str">
        <f t="shared" si="15"/>
        <v>单套建筑面积</v>
      </c>
      <c r="AA40" s="287">
        <f t="shared" si="3"/>
        <v>1</v>
      </c>
      <c r="AB40" s="287">
        <f t="shared" si="4"/>
        <v>1</v>
      </c>
      <c r="AC40" s="287">
        <f t="shared" si="5"/>
        <v>1</v>
      </c>
    </row>
    <row r="41" s="17" customFormat="1" ht="15" spans="1:29">
      <c r="A41" s="126"/>
      <c r="B41" s="239" t="s">
        <v>1529</v>
      </c>
      <c r="C41" s="104"/>
      <c r="D41" s="79">
        <v>100</v>
      </c>
      <c r="E41" s="104"/>
      <c r="F41" s="1417">
        <f>SUMIF(120:120,E41,121:121)-SUMIF(120:120,C41,121:121)+100</f>
        <v>100</v>
      </c>
      <c r="G41" s="104"/>
      <c r="H41" s="79">
        <f>SUMIF(120:120,G41,121:121)-SUMIF(120:120,C41,121:121)+100</f>
        <v>100</v>
      </c>
      <c r="I41" s="104"/>
      <c r="J41" s="79">
        <f>SUMIF(120:120,I41,121:121)-SUMIF(120:120,C41,121:121)+100</f>
        <v>100</v>
      </c>
      <c r="K41" s="228"/>
      <c r="L41" s="219"/>
      <c r="M41" s="230"/>
      <c r="N41" s="230"/>
      <c r="O41" s="230"/>
      <c r="P41" s="1590"/>
      <c r="Q41" s="1456" t="str">
        <f t="shared" si="11"/>
        <v>进深比</v>
      </c>
      <c r="R41" s="273" t="s">
        <v>1440</v>
      </c>
      <c r="S41" s="274">
        <f t="shared" si="12"/>
        <v>100</v>
      </c>
      <c r="T41" s="273" t="s">
        <v>1440</v>
      </c>
      <c r="U41" s="274">
        <f t="shared" si="13"/>
        <v>100</v>
      </c>
      <c r="V41" s="273" t="s">
        <v>1440</v>
      </c>
      <c r="W41" s="274">
        <f t="shared" si="14"/>
        <v>100</v>
      </c>
      <c r="X41" s="275"/>
      <c r="Y41" s="232"/>
      <c r="Z41" s="288" t="str">
        <f t="shared" si="15"/>
        <v>进深比</v>
      </c>
      <c r="AA41" s="287">
        <f t="shared" si="3"/>
        <v>1</v>
      </c>
      <c r="AB41" s="287">
        <f t="shared" si="4"/>
        <v>1</v>
      </c>
      <c r="AC41" s="287">
        <f t="shared" si="5"/>
        <v>1</v>
      </c>
    </row>
    <row r="42" ht="15" spans="1:29">
      <c r="A42" s="121"/>
      <c r="B42" s="67" t="s">
        <v>1470</v>
      </c>
      <c r="C42" s="122"/>
      <c r="D42" s="79">
        <v>100</v>
      </c>
      <c r="E42" s="122"/>
      <c r="F42" s="1417">
        <f>SUMIF(122:122,E42,123:123)-SUMIF(122:122,C42,123:123)+100</f>
        <v>100</v>
      </c>
      <c r="G42" s="122"/>
      <c r="H42" s="79">
        <f>SUMIF(122:122,G42,123:123)-SUMIF(122:122,C42,123:123)+100</f>
        <v>100</v>
      </c>
      <c r="I42" s="122"/>
      <c r="J42" s="79">
        <f>SUMIF(122:122,I42,123:123)-SUMIF(122:122,C42,123:123)+100</f>
        <v>100</v>
      </c>
      <c r="K42" s="228"/>
      <c r="L42" s="221"/>
      <c r="M42" s="205"/>
      <c r="N42" s="205"/>
      <c r="O42" s="205"/>
      <c r="P42" s="1590"/>
      <c r="Q42" s="169" t="str">
        <f t="shared" si="11"/>
        <v>内部装修</v>
      </c>
      <c r="R42" s="271" t="s">
        <v>1440</v>
      </c>
      <c r="S42" s="272">
        <f t="shared" si="12"/>
        <v>100</v>
      </c>
      <c r="T42" s="271" t="s">
        <v>1440</v>
      </c>
      <c r="U42" s="272">
        <f t="shared" si="13"/>
        <v>100</v>
      </c>
      <c r="V42" s="271" t="s">
        <v>1440</v>
      </c>
      <c r="W42" s="272">
        <f t="shared" si="14"/>
        <v>100</v>
      </c>
      <c r="X42" s="258"/>
      <c r="Y42" s="232"/>
      <c r="Z42" s="244" t="str">
        <f t="shared" si="15"/>
        <v>内部装修</v>
      </c>
      <c r="AA42" s="287">
        <f t="shared" si="3"/>
        <v>1</v>
      </c>
      <c r="AB42" s="287">
        <f t="shared" si="4"/>
        <v>1</v>
      </c>
      <c r="AC42" s="287">
        <f t="shared" si="5"/>
        <v>1</v>
      </c>
    </row>
    <row r="43" ht="28.8" spans="1:29">
      <c r="A43" s="121"/>
      <c r="B43" s="67" t="s">
        <v>1471</v>
      </c>
      <c r="C43" s="122"/>
      <c r="D43" s="79">
        <v>100</v>
      </c>
      <c r="E43" s="122"/>
      <c r="F43" s="1417">
        <f>SUMIF(124:124,E43,125:125)-SUMIF(124:124,C43,125:125)+100</f>
        <v>100</v>
      </c>
      <c r="G43" s="122"/>
      <c r="H43" s="79">
        <f>SUMIF(124:124,G43,125:125)-SUMIF(124:124,C43,125:125)+100</f>
        <v>100</v>
      </c>
      <c r="I43" s="122"/>
      <c r="J43" s="79">
        <f>SUMIF(124:124,I43,125:125)-SUMIF(124:124,C43,125:125)+100</f>
        <v>100</v>
      </c>
      <c r="K43" s="228"/>
      <c r="L43" s="221"/>
      <c r="M43" s="205"/>
      <c r="N43" s="205"/>
      <c r="O43" s="205"/>
      <c r="P43" s="1590"/>
      <c r="Q43" s="169" t="str">
        <f t="shared" si="11"/>
        <v>内部装修维护情况</v>
      </c>
      <c r="R43" s="271" t="s">
        <v>1440</v>
      </c>
      <c r="S43" s="272">
        <f t="shared" si="12"/>
        <v>100</v>
      </c>
      <c r="T43" s="271" t="s">
        <v>1440</v>
      </c>
      <c r="U43" s="272">
        <f t="shared" si="13"/>
        <v>100</v>
      </c>
      <c r="V43" s="271" t="s">
        <v>1440</v>
      </c>
      <c r="W43" s="272">
        <f t="shared" si="14"/>
        <v>100</v>
      </c>
      <c r="X43" s="258"/>
      <c r="Y43" s="232"/>
      <c r="Z43" s="244" t="str">
        <f t="shared" si="15"/>
        <v>内部装修维护情况</v>
      </c>
      <c r="AA43" s="287">
        <f t="shared" si="3"/>
        <v>1</v>
      </c>
      <c r="AB43" s="287">
        <f t="shared" si="4"/>
        <v>1</v>
      </c>
      <c r="AC43" s="287">
        <f t="shared" si="5"/>
        <v>1</v>
      </c>
    </row>
    <row r="44" s="15" customFormat="1" ht="15" spans="1:29">
      <c r="A44" s="123"/>
      <c r="B44" s="1368">
        <v>111</v>
      </c>
      <c r="C44" s="1411"/>
      <c r="D44" s="69">
        <v>100</v>
      </c>
      <c r="E44" s="78"/>
      <c r="F44" s="1410">
        <f>SUMIF(126:126,E44,127:127)-SUMIF(126:126,C44,127:127)+100</f>
        <v>100</v>
      </c>
      <c r="G44" s="78"/>
      <c r="H44" s="69">
        <f>SUMIF(126:126,G44,127:127)-SUMIF(126:126,C44,127:127)+100</f>
        <v>100</v>
      </c>
      <c r="I44" s="78"/>
      <c r="J44" s="69">
        <f>SUMIF(126:126,I44,127:127)-SUMIF(126:126,C44,127:127)+100</f>
        <v>100</v>
      </c>
      <c r="K44" s="227"/>
      <c r="L44" s="210"/>
      <c r="M44" s="211"/>
      <c r="N44" s="211"/>
      <c r="O44" s="211"/>
      <c r="P44" s="1590"/>
      <c r="Q44" s="270">
        <f t="shared" si="11"/>
        <v>111</v>
      </c>
      <c r="R44" s="266" t="s">
        <v>1440</v>
      </c>
      <c r="S44" s="267">
        <f t="shared" si="12"/>
        <v>100</v>
      </c>
      <c r="T44" s="266" t="s">
        <v>1440</v>
      </c>
      <c r="U44" s="267">
        <f t="shared" si="13"/>
        <v>100</v>
      </c>
      <c r="V44" s="266" t="s">
        <v>1440</v>
      </c>
      <c r="W44" s="267">
        <f t="shared" si="14"/>
        <v>100</v>
      </c>
      <c r="X44" s="268"/>
      <c r="Y44" s="232"/>
      <c r="Z44" s="286">
        <f t="shared" si="15"/>
        <v>111</v>
      </c>
      <c r="AA44" s="285">
        <f t="shared" si="3"/>
        <v>1</v>
      </c>
      <c r="AB44" s="285">
        <f t="shared" si="4"/>
        <v>1</v>
      </c>
      <c r="AC44" s="285">
        <f t="shared" si="5"/>
        <v>1</v>
      </c>
    </row>
    <row r="45" ht="15" spans="1:29">
      <c r="A45" s="121"/>
      <c r="B45" s="1368">
        <v>111</v>
      </c>
      <c r="C45" s="78"/>
      <c r="D45" s="79">
        <v>100</v>
      </c>
      <c r="E45" s="78"/>
      <c r="F45" s="1417">
        <f>SUMIF(128:128,E45,129:129)-SUMIF(128:128,C45,129:129)+100</f>
        <v>100</v>
      </c>
      <c r="G45" s="78"/>
      <c r="H45" s="79">
        <f>SUMIF(128:128,G45,129:129)-SUMIF(128:128,C45,129:129)+100</f>
        <v>100</v>
      </c>
      <c r="I45" s="78"/>
      <c r="J45" s="79">
        <f>SUMIF(128:128,I45,129:129)-SUMIF(128:128,C45,129:129)+100</f>
        <v>100</v>
      </c>
      <c r="K45" s="227"/>
      <c r="L45" s="221"/>
      <c r="M45" s="205"/>
      <c r="N45" s="205"/>
      <c r="O45" s="205"/>
      <c r="P45" s="1590"/>
      <c r="Q45" s="169">
        <f t="shared" si="11"/>
        <v>111</v>
      </c>
      <c r="R45" s="271" t="s">
        <v>1440</v>
      </c>
      <c r="S45" s="272">
        <f t="shared" si="12"/>
        <v>100</v>
      </c>
      <c r="T45" s="271" t="s">
        <v>1440</v>
      </c>
      <c r="U45" s="272">
        <f t="shared" si="13"/>
        <v>100</v>
      </c>
      <c r="V45" s="271" t="s">
        <v>1440</v>
      </c>
      <c r="W45" s="272">
        <f t="shared" si="14"/>
        <v>100</v>
      </c>
      <c r="X45" s="258"/>
      <c r="Y45" s="232"/>
      <c r="Z45" s="244">
        <f t="shared" si="15"/>
        <v>111</v>
      </c>
      <c r="AA45" s="287">
        <f t="shared" si="3"/>
        <v>1</v>
      </c>
      <c r="AB45" s="287">
        <f t="shared" si="4"/>
        <v>1</v>
      </c>
      <c r="AC45" s="287">
        <f t="shared" si="5"/>
        <v>1</v>
      </c>
    </row>
    <row r="46" ht="15.75" spans="1:29">
      <c r="A46" s="1429"/>
      <c r="B46" s="81">
        <v>111</v>
      </c>
      <c r="C46" s="82"/>
      <c r="D46" s="83">
        <v>100</v>
      </c>
      <c r="E46" s="78"/>
      <c r="F46" s="1430">
        <f>SUMIF(130:130,E46,131:131)-SUMIF(130:130,C46,131:131)+100</f>
        <v>100</v>
      </c>
      <c r="G46" s="78"/>
      <c r="H46" s="83">
        <f>SUMIF(130:130,G46,131:131)-SUMIF(130:130,C46,131:131)+100</f>
        <v>100</v>
      </c>
      <c r="I46" s="78"/>
      <c r="J46" s="83">
        <f>SUMIF(130:130,I46,131:131)-SUMIF(130:130,C46,131:131)+100</f>
        <v>100</v>
      </c>
      <c r="K46" s="227"/>
      <c r="L46" s="221"/>
      <c r="M46" s="205"/>
      <c r="N46" s="205"/>
      <c r="O46" s="205"/>
      <c r="P46" s="1591"/>
      <c r="Q46" s="169">
        <f t="shared" si="11"/>
        <v>111</v>
      </c>
      <c r="R46" s="271" t="s">
        <v>1440</v>
      </c>
      <c r="S46" s="272">
        <f t="shared" si="12"/>
        <v>100</v>
      </c>
      <c r="T46" s="271" t="s">
        <v>1440</v>
      </c>
      <c r="U46" s="272">
        <f t="shared" si="13"/>
        <v>100</v>
      </c>
      <c r="V46" s="271" t="s">
        <v>1440</v>
      </c>
      <c r="W46" s="272">
        <f t="shared" si="14"/>
        <v>100</v>
      </c>
      <c r="X46" s="258"/>
      <c r="Y46" s="1547"/>
      <c r="Z46" s="244">
        <f t="shared" si="15"/>
        <v>111</v>
      </c>
      <c r="AA46" s="287">
        <f t="shared" si="3"/>
        <v>1</v>
      </c>
      <c r="AB46" s="287">
        <f t="shared" si="4"/>
        <v>1</v>
      </c>
      <c r="AC46" s="287">
        <f t="shared" si="5"/>
        <v>1</v>
      </c>
    </row>
    <row r="47" ht="14.4" spans="1:29">
      <c r="A47" s="128" t="s">
        <v>1472</v>
      </c>
      <c r="B47" s="1431"/>
      <c r="C47" s="1432" t="s">
        <v>124</v>
      </c>
      <c r="D47" s="1433"/>
      <c r="E47" s="1434"/>
      <c r="F47" s="1435"/>
      <c r="G47" s="1436"/>
      <c r="H47" s="1437"/>
      <c r="I47" s="1434"/>
      <c r="J47" s="1437"/>
      <c r="K47" s="235"/>
      <c r="L47" s="236"/>
      <c r="M47" s="145"/>
      <c r="N47" s="205"/>
      <c r="O47" s="145"/>
      <c r="P47" s="169" t="str">
        <f>A47</f>
        <v>成交单价（元/平方米）</v>
      </c>
      <c r="Q47" s="169"/>
      <c r="R47" s="244">
        <f>E47</f>
        <v>0</v>
      </c>
      <c r="S47" s="244"/>
      <c r="T47" s="244">
        <f>G47</f>
        <v>0</v>
      </c>
      <c r="U47" s="244"/>
      <c r="V47" s="244">
        <f>I47</f>
        <v>0</v>
      </c>
      <c r="W47" s="244"/>
      <c r="X47" s="193"/>
      <c r="Y47" s="289"/>
      <c r="Z47" s="193"/>
      <c r="AA47" s="193"/>
      <c r="AB47" s="193"/>
      <c r="AC47" s="193"/>
    </row>
    <row r="48" ht="15.15" spans="1:29">
      <c r="A48" s="136" t="s">
        <v>1473</v>
      </c>
      <c r="B48" s="1438"/>
      <c r="C48" s="1439" t="e">
        <f>R49</f>
        <v>#DIV/0!</v>
      </c>
      <c r="D48" s="139" t="s">
        <v>1474</v>
      </c>
      <c r="E48" s="1440" t="e">
        <f>R48</f>
        <v>#DIV/0!</v>
      </c>
      <c r="F48" s="140"/>
      <c r="G48" s="1439" t="e">
        <f>T48</f>
        <v>#DIV/0!</v>
      </c>
      <c r="H48" s="140"/>
      <c r="I48" s="1440" t="e">
        <f>V48</f>
        <v>#DIV/0!</v>
      </c>
      <c r="J48" s="140"/>
      <c r="K48" s="237">
        <f>F48+H48+J48</f>
        <v>0</v>
      </c>
      <c r="L48" s="236"/>
      <c r="M48" s="145"/>
      <c r="N48" s="205"/>
      <c r="O48" s="145"/>
      <c r="P48" s="169" t="str">
        <f>A48</f>
        <v>比较价值（元/平方米）</v>
      </c>
      <c r="Q48" s="169"/>
      <c r="R48" s="287" t="e">
        <f>IF(F1="售价",ROUND(PRODUCT(R47,AA7:AA46),0),ROUND(PRODUCT(R47,AA7:AA46),1))</f>
        <v>#DIV/0!</v>
      </c>
      <c r="S48" s="287"/>
      <c r="T48" s="287" t="e">
        <f>IF(F1="售价",ROUND(PRODUCT(T47,AB7:AB46),0),ROUND(PRODUCT(T47,AB7:AB46),1))</f>
        <v>#DIV/0!</v>
      </c>
      <c r="U48" s="287"/>
      <c r="V48" s="287" t="e">
        <f>IF(F1="售价",ROUND(PRODUCT(V47,AC7:AC46),0),ROUND(PRODUCT(V47,AC7:AC46),1))</f>
        <v>#DIV/0!</v>
      </c>
      <c r="W48" s="287"/>
      <c r="X48" s="193"/>
      <c r="Y48" s="193"/>
      <c r="Z48" s="193"/>
      <c r="AA48" s="193"/>
      <c r="AB48" s="193"/>
      <c r="AC48" s="193"/>
    </row>
    <row r="49" ht="15.15" spans="1:29">
      <c r="A49" s="142" t="s">
        <v>1475</v>
      </c>
      <c r="B49" s="143"/>
      <c r="C49" s="1441" t="e">
        <f>R49</f>
        <v>#DIV/0!</v>
      </c>
      <c r="D49" s="1441"/>
      <c r="E49" s="1441"/>
      <c r="F49" s="1441"/>
      <c r="G49" s="1441"/>
      <c r="H49" s="1441"/>
      <c r="I49" s="1441"/>
      <c r="J49" s="1441"/>
      <c r="K49" s="238"/>
      <c r="L49" s="236"/>
      <c r="M49" s="145"/>
      <c r="N49" s="205"/>
      <c r="O49" s="145"/>
      <c r="P49" s="239" t="str">
        <f>A49</f>
        <v>估价对象XX用房的比较价值（楼面单价，元/平方米）</v>
      </c>
      <c r="Q49" s="277"/>
      <c r="R49" s="1563" t="e">
        <f>IF(F1="售价",ROUND(IF(D48="简单平均",AVERAGE(R48:V48),R48*F48+T48*H48+V48*J48),0),ROUND(IF(D48="简单平均",AVERAGE(R48:V48),R48*F48+T48*H48+V48*J48),1))</f>
        <v>#DIV/0!</v>
      </c>
      <c r="S49" s="1563"/>
      <c r="T49" s="1563"/>
      <c r="U49" s="1563"/>
      <c r="V49" s="1563"/>
      <c r="W49" s="1563"/>
      <c r="X49" s="193"/>
      <c r="Y49" s="193"/>
      <c r="Z49" s="193"/>
      <c r="AA49" s="193"/>
      <c r="AB49" s="193"/>
      <c r="AC49" s="193"/>
    </row>
    <row r="50" spans="1:29">
      <c r="A50" s="145"/>
      <c r="B50" s="145"/>
      <c r="C50" s="145"/>
      <c r="D50" s="145"/>
      <c r="E50" s="145"/>
      <c r="F50" s="145"/>
      <c r="G50" s="146"/>
      <c r="H50" s="145"/>
      <c r="I50" s="145"/>
      <c r="J50" s="145"/>
      <c r="K50" s="240"/>
      <c r="L50" s="241"/>
      <c r="M50" s="145"/>
      <c r="N50" s="145"/>
      <c r="O50" s="145"/>
      <c r="P50" s="1618"/>
      <c r="Q50" s="145"/>
      <c r="R50" s="145"/>
      <c r="S50" s="145"/>
      <c r="T50" s="145"/>
      <c r="U50" s="145"/>
      <c r="V50" s="145"/>
      <c r="W50" s="145"/>
      <c r="X50" s="145"/>
      <c r="Y50" s="145"/>
      <c r="Z50" s="145"/>
      <c r="AA50" s="145"/>
      <c r="AB50" s="145"/>
      <c r="AC50" s="145"/>
    </row>
    <row r="51" spans="1:29">
      <c r="A51" s="145"/>
      <c r="B51" s="145"/>
      <c r="C51" s="145"/>
      <c r="D51" s="145"/>
      <c r="E51" s="145"/>
      <c r="F51" s="145"/>
      <c r="G51" s="145"/>
      <c r="H51" s="145"/>
      <c r="I51" s="145"/>
      <c r="J51" s="145"/>
      <c r="K51" s="240"/>
      <c r="L51" s="241"/>
      <c r="M51" s="145"/>
      <c r="N51" s="145"/>
      <c r="O51" s="145"/>
      <c r="P51" s="1618"/>
      <c r="Q51" s="145"/>
      <c r="R51" s="145"/>
      <c r="S51" s="145"/>
      <c r="T51" s="145"/>
      <c r="U51" s="145"/>
      <c r="V51" s="145"/>
      <c r="W51" s="145"/>
      <c r="X51" s="145"/>
      <c r="Y51" s="145"/>
      <c r="Z51" s="145"/>
      <c r="AA51" s="145"/>
      <c r="AB51" s="145"/>
      <c r="AC51" s="145"/>
    </row>
    <row r="52" ht="13.5" customHeight="1" spans="1:29">
      <c r="A52" s="145"/>
      <c r="B52" s="145"/>
      <c r="C52" s="147" t="s">
        <v>1476</v>
      </c>
      <c r="D52" s="148"/>
      <c r="E52" s="149" t="e">
        <f>IF(E47&lt;E48,E48/E47-1,E47/E48-1)</f>
        <v>#DIV/0!</v>
      </c>
      <c r="F52" s="150" t="e">
        <f>IF(OR(E52&gt;=0.3,E52&lt;=-0.3),"超过30%","")</f>
        <v>#DIV/0!</v>
      </c>
      <c r="G52" s="149" t="e">
        <f>IF(G47&lt;G48,G48/G47-1,G47/G48-1)</f>
        <v>#DIV/0!</v>
      </c>
      <c r="H52" s="150" t="e">
        <f>IF(OR(G52&gt;=0.3,G52&lt;=-0.3),"超过30%","")</f>
        <v>#DIV/0!</v>
      </c>
      <c r="I52" s="149" t="e">
        <f>IF(I47&lt;I48,I48/I47-1,I47/I48-1)</f>
        <v>#DIV/0!</v>
      </c>
      <c r="J52" s="150" t="e">
        <f>IF(OR(I52&gt;=0.3,I52&lt;=-0.3),"超过30%","")</f>
        <v>#DIV/0!</v>
      </c>
      <c r="K52" s="240"/>
      <c r="L52" s="241"/>
      <c r="M52" s="145"/>
      <c r="N52" s="145"/>
      <c r="O52" s="145"/>
      <c r="P52" s="1618"/>
      <c r="Q52" s="145"/>
      <c r="R52" s="145"/>
      <c r="S52" s="145"/>
      <c r="T52" s="145"/>
      <c r="U52" s="145"/>
      <c r="V52" s="145"/>
      <c r="W52" s="145"/>
      <c r="X52" s="145"/>
      <c r="Y52" s="145"/>
      <c r="Z52" s="145"/>
      <c r="AA52" s="145"/>
      <c r="AB52" s="145"/>
      <c r="AC52" s="145"/>
    </row>
    <row r="53" ht="13.5" customHeight="1" spans="1:29">
      <c r="A53" s="145"/>
      <c r="B53" s="145"/>
      <c r="C53" s="147" t="s">
        <v>1477</v>
      </c>
      <c r="D53" s="151"/>
      <c r="E53" s="149" t="e">
        <f>IF(E48&lt;G48,G48/E48-1,E48/G48-1)</f>
        <v>#DIV/0!</v>
      </c>
      <c r="F53" s="150" t="e">
        <f>IF(OR(E53&gt;=0.2,E53&lt;=-0.2),"超过20%","")</f>
        <v>#DIV/0!</v>
      </c>
      <c r="G53" s="149" t="e">
        <f>IF(G48&lt;I48,I48/G48-1,G48/I48-1)</f>
        <v>#DIV/0!</v>
      </c>
      <c r="H53" s="150" t="e">
        <f>IF(OR(G53&gt;=0.2,G53&lt;=-0.2),"超过20%","")</f>
        <v>#DIV/0!</v>
      </c>
      <c r="I53" s="149" t="e">
        <f>IF(I48&lt;E48,E48/I48-1,I48/E48-1)</f>
        <v>#DIV/0!</v>
      </c>
      <c r="J53" s="150" t="e">
        <f>IF(OR(I53&gt;=0.2,I53&lt;=-0.2),"超过20%","")</f>
        <v>#DIV/0!</v>
      </c>
      <c r="K53" s="240"/>
      <c r="L53" s="241"/>
      <c r="M53" s="145"/>
      <c r="N53" s="145"/>
      <c r="O53" s="145"/>
      <c r="P53" s="1618"/>
      <c r="Q53" s="145"/>
      <c r="R53" s="145"/>
      <c r="S53" s="145"/>
      <c r="T53" s="145"/>
      <c r="U53" s="145"/>
      <c r="V53" s="145"/>
      <c r="W53" s="145"/>
      <c r="X53" s="145"/>
      <c r="Y53" s="145"/>
      <c r="Z53" s="145"/>
      <c r="AA53" s="145"/>
      <c r="AB53" s="145"/>
      <c r="AC53" s="145"/>
    </row>
    <row r="54" s="18" customFormat="1" ht="13.5" customHeight="1" spans="1:29">
      <c r="A54" s="152"/>
      <c r="B54" s="152"/>
      <c r="C54" s="147" t="s">
        <v>1478</v>
      </c>
      <c r="D54" s="151"/>
      <c r="E54" s="149" t="e">
        <f>IF(E47&lt;G47,G47/E47-1,E47/G47-1)</f>
        <v>#DIV/0!</v>
      </c>
      <c r="F54" s="150" t="e">
        <f>IF(OR(E54&gt;=0.3,E54&lt;=-0.3),"超过30%","")</f>
        <v>#DIV/0!</v>
      </c>
      <c r="G54" s="149" t="e">
        <f>IF(G47&lt;I47,I47/G47-1,G47/I47-1)</f>
        <v>#DIV/0!</v>
      </c>
      <c r="H54" s="150" t="e">
        <f>IF(OR(G54&gt;=0.3,G54&lt;=-0.3),"超过30%","")</f>
        <v>#DIV/0!</v>
      </c>
      <c r="I54" s="149" t="e">
        <f>IF(I47&lt;E47,E47/I47-1,I47/E47-1)</f>
        <v>#DIV/0!</v>
      </c>
      <c r="J54" s="150" t="e">
        <f>IF(OR(I54&gt;=0.3,I54&lt;=-0.3),"超过30%","")</f>
        <v>#DIV/0!</v>
      </c>
      <c r="K54" s="242"/>
      <c r="L54" s="243"/>
      <c r="M54" s="152"/>
      <c r="N54" s="152"/>
      <c r="O54" s="152"/>
      <c r="P54" s="1619"/>
      <c r="Q54" s="152"/>
      <c r="R54" s="152"/>
      <c r="S54" s="152"/>
      <c r="T54" s="152"/>
      <c r="U54" s="152"/>
      <c r="V54" s="152"/>
      <c r="W54" s="152"/>
      <c r="X54" s="152"/>
      <c r="Y54" s="152"/>
      <c r="Z54" s="152"/>
      <c r="AA54" s="152"/>
      <c r="AB54" s="152"/>
      <c r="AC54" s="152"/>
    </row>
    <row r="55" s="18" customFormat="1" spans="1:29">
      <c r="A55" s="152"/>
      <c r="B55" s="153"/>
      <c r="C55" s="1442"/>
      <c r="D55" s="152"/>
      <c r="E55" s="152"/>
      <c r="F55" s="152"/>
      <c r="G55" s="152"/>
      <c r="H55" s="152"/>
      <c r="I55" s="152"/>
      <c r="J55" s="152"/>
      <c r="K55" s="242"/>
      <c r="L55" s="243"/>
      <c r="M55" s="152"/>
      <c r="N55" s="152"/>
      <c r="O55" s="152"/>
      <c r="P55" s="1619"/>
      <c r="Q55" s="152"/>
      <c r="R55" s="152"/>
      <c r="S55" s="152"/>
      <c r="T55" s="152"/>
      <c r="U55" s="152"/>
      <c r="V55" s="152"/>
      <c r="W55" s="152"/>
      <c r="X55" s="152"/>
      <c r="Y55" s="152"/>
      <c r="Z55" s="152"/>
      <c r="AA55" s="152"/>
      <c r="AB55" s="152"/>
      <c r="AC55" s="152"/>
    </row>
    <row r="56" spans="1:29">
      <c r="A56" s="145"/>
      <c r="B56" s="153"/>
      <c r="C56" s="1442"/>
      <c r="D56" s="145"/>
      <c r="E56" s="145"/>
      <c r="F56" s="145"/>
      <c r="G56" s="145"/>
      <c r="H56" s="145"/>
      <c r="I56" s="145"/>
      <c r="J56" s="145"/>
      <c r="K56" s="240"/>
      <c r="L56" s="241"/>
      <c r="M56" s="145"/>
      <c r="N56" s="145"/>
      <c r="O56" s="145"/>
      <c r="P56" s="1618"/>
      <c r="Q56" s="145"/>
      <c r="R56" s="145"/>
      <c r="S56" s="145"/>
      <c r="T56" s="145"/>
      <c r="U56" s="145"/>
      <c r="V56" s="145"/>
      <c r="W56" s="145"/>
      <c r="X56" s="145"/>
      <c r="Y56" s="145"/>
      <c r="Z56" s="145"/>
      <c r="AA56" s="145"/>
      <c r="AB56" s="145"/>
      <c r="AC56" s="145"/>
    </row>
    <row r="57" ht="21.15" spans="1:29">
      <c r="A57" s="192" t="s">
        <v>1479</v>
      </c>
      <c r="B57" s="193"/>
      <c r="C57" s="194"/>
      <c r="D57" s="194"/>
      <c r="E57" s="194"/>
      <c r="F57" s="195"/>
      <c r="G57" s="195"/>
      <c r="H57" s="194"/>
      <c r="I57" s="194"/>
      <c r="J57" s="194"/>
      <c r="K57" s="251"/>
      <c r="L57" s="1387"/>
      <c r="M57" s="253"/>
      <c r="N57" s="253"/>
      <c r="O57" s="253"/>
      <c r="P57" s="1620"/>
      <c r="Q57" s="279"/>
      <c r="R57" s="145"/>
      <c r="S57" s="145"/>
      <c r="T57" s="145"/>
      <c r="U57" s="145"/>
      <c r="V57" s="145"/>
      <c r="W57" s="145"/>
      <c r="X57" s="145"/>
      <c r="Y57" s="145"/>
      <c r="Z57" s="145"/>
      <c r="AA57" s="145"/>
      <c r="AB57" s="145"/>
      <c r="AC57" s="145"/>
    </row>
    <row r="58" s="20" customFormat="1" ht="14.4" spans="1:29">
      <c r="A58" s="1443" t="s">
        <v>1438</v>
      </c>
      <c r="B58" s="1444"/>
      <c r="C58" s="1445" t="str">
        <f>YEAR(C7)&amp;"-"&amp;MONTH(C7)</f>
        <v>2022-8</v>
      </c>
      <c r="D58" s="1446">
        <f>EDATE(C58,-1)</f>
        <v>44743</v>
      </c>
      <c r="E58" s="1446">
        <f t="shared" ref="E58:O58" si="16">EDATE(D58,-1)</f>
        <v>44713</v>
      </c>
      <c r="F58" s="1446">
        <f t="shared" si="16"/>
        <v>44682</v>
      </c>
      <c r="G58" s="1446">
        <f t="shared" si="16"/>
        <v>44652</v>
      </c>
      <c r="H58" s="1446">
        <f t="shared" si="16"/>
        <v>44621</v>
      </c>
      <c r="I58" s="1446">
        <f t="shared" si="16"/>
        <v>44593</v>
      </c>
      <c r="J58" s="1446">
        <f t="shared" si="16"/>
        <v>44562</v>
      </c>
      <c r="K58" s="1446">
        <f t="shared" si="16"/>
        <v>44531</v>
      </c>
      <c r="L58" s="1446">
        <f t="shared" si="16"/>
        <v>44501</v>
      </c>
      <c r="M58" s="1446">
        <f t="shared" si="16"/>
        <v>44470</v>
      </c>
      <c r="N58" s="1446">
        <f t="shared" si="16"/>
        <v>44440</v>
      </c>
      <c r="O58" s="1446">
        <f t="shared" si="16"/>
        <v>44409</v>
      </c>
      <c r="P58" s="1621"/>
      <c r="Q58" s="401"/>
      <c r="R58" s="401"/>
      <c r="S58" s="401"/>
      <c r="T58" s="401"/>
      <c r="U58" s="401"/>
      <c r="V58" s="401"/>
      <c r="W58" s="401"/>
      <c r="X58" s="401"/>
      <c r="Y58" s="401"/>
      <c r="Z58" s="401"/>
      <c r="AA58" s="401"/>
      <c r="AB58" s="401"/>
      <c r="AC58" s="401"/>
    </row>
    <row r="59" s="15" customFormat="1" spans="1:29">
      <c r="A59" s="1447"/>
      <c r="B59" s="302"/>
      <c r="C59" s="1448">
        <v>100</v>
      </c>
      <c r="D59" s="306"/>
      <c r="E59" s="306"/>
      <c r="F59" s="306"/>
      <c r="G59" s="306"/>
      <c r="H59" s="306"/>
      <c r="I59" s="306"/>
      <c r="J59" s="306"/>
      <c r="K59" s="306"/>
      <c r="L59" s="306"/>
      <c r="M59" s="1455"/>
      <c r="N59" s="306"/>
      <c r="O59" s="1455"/>
      <c r="P59" s="1622"/>
      <c r="Q59" s="402"/>
      <c r="R59" s="402"/>
      <c r="S59" s="402"/>
      <c r="T59" s="402"/>
      <c r="U59" s="402"/>
      <c r="V59" s="402"/>
      <c r="W59" s="402"/>
      <c r="X59" s="402"/>
      <c r="Y59" s="402"/>
      <c r="Z59" s="402"/>
      <c r="AA59" s="402"/>
      <c r="AB59" s="402"/>
      <c r="AC59" s="402"/>
    </row>
    <row r="60" s="15" customFormat="1" ht="15.15" spans="1:29">
      <c r="A60" s="297" t="s">
        <v>1480</v>
      </c>
      <c r="B60" s="298"/>
      <c r="C60" s="299"/>
      <c r="D60" s="300"/>
      <c r="E60" s="300"/>
      <c r="F60" s="300"/>
      <c r="G60" s="300"/>
      <c r="H60" s="300"/>
      <c r="I60" s="300"/>
      <c r="J60" s="300"/>
      <c r="K60" s="300"/>
      <c r="L60" s="300"/>
      <c r="M60" s="348"/>
      <c r="N60" s="300"/>
      <c r="O60" s="348"/>
      <c r="P60" s="1622"/>
      <c r="Q60" s="279"/>
      <c r="R60" s="402"/>
      <c r="S60" s="402"/>
      <c r="T60" s="402"/>
      <c r="U60" s="402"/>
      <c r="V60" s="402"/>
      <c r="W60" s="402"/>
      <c r="X60" s="402"/>
      <c r="Y60" s="402"/>
      <c r="Z60" s="402"/>
      <c r="AA60" s="402"/>
      <c r="AB60" s="402"/>
      <c r="AC60" s="402"/>
    </row>
    <row r="61" s="15" customFormat="1" ht="14.4" spans="1:29">
      <c r="A61" s="301" t="s">
        <v>1441</v>
      </c>
      <c r="B61" s="302"/>
      <c r="C61" s="303" t="s">
        <v>1442</v>
      </c>
      <c r="D61" s="304"/>
      <c r="E61" s="304"/>
      <c r="F61" s="304"/>
      <c r="G61" s="304"/>
      <c r="H61" s="304"/>
      <c r="I61" s="304"/>
      <c r="J61" s="304"/>
      <c r="K61" s="304"/>
      <c r="L61" s="350"/>
      <c r="M61" s="351"/>
      <c r="N61" s="352"/>
      <c r="O61" s="352"/>
      <c r="P61" s="1623"/>
      <c r="Q61" s="279"/>
      <c r="R61" s="402"/>
      <c r="S61" s="402"/>
      <c r="T61" s="402"/>
      <c r="U61" s="402"/>
      <c r="V61" s="402"/>
      <c r="W61" s="402"/>
      <c r="X61" s="402"/>
      <c r="Y61" s="402"/>
      <c r="Z61" s="402"/>
      <c r="AA61" s="402"/>
      <c r="AB61" s="402"/>
      <c r="AC61" s="402"/>
    </row>
    <row r="62" s="15" customFormat="1" ht="14.55" spans="1:29">
      <c r="A62" s="301"/>
      <c r="B62" s="302"/>
      <c r="C62" s="1582">
        <v>100</v>
      </c>
      <c r="D62" s="306"/>
      <c r="E62" s="306"/>
      <c r="F62" s="306"/>
      <c r="G62" s="306"/>
      <c r="H62" s="306"/>
      <c r="I62" s="306"/>
      <c r="J62" s="306"/>
      <c r="K62" s="306"/>
      <c r="L62" s="306"/>
      <c r="M62" s="354"/>
      <c r="N62" s="352"/>
      <c r="O62" s="352"/>
      <c r="P62" s="1622"/>
      <c r="Q62" s="279"/>
      <c r="R62" s="402"/>
      <c r="S62" s="402"/>
      <c r="T62" s="402"/>
      <c r="U62" s="402"/>
      <c r="V62" s="402"/>
      <c r="W62" s="402"/>
      <c r="X62" s="402"/>
      <c r="Y62" s="402"/>
      <c r="Z62" s="402"/>
      <c r="AA62" s="402"/>
      <c r="AB62" s="402"/>
      <c r="AC62" s="402"/>
    </row>
    <row r="63" ht="14.4" spans="1:29">
      <c r="A63" s="307" t="s">
        <v>1481</v>
      </c>
      <c r="B63" s="308" t="s">
        <v>1445</v>
      </c>
      <c r="C63" s="330">
        <f>C9</f>
        <v>0</v>
      </c>
      <c r="D63" s="233"/>
      <c r="E63" s="233"/>
      <c r="F63" s="233"/>
      <c r="G63" s="233"/>
      <c r="H63" s="233"/>
      <c r="I63" s="233"/>
      <c r="J63" s="233"/>
      <c r="K63" s="355"/>
      <c r="L63" s="356"/>
      <c r="M63" s="357"/>
      <c r="N63" s="358"/>
      <c r="O63" s="358"/>
      <c r="P63" s="1624"/>
      <c r="Q63" s="279"/>
      <c r="R63" s="145"/>
      <c r="S63" s="145"/>
      <c r="T63" s="145"/>
      <c r="U63" s="145"/>
      <c r="V63" s="145"/>
      <c r="W63" s="145"/>
      <c r="X63" s="145"/>
      <c r="Y63" s="145"/>
      <c r="Z63" s="145"/>
      <c r="AA63" s="145"/>
      <c r="AB63" s="145"/>
      <c r="AC63" s="145"/>
    </row>
    <row r="64" ht="14.55" spans="1:29">
      <c r="A64" s="309"/>
      <c r="B64" s="310"/>
      <c r="C64" s="311">
        <v>100</v>
      </c>
      <c r="D64" s="311"/>
      <c r="E64" s="311"/>
      <c r="F64" s="311"/>
      <c r="G64" s="311"/>
      <c r="H64" s="311"/>
      <c r="I64" s="311"/>
      <c r="J64" s="311"/>
      <c r="K64" s="311"/>
      <c r="L64" s="311"/>
      <c r="M64" s="360"/>
      <c r="N64" s="361"/>
      <c r="O64" s="361"/>
      <c r="P64" s="1624"/>
      <c r="Q64" s="279"/>
      <c r="R64" s="145"/>
      <c r="S64" s="145"/>
      <c r="T64" s="145"/>
      <c r="U64" s="145"/>
      <c r="V64" s="145"/>
      <c r="W64" s="145"/>
      <c r="X64" s="145"/>
      <c r="Y64" s="145"/>
      <c r="Z64" s="145"/>
      <c r="AA64" s="145"/>
      <c r="AB64" s="145"/>
      <c r="AC64" s="145"/>
    </row>
    <row r="65" ht="29.55" spans="1:29">
      <c r="A65" s="309"/>
      <c r="B65" s="312" t="s">
        <v>1448</v>
      </c>
      <c r="C65" s="313" t="s">
        <v>1482</v>
      </c>
      <c r="D65" s="313" t="s">
        <v>1483</v>
      </c>
      <c r="E65" s="313" t="s">
        <v>1484</v>
      </c>
      <c r="F65" s="313" t="s">
        <v>1485</v>
      </c>
      <c r="G65" s="313" t="s">
        <v>1486</v>
      </c>
      <c r="H65" s="313" t="s">
        <v>1487</v>
      </c>
      <c r="I65" s="313" t="s">
        <v>1488</v>
      </c>
      <c r="J65" s="313"/>
      <c r="K65" s="362"/>
      <c r="L65" s="363"/>
      <c r="M65" s="364"/>
      <c r="N65" s="358"/>
      <c r="O65" s="358"/>
      <c r="P65" s="1624"/>
      <c r="Q65" s="279"/>
      <c r="R65" s="145"/>
      <c r="S65" s="145"/>
      <c r="T65" s="145"/>
      <c r="U65" s="145"/>
      <c r="V65" s="145"/>
      <c r="W65" s="145"/>
      <c r="X65" s="145"/>
      <c r="Y65" s="145"/>
      <c r="Z65" s="145"/>
      <c r="AA65" s="145"/>
      <c r="AB65" s="145"/>
      <c r="AC65" s="145"/>
    </row>
    <row r="66" ht="14.55" spans="1:29">
      <c r="A66" s="309"/>
      <c r="B66" s="314"/>
      <c r="C66" s="315" t="s">
        <v>1530</v>
      </c>
      <c r="D66" s="315" t="s">
        <v>1530</v>
      </c>
      <c r="E66" s="315" t="s">
        <v>1530</v>
      </c>
      <c r="F66" s="315">
        <v>100</v>
      </c>
      <c r="G66" s="315">
        <f>F66-$K10</f>
        <v>100</v>
      </c>
      <c r="H66" s="315">
        <f>G66-$K10</f>
        <v>100</v>
      </c>
      <c r="I66" s="315">
        <f>H66-$K10</f>
        <v>100</v>
      </c>
      <c r="J66" s="315"/>
      <c r="K66" s="315"/>
      <c r="L66" s="315"/>
      <c r="M66" s="365"/>
      <c r="N66" s="361"/>
      <c r="O66" s="361"/>
      <c r="P66" s="1624"/>
      <c r="Q66" s="279"/>
      <c r="R66" s="145"/>
      <c r="S66" s="145"/>
      <c r="T66" s="145"/>
      <c r="U66" s="145"/>
      <c r="V66" s="145"/>
      <c r="W66" s="145"/>
      <c r="X66" s="145"/>
      <c r="Y66" s="145"/>
      <c r="Z66" s="145"/>
      <c r="AA66" s="145"/>
      <c r="AB66" s="145"/>
      <c r="AC66" s="145"/>
    </row>
    <row r="67" ht="15.15" spans="1:29">
      <c r="A67" s="309"/>
      <c r="B67" s="316" t="s">
        <v>1449</v>
      </c>
      <c r="C67" s="317" t="str">
        <f>C68&amp;"（含）"&amp;"-"&amp;D68</f>
        <v>（含）-</v>
      </c>
      <c r="D67" s="317" t="str">
        <f t="shared" ref="D67:L67" si="17">D68&amp;"（含）"&amp;"-"&amp;E68</f>
        <v>（含）-</v>
      </c>
      <c r="E67" s="317" t="str">
        <f t="shared" si="17"/>
        <v>（含）-</v>
      </c>
      <c r="F67" s="317" t="str">
        <f t="shared" si="17"/>
        <v>（含）-</v>
      </c>
      <c r="G67" s="317" t="str">
        <f t="shared" si="17"/>
        <v>（含）-</v>
      </c>
      <c r="H67" s="317" t="str">
        <f t="shared" si="17"/>
        <v>（含）-</v>
      </c>
      <c r="I67" s="317" t="str">
        <f t="shared" si="17"/>
        <v>（含）-</v>
      </c>
      <c r="J67" s="317" t="str">
        <f t="shared" si="17"/>
        <v>（含）-</v>
      </c>
      <c r="K67" s="317" t="str">
        <f t="shared" si="17"/>
        <v>（含）-</v>
      </c>
      <c r="L67" s="317" t="str">
        <f t="shared" si="17"/>
        <v>（含）-</v>
      </c>
      <c r="M67" s="91" t="str">
        <f>M68&amp;"（含）"&amp;"-"&amp;P68</f>
        <v>（含）-</v>
      </c>
      <c r="N67" s="361"/>
      <c r="O67" s="361"/>
      <c r="P67" s="1624"/>
      <c r="Q67" s="279"/>
      <c r="R67" s="145"/>
      <c r="S67" s="145"/>
      <c r="T67" s="145"/>
      <c r="U67" s="145"/>
      <c r="V67" s="145"/>
      <c r="W67" s="145"/>
      <c r="X67" s="145"/>
      <c r="Y67" s="145"/>
      <c r="Z67" s="145"/>
      <c r="AA67" s="145"/>
      <c r="AB67" s="145"/>
      <c r="AC67" s="145"/>
    </row>
    <row r="68" spans="1:29">
      <c r="A68" s="309"/>
      <c r="B68" s="318"/>
      <c r="C68" s="76"/>
      <c r="D68" s="76"/>
      <c r="E68" s="76"/>
      <c r="F68" s="76"/>
      <c r="G68" s="76"/>
      <c r="H68" s="76"/>
      <c r="I68" s="76"/>
      <c r="J68" s="76"/>
      <c r="K68" s="366"/>
      <c r="L68" s="367"/>
      <c r="M68" s="368"/>
      <c r="N68" s="358"/>
      <c r="O68" s="358"/>
      <c r="P68" s="1624"/>
      <c r="Q68" s="279"/>
      <c r="R68" s="145"/>
      <c r="S68" s="145"/>
      <c r="T68" s="145"/>
      <c r="U68" s="145"/>
      <c r="V68" s="145"/>
      <c r="W68" s="145"/>
      <c r="X68" s="145"/>
      <c r="Y68" s="145"/>
      <c r="Z68" s="145"/>
      <c r="AA68" s="145"/>
      <c r="AB68" s="145"/>
      <c r="AC68" s="145"/>
    </row>
    <row r="69" ht="14.55" spans="1:29">
      <c r="A69" s="309"/>
      <c r="B69" s="310"/>
      <c r="C69" s="315">
        <v>100</v>
      </c>
      <c r="D69" s="315">
        <f t="shared" ref="D69:M69" si="18">C69-$K11</f>
        <v>100</v>
      </c>
      <c r="E69" s="315">
        <f t="shared" si="18"/>
        <v>100</v>
      </c>
      <c r="F69" s="315">
        <f t="shared" si="18"/>
        <v>100</v>
      </c>
      <c r="G69" s="315">
        <f t="shared" si="18"/>
        <v>100</v>
      </c>
      <c r="H69" s="315">
        <f t="shared" si="18"/>
        <v>100</v>
      </c>
      <c r="I69" s="315">
        <f t="shared" si="18"/>
        <v>100</v>
      </c>
      <c r="J69" s="315">
        <f t="shared" si="18"/>
        <v>100</v>
      </c>
      <c r="K69" s="315">
        <f t="shared" si="18"/>
        <v>100</v>
      </c>
      <c r="L69" s="315">
        <f t="shared" si="18"/>
        <v>100</v>
      </c>
      <c r="M69" s="365">
        <f t="shared" si="18"/>
        <v>100</v>
      </c>
      <c r="N69" s="361"/>
      <c r="O69" s="361"/>
      <c r="P69" s="1624"/>
      <c r="Q69" s="279"/>
      <c r="R69" s="145"/>
      <c r="S69" s="145"/>
      <c r="T69" s="145"/>
      <c r="U69" s="145"/>
      <c r="V69" s="145"/>
      <c r="W69" s="145"/>
      <c r="X69" s="145"/>
      <c r="Y69" s="145"/>
      <c r="Z69" s="145"/>
      <c r="AA69" s="145"/>
      <c r="AB69" s="145"/>
      <c r="AC69" s="145"/>
    </row>
    <row r="70" s="17" customFormat="1" ht="14.55" spans="1:29">
      <c r="A70" s="319"/>
      <c r="B70" s="312">
        <f>B12</f>
        <v>111</v>
      </c>
      <c r="C70" s="320"/>
      <c r="D70" s="320"/>
      <c r="E70" s="320"/>
      <c r="F70" s="320"/>
      <c r="G70" s="320"/>
      <c r="H70" s="321"/>
      <c r="I70" s="321"/>
      <c r="J70" s="321"/>
      <c r="K70" s="321"/>
      <c r="L70" s="369"/>
      <c r="M70" s="370"/>
      <c r="N70" s="371"/>
      <c r="O70" s="371"/>
      <c r="P70" s="1629"/>
      <c r="Q70" s="403"/>
      <c r="R70" s="404"/>
      <c r="S70" s="404"/>
      <c r="T70" s="404"/>
      <c r="U70" s="404"/>
      <c r="V70" s="404"/>
      <c r="W70" s="404"/>
      <c r="X70" s="404"/>
      <c r="Y70" s="404"/>
      <c r="Z70" s="404"/>
      <c r="AA70" s="404"/>
      <c r="AB70" s="404"/>
      <c r="AC70" s="404"/>
    </row>
    <row r="71" s="17" customFormat="1" ht="14.55" spans="1:29">
      <c r="A71" s="319"/>
      <c r="B71" s="314"/>
      <c r="C71" s="322"/>
      <c r="D71" s="311"/>
      <c r="E71" s="311"/>
      <c r="F71" s="311"/>
      <c r="G71" s="311"/>
      <c r="H71" s="311"/>
      <c r="I71" s="311"/>
      <c r="J71" s="311"/>
      <c r="K71" s="311"/>
      <c r="L71" s="311"/>
      <c r="M71" s="360"/>
      <c r="N71" s="361"/>
      <c r="O71" s="361"/>
      <c r="P71" s="1629"/>
      <c r="Q71" s="403"/>
      <c r="R71" s="404"/>
      <c r="S71" s="404"/>
      <c r="T71" s="404"/>
      <c r="U71" s="404"/>
      <c r="V71" s="404"/>
      <c r="W71" s="404"/>
      <c r="X71" s="404"/>
      <c r="Y71" s="404"/>
      <c r="Z71" s="404"/>
      <c r="AA71" s="404"/>
      <c r="AB71" s="404"/>
      <c r="AC71" s="404"/>
    </row>
    <row r="72" s="17" customFormat="1" ht="14.55" spans="1:29">
      <c r="A72" s="319"/>
      <c r="B72" s="312">
        <f>B13</f>
        <v>111</v>
      </c>
      <c r="C72" s="320"/>
      <c r="D72" s="320"/>
      <c r="E72" s="320"/>
      <c r="F72" s="320"/>
      <c r="G72" s="320"/>
      <c r="H72" s="321"/>
      <c r="I72" s="321"/>
      <c r="J72" s="321"/>
      <c r="K72" s="321"/>
      <c r="L72" s="369"/>
      <c r="M72" s="370"/>
      <c r="N72" s="371"/>
      <c r="O72" s="371"/>
      <c r="P72" s="1630"/>
      <c r="Q72" s="405"/>
      <c r="R72" s="404"/>
      <c r="S72" s="404"/>
      <c r="T72" s="404"/>
      <c r="U72" s="404"/>
      <c r="V72" s="404"/>
      <c r="W72" s="404"/>
      <c r="X72" s="404"/>
      <c r="Y72" s="404"/>
      <c r="Z72" s="404"/>
      <c r="AA72" s="404"/>
      <c r="AB72" s="404"/>
      <c r="AC72" s="404"/>
    </row>
    <row r="73" s="17" customFormat="1" ht="14.55" spans="1:29">
      <c r="A73" s="319"/>
      <c r="B73" s="314"/>
      <c r="C73" s="322"/>
      <c r="D73" s="311"/>
      <c r="E73" s="311"/>
      <c r="F73" s="311"/>
      <c r="G73" s="322"/>
      <c r="H73" s="323"/>
      <c r="I73" s="323"/>
      <c r="J73" s="323"/>
      <c r="K73" s="323"/>
      <c r="L73" s="323"/>
      <c r="M73" s="373"/>
      <c r="N73" s="371"/>
      <c r="O73" s="371"/>
      <c r="P73" s="1629"/>
      <c r="Q73" s="403"/>
      <c r="R73" s="404"/>
      <c r="S73" s="404"/>
      <c r="T73" s="404"/>
      <c r="U73" s="404"/>
      <c r="V73" s="404"/>
      <c r="W73" s="404"/>
      <c r="X73" s="404"/>
      <c r="Y73" s="404"/>
      <c r="Z73" s="404"/>
      <c r="AA73" s="404"/>
      <c r="AB73" s="404"/>
      <c r="AC73" s="404"/>
    </row>
    <row r="74" s="17" customFormat="1" ht="14.55" spans="1:29">
      <c r="A74" s="319"/>
      <c r="B74" s="316">
        <f>B14</f>
        <v>111</v>
      </c>
      <c r="C74" s="320"/>
      <c r="D74" s="320"/>
      <c r="E74" s="320"/>
      <c r="F74" s="320"/>
      <c r="G74" s="304"/>
      <c r="H74" s="324"/>
      <c r="I74" s="324"/>
      <c r="J74" s="324"/>
      <c r="K74" s="324"/>
      <c r="L74" s="374"/>
      <c r="M74" s="375"/>
      <c r="N74" s="371"/>
      <c r="O74" s="371"/>
      <c r="P74" s="1631"/>
      <c r="Q74" s="403"/>
      <c r="R74" s="404"/>
      <c r="S74" s="404"/>
      <c r="T74" s="404"/>
      <c r="U74" s="404"/>
      <c r="V74" s="404"/>
      <c r="W74" s="404"/>
      <c r="X74" s="404"/>
      <c r="Y74" s="404"/>
      <c r="Z74" s="404"/>
      <c r="AA74" s="404"/>
      <c r="AB74" s="404"/>
      <c r="AC74" s="404"/>
    </row>
    <row r="75" s="17" customFormat="1" ht="14.55" spans="1:29">
      <c r="A75" s="325"/>
      <c r="B75" s="326"/>
      <c r="C75" s="327"/>
      <c r="D75" s="327"/>
      <c r="E75" s="327"/>
      <c r="F75" s="327"/>
      <c r="G75" s="327"/>
      <c r="H75" s="328"/>
      <c r="I75" s="328"/>
      <c r="J75" s="328"/>
      <c r="K75" s="328"/>
      <c r="L75" s="328"/>
      <c r="M75" s="377"/>
      <c r="N75" s="371"/>
      <c r="O75" s="371"/>
      <c r="P75" s="1629"/>
      <c r="Q75" s="403"/>
      <c r="R75" s="404"/>
      <c r="S75" s="404"/>
      <c r="T75" s="404"/>
      <c r="U75" s="404"/>
      <c r="V75" s="404"/>
      <c r="W75" s="404"/>
      <c r="X75" s="404"/>
      <c r="Y75" s="404"/>
      <c r="Z75" s="404"/>
      <c r="AA75" s="404"/>
      <c r="AB75" s="404"/>
      <c r="AC75" s="404"/>
    </row>
    <row r="76" ht="14.4" spans="1:29">
      <c r="A76" s="307" t="s">
        <v>1450</v>
      </c>
      <c r="B76" s="308" t="s">
        <v>1451</v>
      </c>
      <c r="C76" s="329" t="s">
        <v>1489</v>
      </c>
      <c r="D76" s="329" t="s">
        <v>1490</v>
      </c>
      <c r="E76" s="329" t="s">
        <v>1491</v>
      </c>
      <c r="F76" s="329" t="s">
        <v>1492</v>
      </c>
      <c r="G76" s="329" t="s">
        <v>1493</v>
      </c>
      <c r="H76" s="330"/>
      <c r="I76" s="330"/>
      <c r="J76" s="330"/>
      <c r="K76" s="378"/>
      <c r="L76" s="379"/>
      <c r="M76" s="380"/>
      <c r="N76" s="358"/>
      <c r="O76" s="358"/>
      <c r="P76" s="1632"/>
      <c r="Q76" s="279"/>
      <c r="R76" s="145"/>
      <c r="S76" s="145"/>
      <c r="T76" s="145"/>
      <c r="U76" s="145"/>
      <c r="V76" s="145"/>
      <c r="W76" s="145"/>
      <c r="X76" s="145"/>
      <c r="Y76" s="145"/>
      <c r="Z76" s="145"/>
      <c r="AA76" s="145"/>
      <c r="AB76" s="145"/>
      <c r="AC76" s="145"/>
    </row>
    <row r="77" ht="14.55" spans="1:29">
      <c r="A77" s="309"/>
      <c r="B77" s="314"/>
      <c r="C77" s="315">
        <v>100</v>
      </c>
      <c r="D77" s="315">
        <f>C77-$K15</f>
        <v>100</v>
      </c>
      <c r="E77" s="315">
        <f>D77-$K15</f>
        <v>100</v>
      </c>
      <c r="F77" s="315">
        <f>E77-$K15</f>
        <v>100</v>
      </c>
      <c r="G77" s="315">
        <f>F77-$K15</f>
        <v>100</v>
      </c>
      <c r="H77" s="315"/>
      <c r="I77" s="315"/>
      <c r="J77" s="315"/>
      <c r="K77" s="315"/>
      <c r="L77" s="315"/>
      <c r="M77" s="365"/>
      <c r="N77" s="361"/>
      <c r="O77" s="361"/>
      <c r="P77" s="1624"/>
      <c r="Q77" s="279"/>
      <c r="R77" s="145"/>
      <c r="S77" s="145"/>
      <c r="T77" s="145"/>
      <c r="U77" s="145"/>
      <c r="V77" s="145"/>
      <c r="W77" s="145"/>
      <c r="X77" s="145"/>
      <c r="Y77" s="145"/>
      <c r="Z77" s="145"/>
      <c r="AA77" s="145"/>
      <c r="AB77" s="145"/>
      <c r="AC77" s="145"/>
    </row>
    <row r="78" ht="15.15" spans="1:29">
      <c r="A78" s="309"/>
      <c r="B78" s="312" t="s">
        <v>1453</v>
      </c>
      <c r="C78" s="331" t="s">
        <v>1489</v>
      </c>
      <c r="D78" s="331" t="s">
        <v>1490</v>
      </c>
      <c r="E78" s="331" t="s">
        <v>1491</v>
      </c>
      <c r="F78" s="331" t="s">
        <v>1492</v>
      </c>
      <c r="G78" s="331" t="s">
        <v>1493</v>
      </c>
      <c r="H78" s="313"/>
      <c r="I78" s="313"/>
      <c r="J78" s="313"/>
      <c r="K78" s="362"/>
      <c r="L78" s="363"/>
      <c r="M78" s="364"/>
      <c r="N78" s="358"/>
      <c r="O78" s="358"/>
      <c r="P78" s="1624"/>
      <c r="Q78" s="279"/>
      <c r="R78" s="145"/>
      <c r="S78" s="145"/>
      <c r="T78" s="145"/>
      <c r="U78" s="145"/>
      <c r="V78" s="145"/>
      <c r="W78" s="145"/>
      <c r="X78" s="145"/>
      <c r="Y78" s="145"/>
      <c r="Z78" s="145"/>
      <c r="AA78" s="145"/>
      <c r="AB78" s="145"/>
      <c r="AC78" s="145"/>
    </row>
    <row r="79" ht="14.55" spans="1:29">
      <c r="A79" s="309"/>
      <c r="B79" s="314"/>
      <c r="C79" s="315">
        <v>100</v>
      </c>
      <c r="D79" s="315">
        <f>C79-$K17</f>
        <v>100</v>
      </c>
      <c r="E79" s="315">
        <f>D79-$K17</f>
        <v>100</v>
      </c>
      <c r="F79" s="315">
        <f>E79-$K17</f>
        <v>100</v>
      </c>
      <c r="G79" s="315">
        <f>F79-$K17</f>
        <v>100</v>
      </c>
      <c r="H79" s="315"/>
      <c r="I79" s="315"/>
      <c r="J79" s="315"/>
      <c r="K79" s="315"/>
      <c r="L79" s="315"/>
      <c r="M79" s="365"/>
      <c r="N79" s="361"/>
      <c r="O79" s="361"/>
      <c r="P79" s="1624"/>
      <c r="Q79" s="279"/>
      <c r="R79" s="145"/>
      <c r="S79" s="145"/>
      <c r="T79" s="145"/>
      <c r="U79" s="145"/>
      <c r="V79" s="145"/>
      <c r="W79" s="145"/>
      <c r="X79" s="145"/>
      <c r="Y79" s="145"/>
      <c r="Z79" s="145"/>
      <c r="AA79" s="145"/>
      <c r="AB79" s="145"/>
      <c r="AC79" s="145"/>
    </row>
    <row r="80" ht="15.15" spans="1:29">
      <c r="A80" s="309"/>
      <c r="B80" s="312" t="s">
        <v>1454</v>
      </c>
      <c r="C80" s="331" t="s">
        <v>1489</v>
      </c>
      <c r="D80" s="331" t="s">
        <v>1490</v>
      </c>
      <c r="E80" s="331" t="s">
        <v>1491</v>
      </c>
      <c r="F80" s="331" t="s">
        <v>1492</v>
      </c>
      <c r="G80" s="331" t="s">
        <v>1493</v>
      </c>
      <c r="H80" s="313"/>
      <c r="I80" s="313"/>
      <c r="J80" s="313"/>
      <c r="K80" s="362"/>
      <c r="L80" s="363"/>
      <c r="M80" s="364"/>
      <c r="N80" s="358"/>
      <c r="O80" s="358"/>
      <c r="P80" s="1624"/>
      <c r="Q80" s="279"/>
      <c r="R80" s="145"/>
      <c r="S80" s="145"/>
      <c r="T80" s="145"/>
      <c r="U80" s="145"/>
      <c r="V80" s="145"/>
      <c r="W80" s="145"/>
      <c r="X80" s="145"/>
      <c r="Y80" s="145"/>
      <c r="Z80" s="145"/>
      <c r="AA80" s="145"/>
      <c r="AB80" s="145"/>
      <c r="AC80" s="145"/>
    </row>
    <row r="81" ht="14.55" spans="1:29">
      <c r="A81" s="309"/>
      <c r="B81" s="314"/>
      <c r="C81" s="315">
        <v>100</v>
      </c>
      <c r="D81" s="315">
        <f>C81-$K19</f>
        <v>100</v>
      </c>
      <c r="E81" s="315">
        <f>D81-$K19</f>
        <v>100</v>
      </c>
      <c r="F81" s="315">
        <f>E81-$K19</f>
        <v>100</v>
      </c>
      <c r="G81" s="315">
        <f>F81-$K19</f>
        <v>100</v>
      </c>
      <c r="H81" s="315"/>
      <c r="I81" s="315"/>
      <c r="J81" s="315"/>
      <c r="K81" s="315"/>
      <c r="L81" s="315"/>
      <c r="M81" s="365"/>
      <c r="N81" s="361"/>
      <c r="O81" s="361"/>
      <c r="P81" s="1624"/>
      <c r="Q81" s="279"/>
      <c r="R81" s="145"/>
      <c r="S81" s="145"/>
      <c r="T81" s="145"/>
      <c r="U81" s="145"/>
      <c r="V81" s="145"/>
      <c r="W81" s="145"/>
      <c r="X81" s="145"/>
      <c r="Y81" s="145"/>
      <c r="Z81" s="145"/>
      <c r="AA81" s="145"/>
      <c r="AB81" s="145"/>
      <c r="AC81" s="145"/>
    </row>
    <row r="82" ht="15.15" spans="1:29">
      <c r="A82" s="309"/>
      <c r="B82" s="316" t="s">
        <v>1455</v>
      </c>
      <c r="C82" s="336" t="s">
        <v>1494</v>
      </c>
      <c r="D82" s="336" t="s">
        <v>1495</v>
      </c>
      <c r="E82" s="336" t="s">
        <v>1496</v>
      </c>
      <c r="F82" s="336" t="s">
        <v>1497</v>
      </c>
      <c r="G82" s="336" t="s">
        <v>1498</v>
      </c>
      <c r="H82" s="313"/>
      <c r="I82" s="313"/>
      <c r="J82" s="313"/>
      <c r="K82" s="313"/>
      <c r="L82" s="313"/>
      <c r="M82" s="1461"/>
      <c r="N82" s="361"/>
      <c r="O82" s="361"/>
      <c r="P82" s="1624"/>
      <c r="Q82" s="279"/>
      <c r="R82" s="145"/>
      <c r="S82" s="145"/>
      <c r="T82" s="145"/>
      <c r="U82" s="145"/>
      <c r="V82" s="145"/>
      <c r="W82" s="145"/>
      <c r="X82" s="145"/>
      <c r="Y82" s="145"/>
      <c r="Z82" s="145"/>
      <c r="AA82" s="145"/>
      <c r="AB82" s="145"/>
      <c r="AC82" s="145"/>
    </row>
    <row r="83" ht="14.55" spans="1:29">
      <c r="A83" s="309"/>
      <c r="B83" s="316"/>
      <c r="C83" s="315">
        <v>100</v>
      </c>
      <c r="D83" s="315">
        <f>C83-$K21</f>
        <v>100</v>
      </c>
      <c r="E83" s="315">
        <f t="shared" ref="E83:G83" si="19">D83-$K21</f>
        <v>100</v>
      </c>
      <c r="F83" s="315">
        <f t="shared" si="19"/>
        <v>100</v>
      </c>
      <c r="G83" s="315">
        <f t="shared" si="19"/>
        <v>100</v>
      </c>
      <c r="H83" s="336"/>
      <c r="I83" s="336"/>
      <c r="J83" s="336"/>
      <c r="K83" s="336"/>
      <c r="L83" s="336"/>
      <c r="M83" s="93"/>
      <c r="N83" s="361"/>
      <c r="O83" s="361"/>
      <c r="P83" s="1624"/>
      <c r="Q83" s="279"/>
      <c r="R83" s="145"/>
      <c r="S83" s="145"/>
      <c r="T83" s="145"/>
      <c r="U83" s="145"/>
      <c r="V83" s="145"/>
      <c r="W83" s="145"/>
      <c r="X83" s="145"/>
      <c r="Y83" s="145"/>
      <c r="Z83" s="145"/>
      <c r="AA83" s="145"/>
      <c r="AB83" s="145"/>
      <c r="AC83" s="145"/>
    </row>
    <row r="84" ht="15.15" spans="1:29">
      <c r="A84" s="309"/>
      <c r="B84" s="312" t="s">
        <v>1456</v>
      </c>
      <c r="C84" s="331" t="s">
        <v>1489</v>
      </c>
      <c r="D84" s="331" t="s">
        <v>1490</v>
      </c>
      <c r="E84" s="331" t="s">
        <v>1491</v>
      </c>
      <c r="F84" s="331" t="s">
        <v>1492</v>
      </c>
      <c r="G84" s="331" t="s">
        <v>1493</v>
      </c>
      <c r="H84" s="313"/>
      <c r="I84" s="313"/>
      <c r="J84" s="313"/>
      <c r="K84" s="362"/>
      <c r="L84" s="363"/>
      <c r="M84" s="364"/>
      <c r="N84" s="358"/>
      <c r="O84" s="358"/>
      <c r="P84" s="1624"/>
      <c r="Q84" s="279"/>
      <c r="R84" s="145"/>
      <c r="S84" s="145"/>
      <c r="T84" s="145"/>
      <c r="U84" s="145"/>
      <c r="V84" s="145"/>
      <c r="W84" s="145"/>
      <c r="X84" s="145"/>
      <c r="Y84" s="145"/>
      <c r="Z84" s="145"/>
      <c r="AA84" s="145"/>
      <c r="AB84" s="145"/>
      <c r="AC84" s="145"/>
    </row>
    <row r="85" ht="14.55" spans="1:29">
      <c r="A85" s="309"/>
      <c r="B85" s="314"/>
      <c r="C85" s="315">
        <v>100</v>
      </c>
      <c r="D85" s="315">
        <f>C85-$K23</f>
        <v>100</v>
      </c>
      <c r="E85" s="315">
        <f>D85-$K23</f>
        <v>100</v>
      </c>
      <c r="F85" s="315">
        <f>E85-$K23</f>
        <v>100</v>
      </c>
      <c r="G85" s="315">
        <f>F85-$K23</f>
        <v>100</v>
      </c>
      <c r="H85" s="315"/>
      <c r="I85" s="315"/>
      <c r="J85" s="315"/>
      <c r="K85" s="315"/>
      <c r="L85" s="315"/>
      <c r="M85" s="365"/>
      <c r="N85" s="361"/>
      <c r="O85" s="361"/>
      <c r="P85" s="1624"/>
      <c r="Q85" s="279"/>
      <c r="R85" s="145"/>
      <c r="S85" s="145"/>
      <c r="T85" s="145"/>
      <c r="U85" s="145"/>
      <c r="V85" s="145"/>
      <c r="W85" s="145"/>
      <c r="X85" s="145"/>
      <c r="Y85" s="145"/>
      <c r="Z85" s="145"/>
      <c r="AA85" s="145"/>
      <c r="AB85" s="145"/>
      <c r="AC85" s="145"/>
    </row>
    <row r="86" s="15" customFormat="1" ht="15.15" spans="1:29">
      <c r="A86" s="332"/>
      <c r="B86" s="312" t="s">
        <v>1521</v>
      </c>
      <c r="C86" s="320"/>
      <c r="D86" s="320"/>
      <c r="E86" s="320"/>
      <c r="F86" s="320"/>
      <c r="G86" s="320"/>
      <c r="H86" s="320"/>
      <c r="I86" s="320"/>
      <c r="J86" s="320"/>
      <c r="K86" s="320"/>
      <c r="L86" s="1462"/>
      <c r="M86" s="1463"/>
      <c r="N86" s="352"/>
      <c r="O86" s="352"/>
      <c r="P86" s="1624"/>
      <c r="Q86" s="279"/>
      <c r="R86" s="402"/>
      <c r="S86" s="402"/>
      <c r="T86" s="402"/>
      <c r="U86" s="402"/>
      <c r="V86" s="402"/>
      <c r="W86" s="402"/>
      <c r="X86" s="402"/>
      <c r="Y86" s="402"/>
      <c r="Z86" s="402"/>
      <c r="AA86" s="402"/>
      <c r="AB86" s="402"/>
      <c r="AC86" s="402"/>
    </row>
    <row r="87" s="15" customFormat="1" ht="14.55" spans="1:29">
      <c r="A87" s="332"/>
      <c r="B87" s="314"/>
      <c r="C87" s="333">
        <v>100</v>
      </c>
      <c r="D87" s="315">
        <f t="shared" ref="D87:M87" si="20">C87-$K25</f>
        <v>100</v>
      </c>
      <c r="E87" s="315">
        <f t="shared" si="20"/>
        <v>100</v>
      </c>
      <c r="F87" s="315">
        <f t="shared" si="20"/>
        <v>100</v>
      </c>
      <c r="G87" s="315">
        <f t="shared" si="20"/>
        <v>100</v>
      </c>
      <c r="H87" s="315">
        <f t="shared" si="20"/>
        <v>100</v>
      </c>
      <c r="I87" s="315">
        <f t="shared" si="20"/>
        <v>100</v>
      </c>
      <c r="J87" s="315">
        <f t="shared" si="20"/>
        <v>100</v>
      </c>
      <c r="K87" s="315">
        <f t="shared" si="20"/>
        <v>100</v>
      </c>
      <c r="L87" s="315">
        <f t="shared" si="20"/>
        <v>100</v>
      </c>
      <c r="M87" s="315">
        <f t="shared" si="20"/>
        <v>100</v>
      </c>
      <c r="N87" s="361"/>
      <c r="O87" s="361"/>
      <c r="P87" s="1624"/>
      <c r="Q87" s="279"/>
      <c r="R87" s="402"/>
      <c r="S87" s="402"/>
      <c r="T87" s="402"/>
      <c r="U87" s="402"/>
      <c r="V87" s="402"/>
      <c r="W87" s="402"/>
      <c r="X87" s="402"/>
      <c r="Y87" s="402"/>
      <c r="Z87" s="402"/>
      <c r="AA87" s="402"/>
      <c r="AB87" s="402"/>
      <c r="AC87" s="402"/>
    </row>
    <row r="88" s="15" customFormat="1" ht="15.15" spans="1:29">
      <c r="A88" s="332"/>
      <c r="B88" s="312" t="str">
        <f>B26</f>
        <v>平面位置/可视性</v>
      </c>
      <c r="C88" s="320"/>
      <c r="D88" s="320"/>
      <c r="E88" s="320"/>
      <c r="F88" s="1605"/>
      <c r="G88" s="320"/>
      <c r="H88" s="320"/>
      <c r="I88" s="320"/>
      <c r="J88" s="320"/>
      <c r="K88" s="320"/>
      <c r="L88" s="320"/>
      <c r="M88" s="1463"/>
      <c r="N88" s="352"/>
      <c r="O88" s="352"/>
      <c r="P88" s="1624"/>
      <c r="Q88" s="279"/>
      <c r="R88" s="402"/>
      <c r="S88" s="402"/>
      <c r="T88" s="402"/>
      <c r="U88" s="402"/>
      <c r="V88" s="402"/>
      <c r="W88" s="402"/>
      <c r="X88" s="402"/>
      <c r="Y88" s="402"/>
      <c r="Z88" s="402"/>
      <c r="AA88" s="402"/>
      <c r="AB88" s="402"/>
      <c r="AC88" s="402"/>
    </row>
    <row r="89" s="15" customFormat="1" ht="14.55" spans="1:29">
      <c r="A89" s="332"/>
      <c r="B89" s="314"/>
      <c r="C89" s="322"/>
      <c r="D89" s="311"/>
      <c r="E89" s="311"/>
      <c r="F89" s="311"/>
      <c r="G89" s="311"/>
      <c r="H89" s="311"/>
      <c r="I89" s="311"/>
      <c r="J89" s="311"/>
      <c r="K89" s="311"/>
      <c r="L89" s="311"/>
      <c r="M89" s="311"/>
      <c r="N89" s="361"/>
      <c r="O89" s="361"/>
      <c r="P89" s="1624"/>
      <c r="Q89" s="279"/>
      <c r="R89" s="402"/>
      <c r="S89" s="402"/>
      <c r="T89" s="402"/>
      <c r="U89" s="402"/>
      <c r="V89" s="402"/>
      <c r="W89" s="402"/>
      <c r="X89" s="402"/>
      <c r="Y89" s="402"/>
      <c r="Z89" s="402"/>
      <c r="AA89" s="402"/>
      <c r="AB89" s="402"/>
      <c r="AC89" s="402"/>
    </row>
    <row r="90" s="17" customFormat="1" ht="15.15" spans="1:29">
      <c r="A90" s="319"/>
      <c r="B90" s="312" t="str">
        <f>B27</f>
        <v>人流量</v>
      </c>
      <c r="C90" s="320"/>
      <c r="D90" s="320"/>
      <c r="E90" s="320"/>
      <c r="F90" s="320"/>
      <c r="G90" s="320"/>
      <c r="H90" s="321"/>
      <c r="I90" s="321"/>
      <c r="J90" s="321"/>
      <c r="K90" s="321"/>
      <c r="L90" s="369"/>
      <c r="M90" s="370"/>
      <c r="N90" s="371"/>
      <c r="O90" s="371"/>
      <c r="P90" s="1629"/>
      <c r="Q90" s="403"/>
      <c r="R90" s="404"/>
      <c r="S90" s="404"/>
      <c r="T90" s="404"/>
      <c r="U90" s="404"/>
      <c r="V90" s="404"/>
      <c r="W90" s="404"/>
      <c r="X90" s="404"/>
      <c r="Y90" s="404"/>
      <c r="Z90" s="404"/>
      <c r="AA90" s="404"/>
      <c r="AB90" s="404"/>
      <c r="AC90" s="404"/>
    </row>
    <row r="91" s="17" customFormat="1" ht="14.55" spans="1:29">
      <c r="A91" s="319"/>
      <c r="B91" s="314"/>
      <c r="C91" s="333">
        <v>100</v>
      </c>
      <c r="D91" s="315">
        <f>C91-$K27</f>
        <v>100</v>
      </c>
      <c r="E91" s="315">
        <f t="shared" ref="E91:M91" si="21">D91-$K27</f>
        <v>100</v>
      </c>
      <c r="F91" s="315">
        <f t="shared" si="21"/>
        <v>100</v>
      </c>
      <c r="G91" s="315">
        <f t="shared" si="21"/>
        <v>100</v>
      </c>
      <c r="H91" s="315">
        <f t="shared" si="21"/>
        <v>100</v>
      </c>
      <c r="I91" s="315">
        <f t="shared" si="21"/>
        <v>100</v>
      </c>
      <c r="J91" s="315">
        <f t="shared" si="21"/>
        <v>100</v>
      </c>
      <c r="K91" s="315">
        <f t="shared" si="21"/>
        <v>100</v>
      </c>
      <c r="L91" s="315">
        <f t="shared" si="21"/>
        <v>100</v>
      </c>
      <c r="M91" s="315">
        <f t="shared" si="21"/>
        <v>100</v>
      </c>
      <c r="N91" s="371"/>
      <c r="O91" s="371"/>
      <c r="P91" s="1629"/>
      <c r="Q91" s="403"/>
      <c r="R91" s="404"/>
      <c r="S91" s="404"/>
      <c r="T91" s="404"/>
      <c r="U91" s="404"/>
      <c r="V91" s="404"/>
      <c r="W91" s="404"/>
      <c r="X91" s="404"/>
      <c r="Y91" s="404"/>
      <c r="Z91" s="404"/>
      <c r="AA91" s="404"/>
      <c r="AB91" s="404"/>
      <c r="AC91" s="404"/>
    </row>
    <row r="92" ht="15.15" spans="1:29">
      <c r="A92" s="309"/>
      <c r="B92" s="312" t="str">
        <f>B28</f>
        <v>楼层</v>
      </c>
      <c r="C92" s="320"/>
      <c r="D92" s="320"/>
      <c r="E92" s="320"/>
      <c r="F92" s="320"/>
      <c r="G92" s="320"/>
      <c r="H92" s="320"/>
      <c r="I92" s="320"/>
      <c r="J92" s="320"/>
      <c r="K92" s="320"/>
      <c r="L92" s="1462"/>
      <c r="M92" s="1463"/>
      <c r="N92" s="358"/>
      <c r="O92" s="358"/>
      <c r="P92" s="1624"/>
      <c r="Q92" s="279"/>
      <c r="R92" s="145"/>
      <c r="S92" s="145"/>
      <c r="T92" s="145"/>
      <c r="U92" s="145"/>
      <c r="V92" s="145"/>
      <c r="W92" s="145"/>
      <c r="X92" s="145"/>
      <c r="Y92" s="145"/>
      <c r="Z92" s="145"/>
      <c r="AA92" s="145"/>
      <c r="AB92" s="145"/>
      <c r="AC92" s="145"/>
    </row>
    <row r="93" ht="14.55" spans="1:29">
      <c r="A93" s="309"/>
      <c r="B93" s="314"/>
      <c r="C93" s="311"/>
      <c r="D93" s="311"/>
      <c r="E93" s="311"/>
      <c r="F93" s="311"/>
      <c r="G93" s="311"/>
      <c r="H93" s="311"/>
      <c r="I93" s="311"/>
      <c r="J93" s="311"/>
      <c r="K93" s="311"/>
      <c r="L93" s="311"/>
      <c r="M93" s="360"/>
      <c r="N93" s="361"/>
      <c r="O93" s="361"/>
      <c r="P93" s="1624"/>
      <c r="Q93" s="279"/>
      <c r="R93" s="145"/>
      <c r="S93" s="145"/>
      <c r="T93" s="145"/>
      <c r="U93" s="145"/>
      <c r="V93" s="145"/>
      <c r="W93" s="145"/>
      <c r="X93" s="145"/>
      <c r="Y93" s="145"/>
      <c r="Z93" s="145"/>
      <c r="AA93" s="145"/>
      <c r="AB93" s="145"/>
      <c r="AC93" s="145"/>
    </row>
    <row r="94" ht="14.55" spans="1:29">
      <c r="A94" s="309"/>
      <c r="B94" s="312">
        <f>B29</f>
        <v>111</v>
      </c>
      <c r="C94" s="320"/>
      <c r="D94" s="320"/>
      <c r="E94" s="320"/>
      <c r="F94" s="320"/>
      <c r="G94" s="337"/>
      <c r="H94" s="337"/>
      <c r="I94" s="337"/>
      <c r="J94" s="337"/>
      <c r="K94" s="388"/>
      <c r="L94" s="389"/>
      <c r="M94" s="390"/>
      <c r="N94" s="358"/>
      <c r="O94" s="358"/>
      <c r="P94" s="1624"/>
      <c r="Q94" s="279"/>
      <c r="R94" s="145"/>
      <c r="S94" s="145"/>
      <c r="T94" s="145"/>
      <c r="U94" s="145"/>
      <c r="V94" s="145"/>
      <c r="W94" s="145"/>
      <c r="X94" s="145"/>
      <c r="Y94" s="145"/>
      <c r="Z94" s="145"/>
      <c r="AA94" s="145"/>
      <c r="AB94" s="145"/>
      <c r="AC94" s="145"/>
    </row>
    <row r="95" ht="14.55" spans="1:29">
      <c r="A95" s="309"/>
      <c r="B95" s="314"/>
      <c r="C95" s="322"/>
      <c r="D95" s="311"/>
      <c r="E95" s="311"/>
      <c r="F95" s="311"/>
      <c r="G95" s="311"/>
      <c r="H95" s="311"/>
      <c r="I95" s="311"/>
      <c r="J95" s="311"/>
      <c r="K95" s="311"/>
      <c r="L95" s="311"/>
      <c r="M95" s="360"/>
      <c r="N95" s="361"/>
      <c r="O95" s="361"/>
      <c r="P95" s="1624"/>
      <c r="Q95" s="279"/>
      <c r="R95" s="145"/>
      <c r="S95" s="145"/>
      <c r="T95" s="145"/>
      <c r="U95" s="145"/>
      <c r="V95" s="145"/>
      <c r="W95" s="145"/>
      <c r="X95" s="145"/>
      <c r="Y95" s="145"/>
      <c r="Z95" s="145"/>
      <c r="AA95" s="145"/>
      <c r="AB95" s="145"/>
      <c r="AC95" s="145"/>
    </row>
    <row r="96" ht="14.55" spans="1:29">
      <c r="A96" s="309"/>
      <c r="B96" s="312">
        <f>B30</f>
        <v>111</v>
      </c>
      <c r="C96" s="320"/>
      <c r="D96" s="320"/>
      <c r="E96" s="320"/>
      <c r="F96" s="320"/>
      <c r="G96" s="337"/>
      <c r="H96" s="337"/>
      <c r="I96" s="337"/>
      <c r="J96" s="337"/>
      <c r="K96" s="388"/>
      <c r="L96" s="389"/>
      <c r="M96" s="390"/>
      <c r="N96" s="358"/>
      <c r="O96" s="358"/>
      <c r="P96" s="1624"/>
      <c r="Q96" s="279"/>
      <c r="R96" s="145"/>
      <c r="S96" s="145"/>
      <c r="T96" s="145"/>
      <c r="U96" s="145"/>
      <c r="V96" s="145"/>
      <c r="W96" s="145"/>
      <c r="X96" s="145"/>
      <c r="Y96" s="145"/>
      <c r="Z96" s="145"/>
      <c r="AA96" s="145"/>
      <c r="AB96" s="145"/>
      <c r="AC96" s="145"/>
    </row>
    <row r="97" ht="14.55" spans="1:29">
      <c r="A97" s="309"/>
      <c r="B97" s="314"/>
      <c r="C97" s="322"/>
      <c r="D97" s="311"/>
      <c r="E97" s="311"/>
      <c r="F97" s="311"/>
      <c r="G97" s="311"/>
      <c r="H97" s="311"/>
      <c r="I97" s="311"/>
      <c r="J97" s="311"/>
      <c r="K97" s="311"/>
      <c r="L97" s="311"/>
      <c r="M97" s="360"/>
      <c r="N97" s="361"/>
      <c r="O97" s="361"/>
      <c r="P97" s="1624"/>
      <c r="Q97" s="279"/>
      <c r="R97" s="145"/>
      <c r="S97" s="145"/>
      <c r="T97" s="145"/>
      <c r="U97" s="145"/>
      <c r="V97" s="145"/>
      <c r="W97" s="145"/>
      <c r="X97" s="145"/>
      <c r="Y97" s="145"/>
      <c r="Z97" s="145"/>
      <c r="AA97" s="145"/>
      <c r="AB97" s="145"/>
      <c r="AC97" s="145"/>
    </row>
    <row r="98" ht="14.55" spans="1:29">
      <c r="A98" s="309"/>
      <c r="B98" s="316">
        <f>B31</f>
        <v>111</v>
      </c>
      <c r="C98" s="320"/>
      <c r="D98" s="320"/>
      <c r="E98" s="320"/>
      <c r="F98" s="320"/>
      <c r="G98" s="339"/>
      <c r="H98" s="339"/>
      <c r="I98" s="339"/>
      <c r="J98" s="339"/>
      <c r="K98" s="391"/>
      <c r="L98" s="392"/>
      <c r="M98" s="393"/>
      <c r="N98" s="358"/>
      <c r="O98" s="358"/>
      <c r="P98" s="1624"/>
      <c r="Q98" s="279"/>
      <c r="R98" s="145"/>
      <c r="S98" s="145"/>
      <c r="T98" s="145"/>
      <c r="U98" s="145"/>
      <c r="V98" s="145"/>
      <c r="W98" s="145"/>
      <c r="X98" s="145"/>
      <c r="Y98" s="145"/>
      <c r="Z98" s="145"/>
      <c r="AA98" s="145"/>
      <c r="AB98" s="145"/>
      <c r="AC98" s="145"/>
    </row>
    <row r="99" ht="14.55" spans="1:29">
      <c r="A99" s="1565"/>
      <c r="B99" s="326"/>
      <c r="C99" s="327"/>
      <c r="D99" s="327"/>
      <c r="E99" s="327"/>
      <c r="F99" s="327"/>
      <c r="G99" s="340"/>
      <c r="H99" s="340"/>
      <c r="I99" s="340"/>
      <c r="J99" s="340"/>
      <c r="K99" s="340"/>
      <c r="L99" s="340"/>
      <c r="M99" s="394"/>
      <c r="N99" s="361"/>
      <c r="O99" s="361"/>
      <c r="P99" s="1624"/>
      <c r="Q99" s="279"/>
      <c r="R99" s="145"/>
      <c r="S99" s="145"/>
      <c r="T99" s="145"/>
      <c r="U99" s="145"/>
      <c r="V99" s="145"/>
      <c r="W99" s="145"/>
      <c r="X99" s="145"/>
      <c r="Y99" s="145"/>
      <c r="Z99" s="145"/>
      <c r="AA99" s="145"/>
      <c r="AB99" s="145"/>
      <c r="AC99" s="145"/>
    </row>
    <row r="100" ht="14.4" spans="1:29">
      <c r="A100" s="307" t="s">
        <v>1459</v>
      </c>
      <c r="B100" s="308" t="s">
        <v>1525</v>
      </c>
      <c r="C100" s="233"/>
      <c r="D100" s="233"/>
      <c r="E100" s="233"/>
      <c r="F100" s="233"/>
      <c r="G100" s="233"/>
      <c r="H100" s="233"/>
      <c r="I100" s="233"/>
      <c r="J100" s="233"/>
      <c r="K100" s="355"/>
      <c r="L100" s="356"/>
      <c r="M100" s="357"/>
      <c r="N100" s="358"/>
      <c r="O100" s="358"/>
      <c r="P100" s="1624"/>
      <c r="Q100" s="279"/>
      <c r="R100" s="145"/>
      <c r="S100" s="145"/>
      <c r="T100" s="145"/>
      <c r="U100" s="145"/>
      <c r="V100" s="145"/>
      <c r="W100" s="145"/>
      <c r="X100" s="145"/>
      <c r="Y100" s="145"/>
      <c r="Z100" s="145"/>
      <c r="AA100" s="145"/>
      <c r="AB100" s="145"/>
      <c r="AC100" s="145"/>
    </row>
    <row r="101" ht="14.55" spans="1:29">
      <c r="A101" s="309"/>
      <c r="B101" s="314"/>
      <c r="C101" s="315">
        <v>100</v>
      </c>
      <c r="D101" s="315">
        <f t="shared" ref="D101:M101" si="22">C101-$K32</f>
        <v>100</v>
      </c>
      <c r="E101" s="315">
        <f t="shared" si="22"/>
        <v>100</v>
      </c>
      <c r="F101" s="315">
        <f t="shared" si="22"/>
        <v>100</v>
      </c>
      <c r="G101" s="315">
        <f t="shared" si="22"/>
        <v>100</v>
      </c>
      <c r="H101" s="315">
        <f t="shared" si="22"/>
        <v>100</v>
      </c>
      <c r="I101" s="315">
        <f t="shared" si="22"/>
        <v>100</v>
      </c>
      <c r="J101" s="315">
        <f t="shared" si="22"/>
        <v>100</v>
      </c>
      <c r="K101" s="315">
        <f t="shared" si="22"/>
        <v>100</v>
      </c>
      <c r="L101" s="315">
        <f t="shared" si="22"/>
        <v>100</v>
      </c>
      <c r="M101" s="365">
        <f t="shared" si="22"/>
        <v>100</v>
      </c>
      <c r="N101" s="361"/>
      <c r="O101" s="361"/>
      <c r="P101" s="1624"/>
      <c r="Q101" s="279"/>
      <c r="R101" s="145"/>
      <c r="S101" s="145"/>
      <c r="T101" s="145"/>
      <c r="U101" s="145"/>
      <c r="V101" s="145"/>
      <c r="W101" s="145"/>
      <c r="X101" s="145"/>
      <c r="Y101" s="145"/>
      <c r="Z101" s="145"/>
      <c r="AA101" s="145"/>
      <c r="AB101" s="145"/>
      <c r="AC101" s="145"/>
    </row>
    <row r="102" ht="15.15" spans="1:29">
      <c r="A102" s="309"/>
      <c r="B102" s="312" t="s">
        <v>1462</v>
      </c>
      <c r="C102" s="331" t="str">
        <f>C103&amp;"(含)"&amp;"-"&amp;D103</f>
        <v>(含)-</v>
      </c>
      <c r="D102" s="331" t="str">
        <f t="shared" ref="D102:L102" si="23">D103&amp;"(含)"&amp;"-"&amp;E103</f>
        <v>(含)-</v>
      </c>
      <c r="E102" s="331" t="str">
        <f t="shared" si="23"/>
        <v>(含)-</v>
      </c>
      <c r="F102" s="331" t="str">
        <f t="shared" si="23"/>
        <v>(含)-</v>
      </c>
      <c r="G102" s="331" t="str">
        <f t="shared" si="23"/>
        <v>(含)-</v>
      </c>
      <c r="H102" s="331" t="str">
        <f t="shared" si="23"/>
        <v>(含)-</v>
      </c>
      <c r="I102" s="331" t="str">
        <f t="shared" si="23"/>
        <v>(含)-</v>
      </c>
      <c r="J102" s="331" t="str">
        <f t="shared" si="23"/>
        <v>(含)-</v>
      </c>
      <c r="K102" s="331" t="str">
        <f t="shared" si="23"/>
        <v>(含)-</v>
      </c>
      <c r="L102" s="331" t="str">
        <f t="shared" si="23"/>
        <v>(含)-</v>
      </c>
      <c r="M102" s="383" t="str">
        <f>M103&amp;"(含)"&amp;"-"&amp;P103</f>
        <v>(含)-</v>
      </c>
      <c r="N102" s="352"/>
      <c r="O102" s="352"/>
      <c r="P102" s="1624"/>
      <c r="Q102" s="279"/>
      <c r="R102" s="145"/>
      <c r="S102" s="145"/>
      <c r="T102" s="145"/>
      <c r="U102" s="145"/>
      <c r="V102" s="145"/>
      <c r="W102" s="145"/>
      <c r="X102" s="145"/>
      <c r="Y102" s="145"/>
      <c r="Z102" s="145"/>
      <c r="AA102" s="145"/>
      <c r="AB102" s="145"/>
      <c r="AC102" s="145"/>
    </row>
    <row r="103" s="17" customFormat="1" spans="1:29">
      <c r="A103" s="341"/>
      <c r="B103" s="342"/>
      <c r="C103" s="296"/>
      <c r="D103" s="296"/>
      <c r="E103" s="296"/>
      <c r="F103" s="296"/>
      <c r="G103" s="296"/>
      <c r="H103" s="296"/>
      <c r="I103" s="296"/>
      <c r="J103" s="395"/>
      <c r="K103" s="395"/>
      <c r="L103" s="396"/>
      <c r="M103" s="397"/>
      <c r="N103" s="371"/>
      <c r="O103" s="371"/>
      <c r="P103" s="1629"/>
      <c r="Q103" s="403"/>
      <c r="R103" s="404"/>
      <c r="S103" s="404"/>
      <c r="T103" s="404"/>
      <c r="U103" s="404"/>
      <c r="V103" s="404"/>
      <c r="W103" s="404"/>
      <c r="X103" s="404"/>
      <c r="Y103" s="404"/>
      <c r="Z103" s="404"/>
      <c r="AA103" s="404"/>
      <c r="AB103" s="404"/>
      <c r="AC103" s="404"/>
    </row>
    <row r="104" s="17" customFormat="1" ht="14.55" spans="1:29">
      <c r="A104" s="319"/>
      <c r="B104" s="314"/>
      <c r="C104" s="322"/>
      <c r="D104" s="311"/>
      <c r="E104" s="311"/>
      <c r="F104" s="311"/>
      <c r="G104" s="311"/>
      <c r="H104" s="311"/>
      <c r="I104" s="311"/>
      <c r="J104" s="311"/>
      <c r="K104" s="311"/>
      <c r="L104" s="311"/>
      <c r="M104" s="360"/>
      <c r="N104" s="361"/>
      <c r="O104" s="361"/>
      <c r="P104" s="1629"/>
      <c r="Q104" s="403"/>
      <c r="R104" s="404"/>
      <c r="S104" s="404"/>
      <c r="T104" s="404"/>
      <c r="U104" s="404"/>
      <c r="V104" s="404"/>
      <c r="W104" s="404"/>
      <c r="X104" s="404"/>
      <c r="Y104" s="404"/>
      <c r="Z104" s="404"/>
      <c r="AA104" s="404"/>
      <c r="AB104" s="404"/>
      <c r="AC104" s="404"/>
    </row>
    <row r="105" ht="15.15" spans="1:29">
      <c r="A105" s="344"/>
      <c r="B105" s="312" t="s">
        <v>1463</v>
      </c>
      <c r="C105" s="320"/>
      <c r="D105" s="320"/>
      <c r="E105" s="337"/>
      <c r="F105" s="337"/>
      <c r="G105" s="337"/>
      <c r="H105" s="337"/>
      <c r="I105" s="337"/>
      <c r="J105" s="337"/>
      <c r="K105" s="388"/>
      <c r="L105" s="389"/>
      <c r="M105" s="390"/>
      <c r="N105" s="358"/>
      <c r="O105" s="358"/>
      <c r="P105" s="1624"/>
      <c r="Q105" s="279"/>
      <c r="R105" s="145"/>
      <c r="S105" s="145"/>
      <c r="T105" s="145"/>
      <c r="U105" s="145"/>
      <c r="V105" s="145"/>
      <c r="W105" s="145"/>
      <c r="X105" s="145"/>
      <c r="Y105" s="145"/>
      <c r="Z105" s="145"/>
      <c r="AA105" s="145"/>
      <c r="AB105" s="145"/>
      <c r="AC105" s="145"/>
    </row>
    <row r="106" ht="14.55" spans="1:29">
      <c r="A106" s="309"/>
      <c r="B106" s="314"/>
      <c r="C106" s="315">
        <v>100</v>
      </c>
      <c r="D106" s="315">
        <f t="shared" ref="D106:M106" si="24">C106-$K34</f>
        <v>100</v>
      </c>
      <c r="E106" s="315">
        <f t="shared" si="24"/>
        <v>100</v>
      </c>
      <c r="F106" s="315">
        <f t="shared" si="24"/>
        <v>100</v>
      </c>
      <c r="G106" s="315">
        <f t="shared" si="24"/>
        <v>100</v>
      </c>
      <c r="H106" s="315">
        <f t="shared" si="24"/>
        <v>100</v>
      </c>
      <c r="I106" s="315">
        <f t="shared" si="24"/>
        <v>100</v>
      </c>
      <c r="J106" s="315">
        <f t="shared" si="24"/>
        <v>100</v>
      </c>
      <c r="K106" s="315">
        <f t="shared" si="24"/>
        <v>100</v>
      </c>
      <c r="L106" s="315">
        <f t="shared" si="24"/>
        <v>100</v>
      </c>
      <c r="M106" s="365">
        <f t="shared" si="24"/>
        <v>100</v>
      </c>
      <c r="N106" s="361"/>
      <c r="O106" s="361"/>
      <c r="P106" s="1624"/>
      <c r="Q106" s="279"/>
      <c r="R106" s="145"/>
      <c r="S106" s="145"/>
      <c r="T106" s="145"/>
      <c r="U106" s="145"/>
      <c r="V106" s="145"/>
      <c r="W106" s="145"/>
      <c r="X106" s="145"/>
      <c r="Y106" s="145"/>
      <c r="Z106" s="145"/>
      <c r="AA106" s="145"/>
      <c r="AB106" s="145"/>
      <c r="AC106" s="145"/>
    </row>
    <row r="107" ht="15.15" spans="1:29">
      <c r="A107" s="344"/>
      <c r="B107" s="312" t="s">
        <v>1465</v>
      </c>
      <c r="C107" s="320"/>
      <c r="D107" s="320"/>
      <c r="E107" s="320"/>
      <c r="F107" s="337"/>
      <c r="G107" s="337"/>
      <c r="H107" s="337"/>
      <c r="I107" s="337"/>
      <c r="J107" s="337"/>
      <c r="K107" s="388"/>
      <c r="L107" s="389"/>
      <c r="M107" s="390"/>
      <c r="N107" s="358"/>
      <c r="O107" s="358"/>
      <c r="P107" s="1624"/>
      <c r="Q107" s="279"/>
      <c r="R107" s="145"/>
      <c r="S107" s="145"/>
      <c r="T107" s="145"/>
      <c r="U107" s="145"/>
      <c r="V107" s="145"/>
      <c r="W107" s="145"/>
      <c r="X107" s="145"/>
      <c r="Y107" s="145"/>
      <c r="Z107" s="145"/>
      <c r="AA107" s="145"/>
      <c r="AB107" s="145"/>
      <c r="AC107" s="145"/>
    </row>
    <row r="108" ht="14.55" spans="1:29">
      <c r="A108" s="309"/>
      <c r="B108" s="314"/>
      <c r="C108" s="315">
        <v>100</v>
      </c>
      <c r="D108" s="315">
        <f t="shared" ref="D108:M108" si="25">C108-$K35</f>
        <v>100</v>
      </c>
      <c r="E108" s="315">
        <f t="shared" si="25"/>
        <v>100</v>
      </c>
      <c r="F108" s="315">
        <f t="shared" si="25"/>
        <v>100</v>
      </c>
      <c r="G108" s="315">
        <f t="shared" si="25"/>
        <v>100</v>
      </c>
      <c r="H108" s="315">
        <f t="shared" si="25"/>
        <v>100</v>
      </c>
      <c r="I108" s="315">
        <f t="shared" si="25"/>
        <v>100</v>
      </c>
      <c r="J108" s="315">
        <f t="shared" si="25"/>
        <v>100</v>
      </c>
      <c r="K108" s="315">
        <f t="shared" si="25"/>
        <v>100</v>
      </c>
      <c r="L108" s="315">
        <f t="shared" si="25"/>
        <v>100</v>
      </c>
      <c r="M108" s="365">
        <f t="shared" si="25"/>
        <v>100</v>
      </c>
      <c r="N108" s="361"/>
      <c r="O108" s="361"/>
      <c r="P108" s="1624"/>
      <c r="Q108" s="279"/>
      <c r="R108" s="145"/>
      <c r="S108" s="145"/>
      <c r="T108" s="145"/>
      <c r="U108" s="145"/>
      <c r="V108" s="145"/>
      <c r="W108" s="145"/>
      <c r="X108" s="145"/>
      <c r="Y108" s="145"/>
      <c r="Z108" s="145"/>
      <c r="AA108" s="145"/>
      <c r="AB108" s="145"/>
      <c r="AC108" s="145"/>
    </row>
    <row r="109" ht="15.15" spans="1:29">
      <c r="A109" s="344"/>
      <c r="B109" s="312" t="s">
        <v>565</v>
      </c>
      <c r="C109" s="331" t="str">
        <f>C110&amp;"(含)"&amp;"-"&amp;D110</f>
        <v>0.5(含)-0.6</v>
      </c>
      <c r="D109" s="331" t="str">
        <f>D110&amp;"(含)"&amp;"-"&amp;E110</f>
        <v>0.6(含)-0.7</v>
      </c>
      <c r="E109" s="331" t="str">
        <f>E110&amp;"(含)"&amp;"-"&amp;F110</f>
        <v>0.7(含)-0.8</v>
      </c>
      <c r="F109" s="331" t="str">
        <f>F110&amp;"(含)"&amp;"-"&amp;G110</f>
        <v>0.8(含)-0.9</v>
      </c>
      <c r="G109" s="331" t="str">
        <f>G110&amp;"(含)"&amp;"-"&amp;ROUND(H110,0)&amp;"(含)"</f>
        <v>0.9(含)-1(含)</v>
      </c>
      <c r="H109" s="331"/>
      <c r="I109" s="337"/>
      <c r="J109" s="337"/>
      <c r="K109" s="388"/>
      <c r="L109" s="389"/>
      <c r="M109" s="390"/>
      <c r="N109" s="358"/>
      <c r="O109" s="358"/>
      <c r="P109" s="1624"/>
      <c r="Q109" s="279"/>
      <c r="R109" s="145"/>
      <c r="S109" s="145"/>
      <c r="T109" s="145"/>
      <c r="U109" s="145"/>
      <c r="V109" s="145"/>
      <c r="W109" s="145"/>
      <c r="X109" s="145"/>
      <c r="Y109" s="145"/>
      <c r="Z109" s="145"/>
      <c r="AA109" s="145"/>
      <c r="AB109" s="145"/>
      <c r="AC109" s="145"/>
    </row>
    <row r="110" spans="1:29">
      <c r="A110" s="344"/>
      <c r="B110" s="316"/>
      <c r="C110" s="295">
        <v>0.5</v>
      </c>
      <c r="D110" s="295">
        <v>0.6</v>
      </c>
      <c r="E110" s="295">
        <v>0.7</v>
      </c>
      <c r="F110" s="295">
        <v>0.8</v>
      </c>
      <c r="G110" s="295">
        <v>0.9</v>
      </c>
      <c r="H110" s="295">
        <v>1.0001</v>
      </c>
      <c r="I110" s="1523"/>
      <c r="J110" s="1523"/>
      <c r="K110" s="1524"/>
      <c r="L110" s="1525"/>
      <c r="M110" s="1526"/>
      <c r="N110" s="358"/>
      <c r="O110" s="358"/>
      <c r="P110" s="1624"/>
      <c r="Q110" s="279"/>
      <c r="R110" s="145"/>
      <c r="S110" s="145"/>
      <c r="T110" s="145"/>
      <c r="U110" s="145"/>
      <c r="V110" s="145"/>
      <c r="W110" s="145"/>
      <c r="X110" s="145"/>
      <c r="Y110" s="145"/>
      <c r="Z110" s="145"/>
      <c r="AA110" s="145"/>
      <c r="AB110" s="145"/>
      <c r="AC110" s="145"/>
    </row>
    <row r="111" ht="14.55" spans="1:29">
      <c r="A111" s="309"/>
      <c r="B111" s="314"/>
      <c r="C111" s="333">
        <v>100</v>
      </c>
      <c r="D111" s="315">
        <f>C111+$K36</f>
        <v>100</v>
      </c>
      <c r="E111" s="315">
        <f t="shared" ref="E111:M111" si="26">D111+$K36</f>
        <v>100</v>
      </c>
      <c r="F111" s="315">
        <f t="shared" si="26"/>
        <v>100</v>
      </c>
      <c r="G111" s="315">
        <f t="shared" si="26"/>
        <v>100</v>
      </c>
      <c r="H111" s="315">
        <f t="shared" si="26"/>
        <v>100</v>
      </c>
      <c r="I111" s="315">
        <f t="shared" si="26"/>
        <v>100</v>
      </c>
      <c r="J111" s="315">
        <f t="shared" si="26"/>
        <v>100</v>
      </c>
      <c r="K111" s="315">
        <f t="shared" si="26"/>
        <v>100</v>
      </c>
      <c r="L111" s="315">
        <f t="shared" si="26"/>
        <v>100</v>
      </c>
      <c r="M111" s="315">
        <f t="shared" si="26"/>
        <v>100</v>
      </c>
      <c r="N111" s="361"/>
      <c r="O111" s="361"/>
      <c r="P111" s="1624"/>
      <c r="Q111" s="279"/>
      <c r="R111" s="145"/>
      <c r="S111" s="145"/>
      <c r="T111" s="145"/>
      <c r="U111" s="145"/>
      <c r="V111" s="145"/>
      <c r="W111" s="145"/>
      <c r="X111" s="145"/>
      <c r="Y111" s="145"/>
      <c r="Z111" s="145"/>
      <c r="AA111" s="145"/>
      <c r="AB111" s="145"/>
      <c r="AC111" s="145"/>
    </row>
    <row r="112" s="17" customFormat="1" ht="15.15" spans="1:29">
      <c r="A112" s="341"/>
      <c r="B112" s="312" t="s">
        <v>1467</v>
      </c>
      <c r="C112" s="320"/>
      <c r="D112" s="320"/>
      <c r="E112" s="320"/>
      <c r="F112" s="320"/>
      <c r="G112" s="320"/>
      <c r="H112" s="337"/>
      <c r="I112" s="337"/>
      <c r="J112" s="337"/>
      <c r="K112" s="388"/>
      <c r="L112" s="389"/>
      <c r="M112" s="390"/>
      <c r="N112" s="371"/>
      <c r="O112" s="371"/>
      <c r="P112" s="1629"/>
      <c r="Q112" s="403"/>
      <c r="R112" s="404"/>
      <c r="S112" s="404"/>
      <c r="T112" s="404"/>
      <c r="U112" s="404"/>
      <c r="V112" s="404"/>
      <c r="W112" s="404"/>
      <c r="X112" s="404"/>
      <c r="Y112" s="404"/>
      <c r="Z112" s="404"/>
      <c r="AA112" s="404"/>
      <c r="AB112" s="404"/>
      <c r="AC112" s="404"/>
    </row>
    <row r="113" s="17" customFormat="1" ht="14.55" spans="1:29">
      <c r="A113" s="319"/>
      <c r="B113" s="314"/>
      <c r="C113" s="315">
        <v>100</v>
      </c>
      <c r="D113" s="315">
        <f>C113-$K37</f>
        <v>100</v>
      </c>
      <c r="E113" s="315">
        <f t="shared" ref="E113:M113" si="27">D113-$K37</f>
        <v>100</v>
      </c>
      <c r="F113" s="315">
        <f t="shared" si="27"/>
        <v>100</v>
      </c>
      <c r="G113" s="315">
        <f t="shared" si="27"/>
        <v>100</v>
      </c>
      <c r="H113" s="315">
        <f t="shared" si="27"/>
        <v>100</v>
      </c>
      <c r="I113" s="315">
        <f t="shared" si="27"/>
        <v>100</v>
      </c>
      <c r="J113" s="315">
        <f t="shared" si="27"/>
        <v>100</v>
      </c>
      <c r="K113" s="315">
        <f t="shared" si="27"/>
        <v>100</v>
      </c>
      <c r="L113" s="315">
        <f t="shared" si="27"/>
        <v>100</v>
      </c>
      <c r="M113" s="315">
        <f t="shared" si="27"/>
        <v>100</v>
      </c>
      <c r="N113" s="371"/>
      <c r="O113" s="371"/>
      <c r="P113" s="1629"/>
      <c r="Q113" s="403"/>
      <c r="R113" s="404"/>
      <c r="S113" s="404"/>
      <c r="T113" s="404"/>
      <c r="U113" s="404"/>
      <c r="V113" s="404"/>
      <c r="W113" s="404"/>
      <c r="X113" s="404"/>
      <c r="Y113" s="404"/>
      <c r="Z113" s="404"/>
      <c r="AA113" s="404"/>
      <c r="AB113" s="404"/>
      <c r="AC113" s="404"/>
    </row>
    <row r="114" ht="15.15" spans="1:29">
      <c r="A114" s="344"/>
      <c r="B114" s="312" t="s">
        <v>1526</v>
      </c>
      <c r="C114" s="320"/>
      <c r="D114" s="320"/>
      <c r="E114" s="337"/>
      <c r="F114" s="337"/>
      <c r="G114" s="337"/>
      <c r="H114" s="337"/>
      <c r="I114" s="337"/>
      <c r="J114" s="337"/>
      <c r="K114" s="388"/>
      <c r="L114" s="389"/>
      <c r="M114" s="390"/>
      <c r="N114" s="358"/>
      <c r="O114" s="358"/>
      <c r="P114" s="1624"/>
      <c r="Q114" s="279"/>
      <c r="R114" s="145"/>
      <c r="S114" s="145"/>
      <c r="T114" s="145"/>
      <c r="U114" s="145"/>
      <c r="V114" s="145"/>
      <c r="W114" s="145"/>
      <c r="X114" s="145"/>
      <c r="Y114" s="145"/>
      <c r="Z114" s="145"/>
      <c r="AA114" s="145"/>
      <c r="AB114" s="145"/>
      <c r="AC114" s="145"/>
    </row>
    <row r="115" ht="14.55" spans="1:29">
      <c r="A115" s="309"/>
      <c r="B115" s="314"/>
      <c r="C115" s="315">
        <v>100</v>
      </c>
      <c r="D115" s="315">
        <f t="shared" ref="D115:M115" si="28">C115-$K38</f>
        <v>100</v>
      </c>
      <c r="E115" s="315">
        <f t="shared" si="28"/>
        <v>100</v>
      </c>
      <c r="F115" s="315">
        <f t="shared" si="28"/>
        <v>100</v>
      </c>
      <c r="G115" s="315">
        <f t="shared" si="28"/>
        <v>100</v>
      </c>
      <c r="H115" s="315">
        <f t="shared" si="28"/>
        <v>100</v>
      </c>
      <c r="I115" s="315">
        <f t="shared" si="28"/>
        <v>100</v>
      </c>
      <c r="J115" s="315">
        <f t="shared" si="28"/>
        <v>100</v>
      </c>
      <c r="K115" s="315">
        <f t="shared" si="28"/>
        <v>100</v>
      </c>
      <c r="L115" s="315">
        <f t="shared" si="28"/>
        <v>100</v>
      </c>
      <c r="M115" s="365">
        <f t="shared" si="28"/>
        <v>100</v>
      </c>
      <c r="N115" s="361"/>
      <c r="O115" s="361"/>
      <c r="P115" s="1624"/>
      <c r="Q115" s="279"/>
      <c r="R115" s="145"/>
      <c r="S115" s="145"/>
      <c r="T115" s="145"/>
      <c r="U115" s="145"/>
      <c r="V115" s="145"/>
      <c r="W115" s="145"/>
      <c r="X115" s="145"/>
      <c r="Y115" s="145"/>
      <c r="Z115" s="145"/>
      <c r="AA115" s="145"/>
      <c r="AB115" s="145"/>
      <c r="AC115" s="145"/>
    </row>
    <row r="116" ht="15.15" spans="1:29">
      <c r="A116" s="344"/>
      <c r="B116" s="312" t="s">
        <v>1527</v>
      </c>
      <c r="C116" s="320"/>
      <c r="D116" s="320"/>
      <c r="E116" s="320"/>
      <c r="F116" s="320"/>
      <c r="G116" s="320"/>
      <c r="H116" s="337"/>
      <c r="I116" s="337"/>
      <c r="J116" s="337"/>
      <c r="K116" s="388"/>
      <c r="L116" s="389"/>
      <c r="M116" s="390"/>
      <c r="N116" s="358"/>
      <c r="O116" s="358"/>
      <c r="P116" s="1624"/>
      <c r="Q116" s="279"/>
      <c r="R116" s="145"/>
      <c r="S116" s="145"/>
      <c r="T116" s="145"/>
      <c r="U116" s="145"/>
      <c r="V116" s="145"/>
      <c r="W116" s="145"/>
      <c r="X116" s="145"/>
      <c r="Y116" s="145"/>
      <c r="Z116" s="145"/>
      <c r="AA116" s="145"/>
      <c r="AB116" s="145"/>
      <c r="AC116" s="145"/>
    </row>
    <row r="117" ht="14.55" spans="1:29">
      <c r="A117" s="309"/>
      <c r="B117" s="314"/>
      <c r="C117" s="315">
        <v>100</v>
      </c>
      <c r="D117" s="315">
        <f>C117-$K39</f>
        <v>100</v>
      </c>
      <c r="E117" s="315">
        <f>D117-$K39</f>
        <v>100</v>
      </c>
      <c r="F117" s="315">
        <f>E117-$K39</f>
        <v>100</v>
      </c>
      <c r="G117" s="315">
        <f>F117-$K39</f>
        <v>100</v>
      </c>
      <c r="H117" s="315"/>
      <c r="I117" s="315"/>
      <c r="J117" s="315"/>
      <c r="K117" s="315"/>
      <c r="L117" s="315"/>
      <c r="M117" s="365"/>
      <c r="N117" s="361"/>
      <c r="O117" s="361"/>
      <c r="P117" s="1624"/>
      <c r="Q117" s="279"/>
      <c r="R117" s="145"/>
      <c r="S117" s="145"/>
      <c r="T117" s="145"/>
      <c r="U117" s="145"/>
      <c r="V117" s="145"/>
      <c r="W117" s="145"/>
      <c r="X117" s="145"/>
      <c r="Y117" s="145"/>
      <c r="Z117" s="145"/>
      <c r="AA117" s="145"/>
      <c r="AB117" s="145"/>
      <c r="AC117" s="145"/>
    </row>
    <row r="118" ht="15.15" spans="1:29">
      <c r="A118" s="344"/>
      <c r="B118" s="312" t="s">
        <v>1528</v>
      </c>
      <c r="C118" s="1628"/>
      <c r="D118" s="1628"/>
      <c r="E118" s="1628"/>
      <c r="F118" s="1628"/>
      <c r="G118" s="1628"/>
      <c r="H118" s="321"/>
      <c r="I118" s="321"/>
      <c r="J118" s="321"/>
      <c r="K118" s="321"/>
      <c r="L118" s="369"/>
      <c r="M118" s="370"/>
      <c r="N118" s="358"/>
      <c r="O118" s="358"/>
      <c r="P118" s="1624"/>
      <c r="Q118" s="279"/>
      <c r="R118" s="145"/>
      <c r="S118" s="145"/>
      <c r="T118" s="145"/>
      <c r="U118" s="145"/>
      <c r="V118" s="145"/>
      <c r="W118" s="145"/>
      <c r="X118" s="145"/>
      <c r="Y118" s="145"/>
      <c r="Z118" s="145"/>
      <c r="AA118" s="145"/>
      <c r="AB118" s="145"/>
      <c r="AC118" s="145"/>
    </row>
    <row r="119" ht="14.55" spans="1:29">
      <c r="A119" s="309"/>
      <c r="B119" s="314"/>
      <c r="C119" s="322"/>
      <c r="D119" s="311"/>
      <c r="E119" s="311"/>
      <c r="F119" s="311"/>
      <c r="G119" s="311"/>
      <c r="H119" s="311"/>
      <c r="I119" s="311"/>
      <c r="J119" s="311"/>
      <c r="K119" s="311"/>
      <c r="L119" s="311"/>
      <c r="M119" s="360"/>
      <c r="N119" s="361"/>
      <c r="O119" s="361"/>
      <c r="P119" s="1624"/>
      <c r="Q119" s="279"/>
      <c r="R119" s="145"/>
      <c r="S119" s="145"/>
      <c r="T119" s="145"/>
      <c r="U119" s="145"/>
      <c r="V119" s="145"/>
      <c r="W119" s="145"/>
      <c r="X119" s="145"/>
      <c r="Y119" s="145"/>
      <c r="Z119" s="145"/>
      <c r="AA119" s="145"/>
      <c r="AB119" s="145"/>
      <c r="AC119" s="145"/>
    </row>
    <row r="120" s="17" customFormat="1" ht="15.15" spans="1:29">
      <c r="A120" s="341"/>
      <c r="B120" s="312" t="s">
        <v>1531</v>
      </c>
      <c r="C120" s="337"/>
      <c r="D120" s="337"/>
      <c r="E120" s="337"/>
      <c r="F120" s="337"/>
      <c r="G120" s="321"/>
      <c r="H120" s="321"/>
      <c r="I120" s="321"/>
      <c r="J120" s="321"/>
      <c r="K120" s="321"/>
      <c r="L120" s="369"/>
      <c r="M120" s="370"/>
      <c r="N120" s="371"/>
      <c r="O120" s="371"/>
      <c r="P120" s="1629"/>
      <c r="Q120" s="403"/>
      <c r="R120" s="404"/>
      <c r="S120" s="404"/>
      <c r="T120" s="404"/>
      <c r="U120" s="404"/>
      <c r="V120" s="404"/>
      <c r="W120" s="404"/>
      <c r="X120" s="404"/>
      <c r="Y120" s="404"/>
      <c r="Z120" s="404"/>
      <c r="AA120" s="404"/>
      <c r="AB120" s="404"/>
      <c r="AC120" s="404"/>
    </row>
    <row r="121" s="17" customFormat="1" ht="14.55" spans="1:29">
      <c r="A121" s="319"/>
      <c r="B121" s="310"/>
      <c r="C121" s="333">
        <v>100</v>
      </c>
      <c r="D121" s="315">
        <f>C121-$K41</f>
        <v>100</v>
      </c>
      <c r="E121" s="315">
        <f t="shared" ref="E121:M121" si="29">D121-$K41</f>
        <v>100</v>
      </c>
      <c r="F121" s="315">
        <f t="shared" si="29"/>
        <v>100</v>
      </c>
      <c r="G121" s="315">
        <f t="shared" si="29"/>
        <v>100</v>
      </c>
      <c r="H121" s="315">
        <f t="shared" si="29"/>
        <v>100</v>
      </c>
      <c r="I121" s="315">
        <f t="shared" si="29"/>
        <v>100</v>
      </c>
      <c r="J121" s="315">
        <f t="shared" si="29"/>
        <v>100</v>
      </c>
      <c r="K121" s="315">
        <f t="shared" si="29"/>
        <v>100</v>
      </c>
      <c r="L121" s="315">
        <f t="shared" si="29"/>
        <v>100</v>
      </c>
      <c r="M121" s="365">
        <f t="shared" si="29"/>
        <v>100</v>
      </c>
      <c r="N121" s="371"/>
      <c r="O121" s="371"/>
      <c r="P121" s="1629"/>
      <c r="Q121" s="403"/>
      <c r="R121" s="404"/>
      <c r="S121" s="404"/>
      <c r="T121" s="404"/>
      <c r="U121" s="404"/>
      <c r="V121" s="404"/>
      <c r="W121" s="404"/>
      <c r="X121" s="404"/>
      <c r="Y121" s="404"/>
      <c r="Z121" s="404"/>
      <c r="AA121" s="404"/>
      <c r="AB121" s="404"/>
      <c r="AC121" s="404"/>
    </row>
    <row r="122" ht="15.15" spans="1:29">
      <c r="A122" s="344"/>
      <c r="B122" s="312" t="s">
        <v>1470</v>
      </c>
      <c r="C122" s="320"/>
      <c r="D122" s="320"/>
      <c r="E122" s="320"/>
      <c r="F122" s="337"/>
      <c r="G122" s="337"/>
      <c r="H122" s="337"/>
      <c r="I122" s="337"/>
      <c r="J122" s="337"/>
      <c r="K122" s="388"/>
      <c r="L122" s="389"/>
      <c r="M122" s="390"/>
      <c r="N122" s="358"/>
      <c r="O122" s="358"/>
      <c r="P122" s="1624"/>
      <c r="Q122" s="279"/>
      <c r="R122" s="145"/>
      <c r="S122" s="145"/>
      <c r="T122" s="145"/>
      <c r="U122" s="145"/>
      <c r="V122" s="145"/>
      <c r="W122" s="145"/>
      <c r="X122" s="145"/>
      <c r="Y122" s="145"/>
      <c r="Z122" s="145"/>
      <c r="AA122" s="145"/>
      <c r="AB122" s="145"/>
      <c r="AC122" s="145"/>
    </row>
    <row r="123" ht="14.55" spans="1:29">
      <c r="A123" s="309"/>
      <c r="B123" s="314"/>
      <c r="C123" s="315">
        <v>100</v>
      </c>
      <c r="D123" s="315">
        <f t="shared" ref="D123:M123" si="30">C123-$K42</f>
        <v>100</v>
      </c>
      <c r="E123" s="315">
        <f t="shared" si="30"/>
        <v>100</v>
      </c>
      <c r="F123" s="315">
        <f t="shared" si="30"/>
        <v>100</v>
      </c>
      <c r="G123" s="315">
        <f t="shared" si="30"/>
        <v>100</v>
      </c>
      <c r="H123" s="315">
        <f t="shared" si="30"/>
        <v>100</v>
      </c>
      <c r="I123" s="315">
        <f t="shared" si="30"/>
        <v>100</v>
      </c>
      <c r="J123" s="315">
        <f t="shared" si="30"/>
        <v>100</v>
      </c>
      <c r="K123" s="315">
        <f t="shared" si="30"/>
        <v>100</v>
      </c>
      <c r="L123" s="315">
        <f t="shared" si="30"/>
        <v>100</v>
      </c>
      <c r="M123" s="365">
        <f t="shared" si="30"/>
        <v>100</v>
      </c>
      <c r="N123" s="361"/>
      <c r="O123" s="361"/>
      <c r="P123" s="1624"/>
      <c r="Q123" s="279"/>
      <c r="R123" s="145"/>
      <c r="S123" s="145"/>
      <c r="T123" s="145"/>
      <c r="U123" s="145"/>
      <c r="V123" s="145"/>
      <c r="W123" s="145"/>
      <c r="X123" s="145"/>
      <c r="Y123" s="145"/>
      <c r="Z123" s="145"/>
      <c r="AA123" s="145"/>
      <c r="AB123" s="145"/>
      <c r="AC123" s="145"/>
    </row>
    <row r="124" ht="29.55" spans="1:29">
      <c r="A124" s="344"/>
      <c r="B124" s="312" t="s">
        <v>1471</v>
      </c>
      <c r="C124" s="331" t="s">
        <v>1489</v>
      </c>
      <c r="D124" s="331" t="s">
        <v>1490</v>
      </c>
      <c r="E124" s="331" t="s">
        <v>1491</v>
      </c>
      <c r="F124" s="331" t="s">
        <v>1492</v>
      </c>
      <c r="G124" s="331" t="s">
        <v>1493</v>
      </c>
      <c r="H124" s="313"/>
      <c r="I124" s="313"/>
      <c r="J124" s="313"/>
      <c r="K124" s="362"/>
      <c r="L124" s="363"/>
      <c r="M124" s="364"/>
      <c r="N124" s="358"/>
      <c r="O124" s="358"/>
      <c r="P124" s="1629"/>
      <c r="Q124" s="279"/>
      <c r="R124" s="145"/>
      <c r="S124" s="145"/>
      <c r="T124" s="145"/>
      <c r="U124" s="145"/>
      <c r="V124" s="145"/>
      <c r="W124" s="145"/>
      <c r="X124" s="145"/>
      <c r="Y124" s="145"/>
      <c r="Z124" s="145"/>
      <c r="AA124" s="145"/>
      <c r="AB124" s="145"/>
      <c r="AC124" s="145"/>
    </row>
    <row r="125" ht="14.55" spans="1:29">
      <c r="A125" s="309"/>
      <c r="B125" s="314"/>
      <c r="C125" s="315">
        <v>100</v>
      </c>
      <c r="D125" s="315">
        <f>C125-$K43</f>
        <v>100</v>
      </c>
      <c r="E125" s="315">
        <f>D125-$K43</f>
        <v>100</v>
      </c>
      <c r="F125" s="315">
        <f>E125-$K43</f>
        <v>100</v>
      </c>
      <c r="G125" s="315">
        <f>F125-$K43</f>
        <v>100</v>
      </c>
      <c r="H125" s="315"/>
      <c r="I125" s="315"/>
      <c r="J125" s="315"/>
      <c r="K125" s="315"/>
      <c r="L125" s="315"/>
      <c r="M125" s="365"/>
      <c r="N125" s="361"/>
      <c r="O125" s="361"/>
      <c r="P125" s="1624"/>
      <c r="Q125" s="279"/>
      <c r="R125" s="145"/>
      <c r="S125" s="145"/>
      <c r="T125" s="145"/>
      <c r="U125" s="145"/>
      <c r="V125" s="145"/>
      <c r="W125" s="145"/>
      <c r="X125" s="145"/>
      <c r="Y125" s="145"/>
      <c r="Z125" s="145"/>
      <c r="AA125" s="145"/>
      <c r="AB125" s="145"/>
      <c r="AC125" s="145"/>
    </row>
    <row r="126" s="17" customFormat="1" ht="14.55" spans="1:29">
      <c r="A126" s="341"/>
      <c r="B126" s="312">
        <f>B44</f>
        <v>111</v>
      </c>
      <c r="C126" s="320"/>
      <c r="D126" s="320"/>
      <c r="E126" s="320"/>
      <c r="F126" s="320"/>
      <c r="G126" s="320"/>
      <c r="H126" s="321"/>
      <c r="I126" s="321"/>
      <c r="J126" s="321"/>
      <c r="K126" s="321"/>
      <c r="L126" s="369"/>
      <c r="M126" s="370"/>
      <c r="N126" s="371"/>
      <c r="O126" s="371"/>
      <c r="P126" s="1629"/>
      <c r="Q126" s="403"/>
      <c r="R126" s="404"/>
      <c r="S126" s="404"/>
      <c r="T126" s="404"/>
      <c r="U126" s="404"/>
      <c r="V126" s="404"/>
      <c r="W126" s="404"/>
      <c r="X126" s="404"/>
      <c r="Y126" s="404"/>
      <c r="Z126" s="404"/>
      <c r="AA126" s="404"/>
      <c r="AB126" s="404"/>
      <c r="AC126" s="404"/>
    </row>
    <row r="127" s="17" customFormat="1" ht="14.55" spans="1:29">
      <c r="A127" s="319"/>
      <c r="B127" s="314"/>
      <c r="C127" s="322"/>
      <c r="D127" s="311"/>
      <c r="E127" s="311"/>
      <c r="F127" s="311"/>
      <c r="G127" s="322"/>
      <c r="H127" s="323"/>
      <c r="I127" s="323"/>
      <c r="J127" s="323"/>
      <c r="K127" s="323"/>
      <c r="L127" s="323"/>
      <c r="M127" s="373"/>
      <c r="N127" s="371"/>
      <c r="O127" s="371"/>
      <c r="P127" s="1629"/>
      <c r="Q127" s="403"/>
      <c r="R127" s="404"/>
      <c r="S127" s="404"/>
      <c r="T127" s="404"/>
      <c r="U127" s="404"/>
      <c r="V127" s="404"/>
      <c r="W127" s="404"/>
      <c r="X127" s="404"/>
      <c r="Y127" s="404"/>
      <c r="Z127" s="404"/>
      <c r="AA127" s="404"/>
      <c r="AB127" s="404"/>
      <c r="AC127" s="404"/>
    </row>
    <row r="128" ht="14.55" spans="1:29">
      <c r="A128" s="344"/>
      <c r="B128" s="312">
        <f>B45</f>
        <v>111</v>
      </c>
      <c r="C128" s="320"/>
      <c r="D128" s="320"/>
      <c r="E128" s="320"/>
      <c r="F128" s="320"/>
      <c r="G128" s="337"/>
      <c r="H128" s="337"/>
      <c r="I128" s="337"/>
      <c r="J128" s="337"/>
      <c r="K128" s="388"/>
      <c r="L128" s="389"/>
      <c r="M128" s="390"/>
      <c r="N128" s="358"/>
      <c r="O128" s="358"/>
      <c r="P128" s="1624"/>
      <c r="Q128" s="279"/>
      <c r="R128" s="145"/>
      <c r="S128" s="145"/>
      <c r="T128" s="145"/>
      <c r="U128" s="145"/>
      <c r="V128" s="145"/>
      <c r="W128" s="145"/>
      <c r="X128" s="145"/>
      <c r="Y128" s="145"/>
      <c r="Z128" s="145"/>
      <c r="AA128" s="145"/>
      <c r="AB128" s="145"/>
      <c r="AC128" s="145"/>
    </row>
    <row r="129" ht="14.55" spans="1:29">
      <c r="A129" s="309"/>
      <c r="B129" s="314"/>
      <c r="C129" s="322"/>
      <c r="D129" s="311"/>
      <c r="E129" s="311"/>
      <c r="F129" s="311"/>
      <c r="G129" s="311"/>
      <c r="H129" s="311"/>
      <c r="I129" s="311"/>
      <c r="J129" s="311"/>
      <c r="K129" s="311"/>
      <c r="L129" s="311"/>
      <c r="M129" s="360"/>
      <c r="N129" s="361"/>
      <c r="O129" s="361"/>
      <c r="P129" s="1624"/>
      <c r="Q129" s="279"/>
      <c r="R129" s="145"/>
      <c r="S129" s="145"/>
      <c r="T129" s="145"/>
      <c r="U129" s="145"/>
      <c r="V129" s="145"/>
      <c r="W129" s="145"/>
      <c r="X129" s="145"/>
      <c r="Y129" s="145"/>
      <c r="Z129" s="145"/>
      <c r="AA129" s="145"/>
      <c r="AB129" s="145"/>
      <c r="AC129" s="145"/>
    </row>
    <row r="130" ht="14.55" spans="1:29">
      <c r="A130" s="344"/>
      <c r="B130" s="316">
        <f>B46</f>
        <v>111</v>
      </c>
      <c r="C130" s="320"/>
      <c r="D130" s="320"/>
      <c r="E130" s="320"/>
      <c r="F130" s="320"/>
      <c r="G130" s="339"/>
      <c r="H130" s="339"/>
      <c r="I130" s="339"/>
      <c r="J130" s="339"/>
      <c r="K130" s="304"/>
      <c r="L130" s="350"/>
      <c r="M130" s="393"/>
      <c r="N130" s="358"/>
      <c r="O130" s="358"/>
      <c r="P130" s="1624"/>
      <c r="Q130" s="279"/>
      <c r="R130" s="145"/>
      <c r="S130" s="145"/>
      <c r="T130" s="145"/>
      <c r="U130" s="145"/>
      <c r="V130" s="145"/>
      <c r="W130" s="145"/>
      <c r="X130" s="145"/>
      <c r="Y130" s="145"/>
      <c r="Z130" s="145"/>
      <c r="AA130" s="145"/>
      <c r="AB130" s="145"/>
      <c r="AC130" s="145"/>
    </row>
    <row r="131" ht="14.55" spans="1:29">
      <c r="A131" s="1565"/>
      <c r="B131" s="326"/>
      <c r="C131" s="327"/>
      <c r="D131" s="327"/>
      <c r="E131" s="327"/>
      <c r="F131" s="327"/>
      <c r="G131" s="340"/>
      <c r="H131" s="340"/>
      <c r="I131" s="340"/>
      <c r="J131" s="340"/>
      <c r="K131" s="340"/>
      <c r="L131" s="340"/>
      <c r="M131" s="394"/>
      <c r="N131" s="361"/>
      <c r="O131" s="361"/>
      <c r="P131" s="1624"/>
      <c r="Q131" s="279"/>
      <c r="R131" s="145"/>
      <c r="S131" s="145"/>
      <c r="T131" s="145"/>
      <c r="U131" s="145"/>
      <c r="V131" s="145"/>
      <c r="W131" s="145"/>
      <c r="X131" s="145"/>
      <c r="Y131" s="145"/>
      <c r="Z131" s="145"/>
      <c r="AA131" s="145"/>
      <c r="AB131" s="145"/>
      <c r="AC131" s="14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C25 E25 G25 I25">
      <formula1>商业临街状况</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39 E39 G39 I39">
      <formula1>商业层高</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42 E42 G42 I42">
      <formula1>商业内部装修</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F33" sqref="F33"/>
    </sheetView>
  </sheetViews>
  <sheetFormatPr defaultColWidth="9" defaultRowHeight="13.8"/>
  <cols>
    <col min="1" max="1" width="10.4444444444444" style="21" customWidth="1"/>
    <col min="2" max="2" width="15.7777777777778" style="21" customWidth="1"/>
    <col min="3" max="3" width="15.6666666666667" style="21" customWidth="1"/>
    <col min="4" max="4" width="12.2222222222222" style="21" customWidth="1"/>
    <col min="5" max="5" width="14.3333333333333" style="21" customWidth="1"/>
    <col min="6" max="6" width="12.2222222222222" style="21" customWidth="1"/>
    <col min="7" max="7" width="14.4444444444444" style="21" customWidth="1"/>
    <col min="8" max="8" width="12.2222222222222" style="21" customWidth="1"/>
    <col min="9" max="9" width="14.4444444444444" style="21" customWidth="1"/>
    <col min="10" max="10" width="12.2222222222222" style="21" customWidth="1"/>
    <col min="11" max="11" width="12.2222222222222" style="22" customWidth="1"/>
    <col min="12" max="12" width="12.2222222222222" style="23" customWidth="1"/>
    <col min="13" max="15" width="12.2222222222222" style="21" customWidth="1"/>
    <col min="16" max="16" width="4.77777777777778" style="1471" customWidth="1"/>
    <col min="17" max="17" width="19.4444444444444" style="21" customWidth="1"/>
    <col min="18" max="22" width="6.11111111111111" style="21" customWidth="1"/>
    <col min="23" max="23" width="5.77777777777778" style="21" customWidth="1"/>
    <col min="24" max="24" width="4.22222222222222" style="21" customWidth="1"/>
    <col min="25" max="25" width="3.44444444444444" style="21" customWidth="1"/>
    <col min="26" max="26" width="19.7777777777778" style="21" customWidth="1"/>
    <col min="27" max="28" width="9.33333333333333" style="21" customWidth="1"/>
    <col min="29" max="16384" width="9" style="21"/>
  </cols>
  <sheetData>
    <row r="1" s="1391" customFormat="1" ht="28.5" customHeight="1" spans="1:29">
      <c r="A1" s="1392" t="s">
        <v>1419</v>
      </c>
      <c r="B1" s="1528" t="s">
        <v>1532</v>
      </c>
      <c r="C1" s="1394" t="s">
        <v>1421</v>
      </c>
      <c r="D1" s="1395"/>
      <c r="E1" s="1396"/>
      <c r="F1" s="1397"/>
      <c r="G1" s="1398" t="s">
        <v>1423</v>
      </c>
      <c r="H1" s="1396"/>
      <c r="I1" s="1396"/>
      <c r="J1" s="1396"/>
      <c r="K1" s="1449"/>
      <c r="L1" s="1450"/>
      <c r="M1" s="1451"/>
      <c r="N1" s="1451"/>
      <c r="O1" s="1451"/>
      <c r="P1" s="1394"/>
      <c r="Q1" s="1394"/>
      <c r="R1" s="1394"/>
      <c r="S1" s="1394"/>
      <c r="T1" s="1394"/>
      <c r="U1" s="1394"/>
      <c r="V1" s="1394"/>
      <c r="W1" s="1394"/>
      <c r="X1" s="1394"/>
      <c r="Y1" s="1394"/>
      <c r="Z1" s="1394"/>
      <c r="AA1" s="1394"/>
      <c r="AB1" s="1394"/>
      <c r="AC1" s="1458"/>
    </row>
    <row r="2" s="14" customFormat="1" ht="28.5" customHeight="1" spans="1:29">
      <c r="A2" s="1399" t="s">
        <v>937</v>
      </c>
      <c r="B2" s="1400" t="e">
        <f ca="1">IF(C2="——",ROUND(C50*D3/10000,0),ROUND(C50*D3/10000,0)-D2)</f>
        <v>#DIV/0!</v>
      </c>
      <c r="C2" s="1401"/>
      <c r="D2" s="1572" t="e">
        <f ca="1">SUMIF(INDIRECT("'"&amp;F2&amp;"'"&amp;"!A:A"),"承租人权益价值",INDIRECT("'"&amp;F2&amp;"'"&amp;"!c:c"))</f>
        <v>#REF!</v>
      </c>
      <c r="E2" s="1402" t="s">
        <v>938</v>
      </c>
      <c r="F2" s="1403"/>
      <c r="G2" s="31"/>
      <c r="H2" s="31"/>
      <c r="I2" s="31"/>
      <c r="J2" s="31"/>
      <c r="K2" s="31"/>
      <c r="L2" s="201"/>
      <c r="M2" s="202"/>
      <c r="N2" s="202"/>
      <c r="O2" s="202"/>
      <c r="P2" s="199"/>
      <c r="Q2" s="199"/>
      <c r="R2" s="199"/>
      <c r="S2" s="199"/>
      <c r="T2" s="199"/>
      <c r="U2" s="199"/>
      <c r="V2" s="199"/>
      <c r="W2" s="199"/>
      <c r="X2" s="199"/>
      <c r="Y2" s="199"/>
      <c r="Z2" s="199"/>
      <c r="AA2" s="199"/>
      <c r="AB2" s="199"/>
      <c r="AC2" s="280"/>
    </row>
    <row r="3" s="14" customFormat="1" ht="28.5" customHeight="1" spans="1:29">
      <c r="A3" s="33" t="s">
        <v>939</v>
      </c>
      <c r="B3" s="34" t="e">
        <f ca="1">IF(C2="——",C50,ROUND(B2*10000/D3,0))</f>
        <v>#DIV/0!</v>
      </c>
      <c r="C3" s="1404" t="s">
        <v>1424</v>
      </c>
      <c r="D3" s="1405">
        <f>IF(D1="",'数据-汇总表'!E3,SUMIF('数据-汇总表'!$C19:$C33,D1,'数据-汇总表'!$E19:$E33))</f>
        <v>18907.05</v>
      </c>
      <c r="E3" s="1573"/>
      <c r="F3" s="32"/>
      <c r="G3" s="31"/>
      <c r="H3" s="31"/>
      <c r="I3" s="31"/>
      <c r="J3" s="31"/>
      <c r="K3" s="200"/>
      <c r="L3" s="201"/>
      <c r="M3" s="202"/>
      <c r="N3" s="202"/>
      <c r="O3" s="202"/>
      <c r="P3" s="199"/>
      <c r="Q3" s="199"/>
      <c r="R3" s="199"/>
      <c r="S3" s="199"/>
      <c r="T3" s="199"/>
      <c r="U3" s="199"/>
      <c r="V3" s="199"/>
      <c r="W3" s="199"/>
      <c r="X3" s="199"/>
      <c r="Y3" s="199"/>
      <c r="Z3" s="199"/>
      <c r="AA3" s="199"/>
      <c r="AB3" s="199"/>
      <c r="AC3" s="280"/>
    </row>
    <row r="4" ht="14.4" spans="1:29">
      <c r="A4" s="36" t="s">
        <v>1425</v>
      </c>
      <c r="B4" s="37"/>
      <c r="C4" s="38" t="s">
        <v>1426</v>
      </c>
      <c r="D4" s="39"/>
      <c r="E4" s="40" t="s">
        <v>1427</v>
      </c>
      <c r="F4" s="41"/>
      <c r="G4" s="38" t="s">
        <v>1428</v>
      </c>
      <c r="H4" s="39"/>
      <c r="I4" s="38" t="s">
        <v>1429</v>
      </c>
      <c r="J4" s="39"/>
      <c r="K4" s="203" t="s">
        <v>1430</v>
      </c>
      <c r="L4" s="204"/>
      <c r="M4" s="205"/>
      <c r="N4" s="205"/>
      <c r="O4" s="205"/>
      <c r="P4" s="1583" t="s">
        <v>1431</v>
      </c>
      <c r="Q4" s="1593"/>
      <c r="R4" s="1594" t="s">
        <v>1427</v>
      </c>
      <c r="S4" s="1595"/>
      <c r="T4" s="1594" t="s">
        <v>1428</v>
      </c>
      <c r="U4" s="1595"/>
      <c r="V4" s="160" t="s">
        <v>1429</v>
      </c>
      <c r="W4" s="160"/>
      <c r="X4" s="1596"/>
      <c r="Y4" s="1594" t="s">
        <v>1431</v>
      </c>
      <c r="Z4" s="1595"/>
      <c r="AA4" s="1596" t="s">
        <v>1427</v>
      </c>
      <c r="AB4" s="1596" t="s">
        <v>1428</v>
      </c>
      <c r="AC4" s="1600" t="s">
        <v>1429</v>
      </c>
    </row>
    <row r="5" spans="1:29">
      <c r="A5" s="42"/>
      <c r="B5" s="43"/>
      <c r="C5" s="44" t="s">
        <v>1432</v>
      </c>
      <c r="D5" s="45"/>
      <c r="E5" s="46" t="s">
        <v>1433</v>
      </c>
      <c r="F5" s="47"/>
      <c r="G5" s="44" t="s">
        <v>1434</v>
      </c>
      <c r="H5" s="45"/>
      <c r="I5" s="44" t="s">
        <v>1435</v>
      </c>
      <c r="J5" s="45"/>
      <c r="K5" s="203"/>
      <c r="L5" s="204"/>
      <c r="M5" s="205"/>
      <c r="N5" s="205"/>
      <c r="O5" s="205"/>
      <c r="P5" s="1584"/>
      <c r="Q5" s="259"/>
      <c r="R5" s="260"/>
      <c r="S5" s="261"/>
      <c r="T5" s="260"/>
      <c r="U5" s="261"/>
      <c r="V5" s="244"/>
      <c r="W5" s="244"/>
      <c r="X5" s="258"/>
      <c r="Y5" s="260"/>
      <c r="Z5" s="261"/>
      <c r="AA5" s="258"/>
      <c r="AB5" s="258"/>
      <c r="AC5" s="1484"/>
    </row>
    <row r="6" ht="15.15" spans="1:29">
      <c r="A6" s="48"/>
      <c r="B6" s="49"/>
      <c r="C6" s="1353" t="s">
        <v>1436</v>
      </c>
      <c r="D6" s="1354"/>
      <c r="E6" s="1355" t="s">
        <v>1436</v>
      </c>
      <c r="F6" s="1356"/>
      <c r="G6" s="1353" t="s">
        <v>1436</v>
      </c>
      <c r="H6" s="1354"/>
      <c r="I6" s="1353" t="s">
        <v>1436</v>
      </c>
      <c r="J6" s="1354"/>
      <c r="K6" s="203" t="s">
        <v>1437</v>
      </c>
      <c r="L6" s="204"/>
      <c r="M6" s="205"/>
      <c r="N6" s="205"/>
      <c r="O6" s="205"/>
      <c r="P6" s="1585"/>
      <c r="Q6" s="262"/>
      <c r="R6" s="260"/>
      <c r="S6" s="261"/>
      <c r="T6" s="263"/>
      <c r="U6" s="264"/>
      <c r="V6" s="244"/>
      <c r="W6" s="244"/>
      <c r="X6" s="258"/>
      <c r="Y6" s="263"/>
      <c r="Z6" s="264"/>
      <c r="AA6" s="284"/>
      <c r="AB6" s="284"/>
      <c r="AC6" s="1601"/>
    </row>
    <row r="7" s="15" customFormat="1" ht="15.15" spans="1:29">
      <c r="A7" s="54" t="s">
        <v>1438</v>
      </c>
      <c r="B7" s="55"/>
      <c r="C7" s="56">
        <f>'数据-取费表'!B2</f>
        <v>44802</v>
      </c>
      <c r="D7" s="57">
        <v>100</v>
      </c>
      <c r="E7" s="58"/>
      <c r="F7" s="59">
        <f>SUMIF(59:59,YEAR(E7)&amp;"-"&amp;MONTH(E7),60:60)</f>
        <v>0</v>
      </c>
      <c r="G7" s="58"/>
      <c r="H7" s="57">
        <f>SUMIF(59:59,YEAR(G7)&amp;"-"&amp;MONTH(G7),60:60)</f>
        <v>0</v>
      </c>
      <c r="I7" s="58"/>
      <c r="J7" s="57">
        <f>SUMIF(59:59,YEAR(I7)&amp;"-"&amp;MONTH(I7),60:60)</f>
        <v>0</v>
      </c>
      <c r="K7" s="209"/>
      <c r="L7" s="210"/>
      <c r="M7" s="211"/>
      <c r="N7" s="211"/>
      <c r="O7" s="211"/>
      <c r="P7" s="1586" t="s">
        <v>1439</v>
      </c>
      <c r="Q7" s="265"/>
      <c r="R7" s="266" t="s">
        <v>1440</v>
      </c>
      <c r="S7" s="267">
        <f t="shared" ref="S7:S15" si="0">F7</f>
        <v>0</v>
      </c>
      <c r="T7" s="266" t="s">
        <v>1440</v>
      </c>
      <c r="U7" s="267">
        <f t="shared" ref="U7:U15" si="1">H7</f>
        <v>0</v>
      </c>
      <c r="V7" s="266" t="s">
        <v>1440</v>
      </c>
      <c r="W7" s="267">
        <f t="shared" ref="W7:W15" si="2">J7</f>
        <v>0</v>
      </c>
      <c r="X7" s="268"/>
      <c r="Y7" s="212" t="s">
        <v>1439</v>
      </c>
      <c r="Z7" s="269"/>
      <c r="AA7" s="285" t="e">
        <f>D7/F7</f>
        <v>#DIV/0!</v>
      </c>
      <c r="AB7" s="285" t="e">
        <f>D7/H7</f>
        <v>#DIV/0!</v>
      </c>
      <c r="AC7" s="1602" t="e">
        <f>D7/J7</f>
        <v>#DIV/0!</v>
      </c>
    </row>
    <row r="8" s="15" customFormat="1" ht="15.15" spans="1:29">
      <c r="A8" s="54" t="s">
        <v>1441</v>
      </c>
      <c r="B8" s="55"/>
      <c r="C8" s="61" t="s">
        <v>1442</v>
      </c>
      <c r="D8" s="57">
        <v>100</v>
      </c>
      <c r="E8" s="61"/>
      <c r="F8" s="59">
        <f>SUMIF(62:62,E8,63:63)-SUMIF(62:62,C8,63:63)+100</f>
        <v>0</v>
      </c>
      <c r="G8" s="61"/>
      <c r="H8" s="57">
        <f>SUMIF(62:62,G8,63:63)-SUMIF(62:62,C8,63:63)+100</f>
        <v>0</v>
      </c>
      <c r="I8" s="61"/>
      <c r="J8" s="57">
        <f>SUMIF(62:62,I8,63:63)-SUMIF(62:62,C8,63:63)+100</f>
        <v>0</v>
      </c>
      <c r="K8" s="209"/>
      <c r="L8" s="210"/>
      <c r="M8" s="211"/>
      <c r="N8" s="211"/>
      <c r="O8" s="211"/>
      <c r="P8" s="1586" t="s">
        <v>1443</v>
      </c>
      <c r="Q8" s="269"/>
      <c r="R8" s="266" t="s">
        <v>1440</v>
      </c>
      <c r="S8" s="267">
        <f t="shared" si="0"/>
        <v>0</v>
      </c>
      <c r="T8" s="266" t="s">
        <v>1440</v>
      </c>
      <c r="U8" s="267">
        <f t="shared" si="1"/>
        <v>0</v>
      </c>
      <c r="V8" s="266" t="s">
        <v>1440</v>
      </c>
      <c r="W8" s="267">
        <f t="shared" si="2"/>
        <v>0</v>
      </c>
      <c r="X8" s="268"/>
      <c r="Y8" s="212" t="s">
        <v>1443</v>
      </c>
      <c r="Z8" s="269"/>
      <c r="AA8" s="285" t="e">
        <f t="shared" ref="AA8:AA47" si="3">D8/F8</f>
        <v>#DIV/0!</v>
      </c>
      <c r="AB8" s="285" t="e">
        <f t="shared" ref="AB8:AB47" si="4">D8/H8</f>
        <v>#DIV/0!</v>
      </c>
      <c r="AC8" s="1602" t="e">
        <f t="shared" ref="AC8:AC47" si="5">D8/J8</f>
        <v>#DIV/0!</v>
      </c>
    </row>
    <row r="9" s="15" customFormat="1" ht="14.4" spans="1:29">
      <c r="A9" s="62" t="s">
        <v>1444</v>
      </c>
      <c r="B9" s="63" t="s">
        <v>1445</v>
      </c>
      <c r="C9" s="1406"/>
      <c r="D9" s="65">
        <v>100</v>
      </c>
      <c r="E9" s="1407"/>
      <c r="F9" s="65">
        <f>SUMIF(64:64,E9,65:65)-SUMIF(64:64,C9,65:65)+100</f>
        <v>100</v>
      </c>
      <c r="G9" s="1476"/>
      <c r="H9" s="65">
        <f>SUMIF(64:64,G9,65:65)-SUMIF(64:64,C9,65:65)+100</f>
        <v>100</v>
      </c>
      <c r="I9" s="1476"/>
      <c r="J9" s="65">
        <f>SUMIF(64:64,I9,65:65)-SUMIF(64:64,C9,65:65)+100</f>
        <v>100</v>
      </c>
      <c r="K9" s="209"/>
      <c r="L9" s="210"/>
      <c r="M9" s="211"/>
      <c r="N9" s="211"/>
      <c r="O9" s="211"/>
      <c r="P9" s="168" t="s">
        <v>1446</v>
      </c>
      <c r="Q9" s="270" t="str">
        <f t="shared" ref="Q9:Q15" si="6">B9</f>
        <v>用途</v>
      </c>
      <c r="R9" s="266" t="s">
        <v>1440</v>
      </c>
      <c r="S9" s="267">
        <f t="shared" si="0"/>
        <v>100</v>
      </c>
      <c r="T9" s="266" t="s">
        <v>1440</v>
      </c>
      <c r="U9" s="267">
        <f t="shared" si="1"/>
        <v>100</v>
      </c>
      <c r="V9" s="266" t="s">
        <v>1440</v>
      </c>
      <c r="W9" s="267">
        <f t="shared" si="2"/>
        <v>100</v>
      </c>
      <c r="X9" s="268"/>
      <c r="Y9" s="270" t="s">
        <v>1447</v>
      </c>
      <c r="Z9" s="286" t="str">
        <f t="shared" ref="Z9:Z15" si="7">Q9</f>
        <v>用途</v>
      </c>
      <c r="AA9" s="285">
        <f t="shared" si="3"/>
        <v>1</v>
      </c>
      <c r="AB9" s="285">
        <f t="shared" si="4"/>
        <v>1</v>
      </c>
      <c r="AC9" s="1602">
        <f t="shared" si="5"/>
        <v>1</v>
      </c>
    </row>
    <row r="10" s="16" customFormat="1" ht="28.8" spans="1:29">
      <c r="A10" s="66"/>
      <c r="B10" s="67" t="s">
        <v>1448</v>
      </c>
      <c r="C10" s="1409"/>
      <c r="D10" s="69">
        <v>100</v>
      </c>
      <c r="E10" s="1409"/>
      <c r="F10" s="69">
        <f>SUMIF(66:66,E10,67:67)-SUMIF(66:66,C10,67:67)+100</f>
        <v>100</v>
      </c>
      <c r="G10" s="1479"/>
      <c r="H10" s="69">
        <f>SUMIF(66:66,G10,67:67)-SUMIF(66:66,C10,67:67)+100</f>
        <v>100</v>
      </c>
      <c r="I10" s="1409"/>
      <c r="J10" s="69">
        <f>SUMIF(66:66,I10,67:67)-SUMIF(66:66,C10,67:67)+100</f>
        <v>100</v>
      </c>
      <c r="K10" s="228"/>
      <c r="L10" s="215"/>
      <c r="M10" s="216"/>
      <c r="N10" s="216"/>
      <c r="O10" s="216"/>
      <c r="P10" s="168"/>
      <c r="Q10" s="270" t="str">
        <f t="shared" si="6"/>
        <v>土地使用年限（年）</v>
      </c>
      <c r="R10" s="266" t="s">
        <v>1440</v>
      </c>
      <c r="S10" s="267">
        <f t="shared" si="0"/>
        <v>100</v>
      </c>
      <c r="T10" s="266" t="s">
        <v>1440</v>
      </c>
      <c r="U10" s="267">
        <f t="shared" si="1"/>
        <v>100</v>
      </c>
      <c r="V10" s="266" t="s">
        <v>1440</v>
      </c>
      <c r="W10" s="267">
        <f t="shared" si="2"/>
        <v>100</v>
      </c>
      <c r="X10" s="268"/>
      <c r="Y10" s="270"/>
      <c r="Z10" s="286" t="str">
        <f t="shared" si="7"/>
        <v>土地使用年限（年）</v>
      </c>
      <c r="AA10" s="285">
        <f t="shared" si="3"/>
        <v>1</v>
      </c>
      <c r="AB10" s="285">
        <f t="shared" si="4"/>
        <v>1</v>
      </c>
      <c r="AC10" s="1602">
        <f t="shared" si="5"/>
        <v>1</v>
      </c>
    </row>
    <row r="11" ht="15" spans="1:29">
      <c r="A11" s="70"/>
      <c r="B11" s="67" t="s">
        <v>1449</v>
      </c>
      <c r="C11" s="71"/>
      <c r="D11" s="69">
        <v>100</v>
      </c>
      <c r="E11" s="71"/>
      <c r="F11" s="69" t="e">
        <f>LOOKUP(E11,69:69,70:70)-LOOKUP(C11,69:69,70:70)+100</f>
        <v>#N/A</v>
      </c>
      <c r="G11" s="72"/>
      <c r="H11" s="69" t="e">
        <f>LOOKUP(G11,69:69,70:70)-LOOKUP(C11,69:69,70:70)+100</f>
        <v>#N/A</v>
      </c>
      <c r="I11" s="71"/>
      <c r="J11" s="69" t="e">
        <f>LOOKUP(I11,69:69,70:70)-LOOKUP(C11,69:69,70:70)+100</f>
        <v>#N/A</v>
      </c>
      <c r="K11" s="228"/>
      <c r="L11" s="219"/>
      <c r="M11" s="205"/>
      <c r="N11" s="205"/>
      <c r="O11" s="205"/>
      <c r="P11" s="168"/>
      <c r="Q11" s="270" t="str">
        <f t="shared" si="6"/>
        <v>容积率</v>
      </c>
      <c r="R11" s="266" t="s">
        <v>1440</v>
      </c>
      <c r="S11" s="267" t="e">
        <f t="shared" si="0"/>
        <v>#N/A</v>
      </c>
      <c r="T11" s="266" t="s">
        <v>1440</v>
      </c>
      <c r="U11" s="267" t="e">
        <f t="shared" si="1"/>
        <v>#N/A</v>
      </c>
      <c r="V11" s="266" t="s">
        <v>1440</v>
      </c>
      <c r="W11" s="267" t="e">
        <f t="shared" si="2"/>
        <v>#N/A</v>
      </c>
      <c r="X11" s="268"/>
      <c r="Y11" s="270"/>
      <c r="Z11" s="286" t="str">
        <f t="shared" si="7"/>
        <v>容积率</v>
      </c>
      <c r="AA11" s="285" t="e">
        <f t="shared" si="3"/>
        <v>#N/A</v>
      </c>
      <c r="AB11" s="285" t="e">
        <f t="shared" si="4"/>
        <v>#N/A</v>
      </c>
      <c r="AC11" s="1602" t="e">
        <f t="shared" si="5"/>
        <v>#N/A</v>
      </c>
    </row>
    <row r="12" s="15" customFormat="1" ht="15" spans="1:29">
      <c r="A12" s="73"/>
      <c r="B12" s="74">
        <v>111</v>
      </c>
      <c r="C12" s="68"/>
      <c r="D12" s="75">
        <v>100</v>
      </c>
      <c r="E12" s="68"/>
      <c r="F12" s="69">
        <f>SUMIF(71:71,E12,72:72)-SUMIF(71:71,C12,72:72)+100</f>
        <v>100</v>
      </c>
      <c r="G12" s="1574"/>
      <c r="H12" s="69">
        <f>SUMIF(71:71,G12,72:72)-SUMIF(71:71,C12,72:72)+100</f>
        <v>100</v>
      </c>
      <c r="I12" s="68"/>
      <c r="J12" s="69">
        <f>SUMIF(71:71,I12,72:72)-SUMIF(71:71,C12,72:72)+100</f>
        <v>100</v>
      </c>
      <c r="K12" s="227"/>
      <c r="L12" s="210"/>
      <c r="M12" s="211"/>
      <c r="N12" s="211"/>
      <c r="O12" s="211"/>
      <c r="P12" s="168"/>
      <c r="Q12" s="270">
        <f t="shared" si="6"/>
        <v>111</v>
      </c>
      <c r="R12" s="266" t="s">
        <v>1440</v>
      </c>
      <c r="S12" s="267">
        <f t="shared" si="0"/>
        <v>100</v>
      </c>
      <c r="T12" s="266" t="s">
        <v>1440</v>
      </c>
      <c r="U12" s="267">
        <f t="shared" si="1"/>
        <v>100</v>
      </c>
      <c r="V12" s="266" t="s">
        <v>1440</v>
      </c>
      <c r="W12" s="267">
        <f t="shared" si="2"/>
        <v>100</v>
      </c>
      <c r="X12" s="268"/>
      <c r="Y12" s="270"/>
      <c r="Z12" s="286">
        <f t="shared" si="7"/>
        <v>111</v>
      </c>
      <c r="AA12" s="285">
        <f t="shared" si="3"/>
        <v>1</v>
      </c>
      <c r="AB12" s="285">
        <f t="shared" si="4"/>
        <v>1</v>
      </c>
      <c r="AC12" s="1602">
        <f t="shared" si="5"/>
        <v>1</v>
      </c>
    </row>
    <row r="13" ht="15" spans="1:29">
      <c r="A13" s="70"/>
      <c r="B13" s="74">
        <v>111</v>
      </c>
      <c r="C13" s="78"/>
      <c r="D13" s="79">
        <v>100</v>
      </c>
      <c r="E13" s="68"/>
      <c r="F13" s="69">
        <f>SUMIF(73:73,E13,74:74)-SUMIF(73:73,C13,74:74)+100</f>
        <v>100</v>
      </c>
      <c r="G13" s="1574"/>
      <c r="H13" s="79">
        <f>SUMIF(73:73,G13,74:74)-SUMIF(73:73,C13,74:74)+100</f>
        <v>100</v>
      </c>
      <c r="I13" s="68"/>
      <c r="J13" s="79">
        <f>SUMIF(73:73,I13,74:74)-SUMIF(73:73,C13,74:74)+100</f>
        <v>100</v>
      </c>
      <c r="K13" s="227"/>
      <c r="L13" s="221"/>
      <c r="M13" s="205"/>
      <c r="N13" s="205"/>
      <c r="O13" s="205"/>
      <c r="P13" s="168"/>
      <c r="Q13" s="270">
        <f t="shared" si="6"/>
        <v>111</v>
      </c>
      <c r="R13" s="266" t="s">
        <v>1440</v>
      </c>
      <c r="S13" s="267">
        <f t="shared" si="0"/>
        <v>100</v>
      </c>
      <c r="T13" s="266" t="s">
        <v>1440</v>
      </c>
      <c r="U13" s="267">
        <f t="shared" si="1"/>
        <v>100</v>
      </c>
      <c r="V13" s="266" t="s">
        <v>1440</v>
      </c>
      <c r="W13" s="267">
        <f t="shared" si="2"/>
        <v>100</v>
      </c>
      <c r="X13" s="268"/>
      <c r="Y13" s="270"/>
      <c r="Z13" s="286">
        <f t="shared" si="7"/>
        <v>111</v>
      </c>
      <c r="AA13" s="285">
        <f t="shared" si="3"/>
        <v>1</v>
      </c>
      <c r="AB13" s="285">
        <f t="shared" si="4"/>
        <v>1</v>
      </c>
      <c r="AC13" s="1602">
        <f t="shared" si="5"/>
        <v>1</v>
      </c>
    </row>
    <row r="14" ht="15.75" spans="1:29">
      <c r="A14" s="80"/>
      <c r="B14" s="81">
        <v>111</v>
      </c>
      <c r="C14" s="82"/>
      <c r="D14" s="83">
        <v>100</v>
      </c>
      <c r="E14" s="1488"/>
      <c r="F14" s="83">
        <f>SUMIF(75:75,E14,76:76)-SUMIF(75:75,C14,76:76)+100</f>
        <v>100</v>
      </c>
      <c r="G14" s="1574"/>
      <c r="H14" s="83">
        <f>SUMIF(75:75,G14,76:76)-SUMIF(75:75,C14,76:76)+100</f>
        <v>100</v>
      </c>
      <c r="I14" s="68"/>
      <c r="J14" s="83">
        <f>SUMIF(75:75,I14,76:76)-SUMIF(75:75,C14,76:76)+100</f>
        <v>100</v>
      </c>
      <c r="K14" s="227"/>
      <c r="L14" s="221"/>
      <c r="M14" s="205"/>
      <c r="N14" s="205"/>
      <c r="O14" s="205"/>
      <c r="P14" s="168"/>
      <c r="Q14" s="270">
        <f t="shared" si="6"/>
        <v>111</v>
      </c>
      <c r="R14" s="266" t="s">
        <v>1440</v>
      </c>
      <c r="S14" s="267">
        <f t="shared" si="0"/>
        <v>100</v>
      </c>
      <c r="T14" s="266" t="s">
        <v>1440</v>
      </c>
      <c r="U14" s="267">
        <f t="shared" si="1"/>
        <v>100</v>
      </c>
      <c r="V14" s="266" t="s">
        <v>1440</v>
      </c>
      <c r="W14" s="267">
        <f t="shared" si="2"/>
        <v>100</v>
      </c>
      <c r="X14" s="268"/>
      <c r="Y14" s="270"/>
      <c r="Z14" s="286">
        <f t="shared" si="7"/>
        <v>111</v>
      </c>
      <c r="AA14" s="285">
        <f t="shared" si="3"/>
        <v>1</v>
      </c>
      <c r="AB14" s="285">
        <f t="shared" si="4"/>
        <v>1</v>
      </c>
      <c r="AC14" s="1602">
        <f t="shared" si="5"/>
        <v>1</v>
      </c>
    </row>
    <row r="15" ht="72" spans="1:29">
      <c r="A15" s="84" t="s">
        <v>1450</v>
      </c>
      <c r="B15" s="85" t="s">
        <v>1533</v>
      </c>
      <c r="C15" s="1575" t="str">
        <f>估价对象房地状况!C5</f>
        <v>估价对象位于XX商圈，周边办公楼项目较多，入驻率高，办公集聚程度较好</v>
      </c>
      <c r="D15" s="87">
        <v>100</v>
      </c>
      <c r="E15" s="222"/>
      <c r="F15" s="87">
        <f>SUMIF(77:77,E16,78:78)-SUMIF(77:77,C16,78:78)+100</f>
        <v>100</v>
      </c>
      <c r="G15" s="88"/>
      <c r="H15" s="87">
        <f>SUMIF(77:77,G16,78:78)-SUMIF(77:77,C16,78:78)+100</f>
        <v>100</v>
      </c>
      <c r="I15" s="88"/>
      <c r="J15" s="87">
        <f>SUMIF(77:77,I16,78:78)-SUMIF(77:77,C16,78:78)+100</f>
        <v>100</v>
      </c>
      <c r="K15" s="1452"/>
      <c r="L15" s="221"/>
      <c r="M15" s="205"/>
      <c r="N15" s="205"/>
      <c r="O15" s="205"/>
      <c r="P15" s="1587" t="s">
        <v>1452</v>
      </c>
      <c r="Q15" s="169" t="str">
        <f t="shared" si="6"/>
        <v>办公集聚程度</v>
      </c>
      <c r="R15" s="271" t="s">
        <v>1440</v>
      </c>
      <c r="S15" s="272">
        <f t="shared" si="0"/>
        <v>100</v>
      </c>
      <c r="T15" s="271" t="s">
        <v>1440</v>
      </c>
      <c r="U15" s="272">
        <f t="shared" si="1"/>
        <v>100</v>
      </c>
      <c r="V15" s="271" t="s">
        <v>1440</v>
      </c>
      <c r="W15" s="272">
        <f t="shared" si="2"/>
        <v>100</v>
      </c>
      <c r="X15" s="258"/>
      <c r="Y15" s="223" t="s">
        <v>1452</v>
      </c>
      <c r="Z15" s="244" t="str">
        <f t="shared" si="7"/>
        <v>办公集聚程度</v>
      </c>
      <c r="AA15" s="287">
        <f t="shared" si="3"/>
        <v>1</v>
      </c>
      <c r="AB15" s="287">
        <f t="shared" si="4"/>
        <v>1</v>
      </c>
      <c r="AC15" s="1603">
        <f t="shared" si="5"/>
        <v>1</v>
      </c>
    </row>
    <row r="16" ht="15" spans="1:29">
      <c r="A16" s="70"/>
      <c r="B16" s="89"/>
      <c r="C16" s="92"/>
      <c r="D16" s="91"/>
      <c r="E16" s="90"/>
      <c r="F16" s="91"/>
      <c r="G16" s="92"/>
      <c r="H16" s="93"/>
      <c r="I16" s="90"/>
      <c r="J16" s="91"/>
      <c r="K16" s="1453"/>
      <c r="L16" s="221"/>
      <c r="M16" s="205"/>
      <c r="N16" s="205"/>
      <c r="O16" s="205"/>
      <c r="P16" s="1588"/>
      <c r="Q16" s="169"/>
      <c r="R16" s="271"/>
      <c r="S16" s="272"/>
      <c r="T16" s="271"/>
      <c r="U16" s="272"/>
      <c r="V16" s="271"/>
      <c r="W16" s="272"/>
      <c r="X16" s="258"/>
      <c r="Y16" s="224"/>
      <c r="Z16" s="244"/>
      <c r="AA16" s="287">
        <v>1</v>
      </c>
      <c r="AB16" s="287">
        <v>1</v>
      </c>
      <c r="AC16" s="1603">
        <v>1</v>
      </c>
    </row>
    <row r="17" ht="86.4" spans="1:29">
      <c r="A17" s="70"/>
      <c r="B17" s="94" t="s">
        <v>1453</v>
      </c>
      <c r="C17" s="1576" t="str">
        <f>估价对象房地状况!C6</f>
        <v>估价对象周边道路状况、公共交通通达情况、停车便捷程度，综合评价交通便捷度较好</v>
      </c>
      <c r="D17" s="93">
        <v>100</v>
      </c>
      <c r="E17" s="225"/>
      <c r="F17" s="93">
        <f>SUMIF(79:79,E18,80:80)-SUMIF(79:79,C18,80:80)+100</f>
        <v>100</v>
      </c>
      <c r="G17" s="96"/>
      <c r="H17" s="97">
        <f>SUMIF(79:79,G18,80:80)-SUMIF(79:79,C18,80:80)+100</f>
        <v>100</v>
      </c>
      <c r="I17" s="96"/>
      <c r="J17" s="97">
        <f>SUMIF(79:79,I18,80:80)-SUMIF(79:79,C18,80:80)+100</f>
        <v>100</v>
      </c>
      <c r="K17" s="1452"/>
      <c r="L17" s="221"/>
      <c r="M17" s="205"/>
      <c r="N17" s="205"/>
      <c r="O17" s="205"/>
      <c r="P17" s="1588"/>
      <c r="Q17" s="169" t="str">
        <f>B17</f>
        <v>交通便捷度</v>
      </c>
      <c r="R17" s="271" t="s">
        <v>1440</v>
      </c>
      <c r="S17" s="272">
        <f>F17</f>
        <v>100</v>
      </c>
      <c r="T17" s="271" t="s">
        <v>1440</v>
      </c>
      <c r="U17" s="272">
        <f>H17</f>
        <v>100</v>
      </c>
      <c r="V17" s="271" t="s">
        <v>1440</v>
      </c>
      <c r="W17" s="272">
        <f>J17</f>
        <v>100</v>
      </c>
      <c r="X17" s="258"/>
      <c r="Y17" s="224"/>
      <c r="Z17" s="244" t="str">
        <f>Q17</f>
        <v>交通便捷度</v>
      </c>
      <c r="AA17" s="287">
        <f t="shared" si="3"/>
        <v>1</v>
      </c>
      <c r="AB17" s="287">
        <f t="shared" si="4"/>
        <v>1</v>
      </c>
      <c r="AC17" s="1603">
        <f t="shared" si="5"/>
        <v>1</v>
      </c>
    </row>
    <row r="18" ht="15" spans="1:29">
      <c r="A18" s="70"/>
      <c r="B18" s="98"/>
      <c r="C18" s="1577"/>
      <c r="D18" s="93"/>
      <c r="E18" s="1373"/>
      <c r="F18" s="93"/>
      <c r="G18" s="1364"/>
      <c r="H18" s="91"/>
      <c r="I18" s="1364"/>
      <c r="J18" s="91"/>
      <c r="K18" s="1453"/>
      <c r="L18" s="221"/>
      <c r="M18" s="205"/>
      <c r="N18" s="205"/>
      <c r="O18" s="205"/>
      <c r="P18" s="1588"/>
      <c r="Q18" s="169"/>
      <c r="R18" s="271"/>
      <c r="S18" s="272"/>
      <c r="T18" s="271"/>
      <c r="U18" s="272"/>
      <c r="V18" s="271"/>
      <c r="W18" s="272"/>
      <c r="X18" s="258"/>
      <c r="Y18" s="224"/>
      <c r="Z18" s="244"/>
      <c r="AA18" s="287">
        <v>1</v>
      </c>
      <c r="AB18" s="287">
        <v>1</v>
      </c>
      <c r="AC18" s="1603">
        <v>1</v>
      </c>
    </row>
    <row r="19" ht="43.2" spans="1:29">
      <c r="A19" s="70"/>
      <c r="B19" s="94" t="s">
        <v>1454</v>
      </c>
      <c r="C19" s="1576" t="str">
        <f>估价对象房地状况!C7</f>
        <v>估价对象所在区域公共配套设施齐备情况</v>
      </c>
      <c r="D19" s="97">
        <v>100</v>
      </c>
      <c r="E19" s="1374"/>
      <c r="F19" s="97">
        <f>SUMIF(81:81,E20,82:82)-SUMIF(81:81,C20,82:82)+100</f>
        <v>100</v>
      </c>
      <c r="G19" s="1365"/>
      <c r="H19" s="93">
        <f>SUMIF(81:81,G20,82:82)-SUMIF(81:81,C20,82:82)+100</f>
        <v>100</v>
      </c>
      <c r="I19" s="1365"/>
      <c r="J19" s="93">
        <f>SUMIF(81:81,I20,82:82)-SUMIF(81:81,C20,82:82)+100</f>
        <v>100</v>
      </c>
      <c r="K19" s="1452"/>
      <c r="L19" s="221"/>
      <c r="M19" s="205"/>
      <c r="N19" s="205"/>
      <c r="O19" s="205"/>
      <c r="P19" s="1588"/>
      <c r="Q19" s="169" t="str">
        <f>B19</f>
        <v>公共配套设施</v>
      </c>
      <c r="R19" s="271" t="s">
        <v>1440</v>
      </c>
      <c r="S19" s="272">
        <f>F19</f>
        <v>100</v>
      </c>
      <c r="T19" s="271" t="s">
        <v>1440</v>
      </c>
      <c r="U19" s="272">
        <f>H19</f>
        <v>100</v>
      </c>
      <c r="V19" s="271" t="s">
        <v>1440</v>
      </c>
      <c r="W19" s="272">
        <f>J19</f>
        <v>100</v>
      </c>
      <c r="X19" s="258"/>
      <c r="Y19" s="224"/>
      <c r="Z19" s="244" t="str">
        <f>Q19</f>
        <v>公共配套设施</v>
      </c>
      <c r="AA19" s="287">
        <f t="shared" si="3"/>
        <v>1</v>
      </c>
      <c r="AB19" s="287">
        <f t="shared" si="4"/>
        <v>1</v>
      </c>
      <c r="AC19" s="1603">
        <f t="shared" si="5"/>
        <v>1</v>
      </c>
    </row>
    <row r="20" ht="15" spans="1:29">
      <c r="A20" s="70"/>
      <c r="B20" s="98"/>
      <c r="C20" s="92"/>
      <c r="D20" s="91"/>
      <c r="E20" s="1367"/>
      <c r="F20" s="91"/>
      <c r="G20" s="99"/>
      <c r="H20" s="91"/>
      <c r="I20" s="99"/>
      <c r="J20" s="91"/>
      <c r="K20" s="1453"/>
      <c r="L20" s="221"/>
      <c r="M20" s="205"/>
      <c r="N20" s="205"/>
      <c r="O20" s="205"/>
      <c r="P20" s="1588"/>
      <c r="Q20" s="169"/>
      <c r="R20" s="271"/>
      <c r="S20" s="272"/>
      <c r="T20" s="271"/>
      <c r="U20" s="272"/>
      <c r="V20" s="271"/>
      <c r="W20" s="272"/>
      <c r="X20" s="258"/>
      <c r="Y20" s="224"/>
      <c r="Z20" s="244"/>
      <c r="AA20" s="287">
        <v>1</v>
      </c>
      <c r="AB20" s="287">
        <v>1</v>
      </c>
      <c r="AC20" s="1603">
        <v>1</v>
      </c>
    </row>
    <row r="21" ht="28.8" spans="1:29">
      <c r="A21" s="70"/>
      <c r="B21" s="101" t="s">
        <v>1455</v>
      </c>
      <c r="C21" s="1576" t="str">
        <f>估价对象房地状况!C8</f>
        <v>估价对象所在区域基础设施水平</v>
      </c>
      <c r="D21" s="93">
        <v>100</v>
      </c>
      <c r="E21" s="1374"/>
      <c r="F21" s="97">
        <f>SUMIF(83:83,E22,84:84)-SUMIF(83:83,C22,84:84)+100</f>
        <v>100</v>
      </c>
      <c r="G21" s="1365"/>
      <c r="H21" s="93">
        <f>SUMIF(83:83,G22,84:84)-SUMIF(83:83,C22,84:84)+100</f>
        <v>100</v>
      </c>
      <c r="I21" s="1365"/>
      <c r="J21" s="93">
        <f>SUMIF(83:83,I22,84:84)-SUMIF(83:83,C22,84:84)+100</f>
        <v>100</v>
      </c>
      <c r="K21" s="1452"/>
      <c r="L21" s="221"/>
      <c r="M21" s="205"/>
      <c r="N21" s="205"/>
      <c r="O21" s="205"/>
      <c r="P21" s="1588"/>
      <c r="Q21" s="169" t="str">
        <f>B21</f>
        <v>基础设施水平</v>
      </c>
      <c r="R21" s="271" t="s">
        <v>1440</v>
      </c>
      <c r="S21" s="272">
        <f>F21</f>
        <v>100</v>
      </c>
      <c r="T21" s="271" t="s">
        <v>1440</v>
      </c>
      <c r="U21" s="272">
        <f>H21</f>
        <v>100</v>
      </c>
      <c r="V21" s="271" t="s">
        <v>1440</v>
      </c>
      <c r="W21" s="272">
        <f>J21</f>
        <v>100</v>
      </c>
      <c r="X21" s="258"/>
      <c r="Y21" s="224"/>
      <c r="Z21" s="244" t="str">
        <f>Q21</f>
        <v>基础设施水平</v>
      </c>
      <c r="AA21" s="287">
        <f t="shared" ref="AA21" si="8">D21/F21</f>
        <v>1</v>
      </c>
      <c r="AB21" s="287">
        <f t="shared" ref="AB21" si="9">D21/H21</f>
        <v>1</v>
      </c>
      <c r="AC21" s="1603">
        <f t="shared" ref="AC21" si="10">D21/J21</f>
        <v>1</v>
      </c>
    </row>
    <row r="22" ht="15" spans="1:29">
      <c r="A22" s="70"/>
      <c r="B22" s="101"/>
      <c r="C22" s="1577"/>
      <c r="D22" s="91"/>
      <c r="E22" s="90"/>
      <c r="F22" s="91"/>
      <c r="G22" s="92"/>
      <c r="H22" s="91"/>
      <c r="I22" s="92"/>
      <c r="J22" s="91"/>
      <c r="K22" s="1454"/>
      <c r="L22" s="221"/>
      <c r="M22" s="205"/>
      <c r="N22" s="205"/>
      <c r="O22" s="205"/>
      <c r="P22" s="1588"/>
      <c r="Q22" s="169"/>
      <c r="R22" s="271"/>
      <c r="S22" s="272"/>
      <c r="T22" s="271"/>
      <c r="U22" s="272"/>
      <c r="V22" s="271"/>
      <c r="W22" s="272"/>
      <c r="X22" s="258"/>
      <c r="Y22" s="224"/>
      <c r="Z22" s="244"/>
      <c r="AA22" s="287">
        <v>1</v>
      </c>
      <c r="AB22" s="287">
        <v>1</v>
      </c>
      <c r="AC22" s="1603">
        <v>1</v>
      </c>
    </row>
    <row r="23" ht="57.6" spans="1:29">
      <c r="A23" s="70"/>
      <c r="B23" s="94" t="s">
        <v>1534</v>
      </c>
      <c r="C23" s="1576" t="str">
        <f>估价对象房地状况!C9</f>
        <v>区域自然环境：；人文环境；综合评价环境状况一般</v>
      </c>
      <c r="D23" s="93">
        <v>100</v>
      </c>
      <c r="E23" s="225"/>
      <c r="F23" s="93">
        <f>SUMIF(85:85,E24,86:86)-SUMIF(85:85,C24,86:86)+100</f>
        <v>100</v>
      </c>
      <c r="G23" s="96"/>
      <c r="H23" s="93">
        <f>SUMIF(85:85,G24,86:86)-SUMIF(85:85,C24,86:86)+100</f>
        <v>100</v>
      </c>
      <c r="I23" s="96"/>
      <c r="J23" s="93">
        <f>SUMIF(85:85,I24,86:86)-SUMIF(85:85,C24,86:86)+100</f>
        <v>100</v>
      </c>
      <c r="K23" s="1452"/>
      <c r="L23" s="221"/>
      <c r="M23" s="205"/>
      <c r="N23" s="205"/>
      <c r="O23" s="205"/>
      <c r="P23" s="1588"/>
      <c r="Q23" s="169" t="str">
        <f>B23</f>
        <v>环境质量</v>
      </c>
      <c r="R23" s="271" t="s">
        <v>1440</v>
      </c>
      <c r="S23" s="272">
        <f>F23</f>
        <v>100</v>
      </c>
      <c r="T23" s="271" t="s">
        <v>1440</v>
      </c>
      <c r="U23" s="272">
        <f>H23</f>
        <v>100</v>
      </c>
      <c r="V23" s="271" t="s">
        <v>1440</v>
      </c>
      <c r="W23" s="272">
        <f>J23</f>
        <v>100</v>
      </c>
      <c r="X23" s="258"/>
      <c r="Y23" s="224"/>
      <c r="Z23" s="244" t="str">
        <f>Q23</f>
        <v>环境质量</v>
      </c>
      <c r="AA23" s="287">
        <f t="shared" si="3"/>
        <v>1</v>
      </c>
      <c r="AB23" s="287">
        <f t="shared" si="4"/>
        <v>1</v>
      </c>
      <c r="AC23" s="1603">
        <f t="shared" si="5"/>
        <v>1</v>
      </c>
    </row>
    <row r="24" ht="15" spans="1:29">
      <c r="A24" s="70"/>
      <c r="B24" s="101"/>
      <c r="C24" s="92"/>
      <c r="D24" s="91"/>
      <c r="E24" s="1367"/>
      <c r="F24" s="91"/>
      <c r="G24" s="99"/>
      <c r="H24" s="91"/>
      <c r="I24" s="99"/>
      <c r="J24" s="91"/>
      <c r="K24" s="1453"/>
      <c r="L24" s="221"/>
      <c r="M24" s="205"/>
      <c r="N24" s="205"/>
      <c r="O24" s="205"/>
      <c r="P24" s="1588"/>
      <c r="Q24" s="169"/>
      <c r="R24" s="271"/>
      <c r="S24" s="272"/>
      <c r="T24" s="271"/>
      <c r="U24" s="272"/>
      <c r="V24" s="271"/>
      <c r="W24" s="272"/>
      <c r="X24" s="258"/>
      <c r="Y24" s="224"/>
      <c r="Z24" s="244"/>
      <c r="AA24" s="287">
        <v>1</v>
      </c>
      <c r="AB24" s="287">
        <v>1</v>
      </c>
      <c r="AC24" s="1603">
        <v>1</v>
      </c>
    </row>
    <row r="25" ht="28.8" spans="1:29">
      <c r="A25" s="42"/>
      <c r="B25" s="94" t="s">
        <v>1535</v>
      </c>
      <c r="C25" s="1578"/>
      <c r="D25" s="79">
        <v>100</v>
      </c>
      <c r="E25" s="78"/>
      <c r="F25" s="79">
        <f>SUMIF(87:87,E26,88:88)-SUMIF(87:87,C26,88:88)+100</f>
        <v>100</v>
      </c>
      <c r="G25" s="1578"/>
      <c r="H25" s="79">
        <f>SUMIF(87:87,G26,88:88)-SUMIF(87:87,C26,88:88)+100</f>
        <v>100</v>
      </c>
      <c r="I25" s="78"/>
      <c r="J25" s="79">
        <f>SUMIF(87:87,I26,88:88)-SUMIF(87:87,C26,88:88)+100</f>
        <v>100</v>
      </c>
      <c r="K25" s="1452"/>
      <c r="L25" s="221"/>
      <c r="M25" s="205"/>
      <c r="N25" s="205"/>
      <c r="O25" s="205"/>
      <c r="P25" s="1588"/>
      <c r="Q25" s="169" t="str">
        <f>B25</f>
        <v>毗邻道路的类型与等级</v>
      </c>
      <c r="R25" s="271" t="s">
        <v>1440</v>
      </c>
      <c r="S25" s="272">
        <f>F25</f>
        <v>100</v>
      </c>
      <c r="T25" s="271" t="s">
        <v>1440</v>
      </c>
      <c r="U25" s="272">
        <f>H25</f>
        <v>100</v>
      </c>
      <c r="V25" s="271" t="s">
        <v>1440</v>
      </c>
      <c r="W25" s="272">
        <f>J25</f>
        <v>100</v>
      </c>
      <c r="X25" s="258"/>
      <c r="Y25" s="224"/>
      <c r="Z25" s="244" t="str">
        <f>Q25</f>
        <v>毗邻道路的类型与等级</v>
      </c>
      <c r="AA25" s="287">
        <f t="shared" si="3"/>
        <v>1</v>
      </c>
      <c r="AB25" s="287">
        <f t="shared" si="4"/>
        <v>1</v>
      </c>
      <c r="AC25" s="1603">
        <f t="shared" si="5"/>
        <v>1</v>
      </c>
    </row>
    <row r="26" ht="15" spans="1:29">
      <c r="A26" s="42"/>
      <c r="B26" s="98"/>
      <c r="C26" s="105"/>
      <c r="D26" s="79"/>
      <c r="E26" s="104"/>
      <c r="F26" s="79"/>
      <c r="G26" s="105"/>
      <c r="H26" s="79"/>
      <c r="I26" s="104"/>
      <c r="J26" s="79"/>
      <c r="K26" s="1453"/>
      <c r="L26" s="221"/>
      <c r="M26" s="205"/>
      <c r="N26" s="205"/>
      <c r="O26" s="205"/>
      <c r="P26" s="1588"/>
      <c r="Q26" s="169"/>
      <c r="R26" s="271"/>
      <c r="S26" s="272"/>
      <c r="T26" s="271"/>
      <c r="U26" s="272"/>
      <c r="V26" s="271"/>
      <c r="W26" s="272"/>
      <c r="X26" s="258"/>
      <c r="Y26" s="224"/>
      <c r="Z26" s="244"/>
      <c r="AA26" s="287">
        <v>1</v>
      </c>
      <c r="AB26" s="287">
        <v>1</v>
      </c>
      <c r="AC26" s="1603">
        <v>1</v>
      </c>
    </row>
    <row r="27" ht="15" spans="1:29">
      <c r="A27" s="70"/>
      <c r="B27" s="98" t="s">
        <v>1524</v>
      </c>
      <c r="C27" s="105"/>
      <c r="D27" s="79">
        <v>100</v>
      </c>
      <c r="E27" s="104"/>
      <c r="F27" s="79">
        <f>SUMIF(89:89,E27,90:90)-SUMIF(89:89,C27,90:90)+100</f>
        <v>100</v>
      </c>
      <c r="G27" s="105"/>
      <c r="H27" s="79">
        <f>SUMIF(89:89,G27,90:90)-SUMIF(89:89,C27,90:90)+100</f>
        <v>100</v>
      </c>
      <c r="I27" s="104"/>
      <c r="J27" s="79">
        <f>SUMIF(89:89,I27,90:90)-SUMIF(89:89,C27,90:90)+100</f>
        <v>100</v>
      </c>
      <c r="K27" s="228"/>
      <c r="L27" s="221"/>
      <c r="M27" s="205"/>
      <c r="N27" s="205"/>
      <c r="O27" s="205"/>
      <c r="P27" s="1588"/>
      <c r="Q27" s="169" t="str">
        <f t="shared" ref="Q27:Q47" si="11">B27</f>
        <v>楼层</v>
      </c>
      <c r="R27" s="271" t="s">
        <v>1440</v>
      </c>
      <c r="S27" s="272">
        <f>F27</f>
        <v>100</v>
      </c>
      <c r="T27" s="271" t="s">
        <v>1440</v>
      </c>
      <c r="U27" s="272">
        <f>H27</f>
        <v>100</v>
      </c>
      <c r="V27" s="271" t="s">
        <v>1440</v>
      </c>
      <c r="W27" s="272">
        <f>J27</f>
        <v>100</v>
      </c>
      <c r="X27" s="258"/>
      <c r="Y27" s="224"/>
      <c r="Z27" s="244" t="str">
        <f>Q27</f>
        <v>楼层</v>
      </c>
      <c r="AA27" s="287">
        <f t="shared" si="3"/>
        <v>1</v>
      </c>
      <c r="AB27" s="287">
        <f t="shared" si="4"/>
        <v>1</v>
      </c>
      <c r="AC27" s="1603">
        <f t="shared" si="5"/>
        <v>1</v>
      </c>
    </row>
    <row r="28" s="15" customFormat="1" ht="15" spans="1:29">
      <c r="A28" s="73"/>
      <c r="B28" s="94" t="s">
        <v>1458</v>
      </c>
      <c r="C28" s="1579"/>
      <c r="D28" s="1530">
        <v>100</v>
      </c>
      <c r="E28" s="1580"/>
      <c r="F28" s="1530">
        <f>SUMIF(91:91,E28,92:92)-SUMIF(91:91,C28,92:92)+100</f>
        <v>100</v>
      </c>
      <c r="G28" s="1579"/>
      <c r="H28" s="1530">
        <f>SUMIF(91:91,G28,92:92)-SUMIF(91:91,C28,92:92)+100</f>
        <v>100</v>
      </c>
      <c r="I28" s="1580"/>
      <c r="J28" s="1530">
        <f>SUMIF(91:91,I28,92:92)-SUMIF(91:91,C28,92:92)+100</f>
        <v>100</v>
      </c>
      <c r="K28" s="228"/>
      <c r="L28" s="210"/>
      <c r="M28" s="211"/>
      <c r="N28" s="211"/>
      <c r="O28" s="211"/>
      <c r="P28" s="1588"/>
      <c r="Q28" s="270" t="str">
        <f t="shared" si="11"/>
        <v>朝向</v>
      </c>
      <c r="R28" s="266" t="s">
        <v>1440</v>
      </c>
      <c r="S28" s="267">
        <f>F28</f>
        <v>100</v>
      </c>
      <c r="T28" s="266" t="s">
        <v>1440</v>
      </c>
      <c r="U28" s="267">
        <f>H28</f>
        <v>100</v>
      </c>
      <c r="V28" s="266" t="s">
        <v>1440</v>
      </c>
      <c r="W28" s="267">
        <f>J28</f>
        <v>100</v>
      </c>
      <c r="X28" s="268"/>
      <c r="Y28" s="224"/>
      <c r="Z28" s="286" t="str">
        <f>Q28</f>
        <v>朝向</v>
      </c>
      <c r="AA28" s="287">
        <f t="shared" si="3"/>
        <v>1</v>
      </c>
      <c r="AB28" s="287">
        <f t="shared" si="4"/>
        <v>1</v>
      </c>
      <c r="AC28" s="1603">
        <f t="shared" si="5"/>
        <v>1</v>
      </c>
    </row>
    <row r="29" ht="15" spans="1:29">
      <c r="A29" s="70"/>
      <c r="B29" s="109">
        <v>111</v>
      </c>
      <c r="C29" s="1578"/>
      <c r="D29" s="79">
        <v>100</v>
      </c>
      <c r="E29" s="68"/>
      <c r="F29" s="79">
        <f>SUMIF(93:93,E29,94:94)-SUMIF(93:93,C29,94:94)+100</f>
        <v>100</v>
      </c>
      <c r="G29" s="1574"/>
      <c r="H29" s="79">
        <f>SUMIF(93:93,G29,94:94)-SUMIF(93:93,C29,94:94)+100</f>
        <v>100</v>
      </c>
      <c r="I29" s="68"/>
      <c r="J29" s="79">
        <f>SUMIF(93:93,I29,94:94)-SUMIF(93:93,C29,94:94)+100</f>
        <v>100</v>
      </c>
      <c r="K29" s="227"/>
      <c r="L29" s="221"/>
      <c r="M29" s="205"/>
      <c r="N29" s="205"/>
      <c r="O29" s="205"/>
      <c r="P29" s="1588"/>
      <c r="Q29" s="169">
        <f t="shared" si="11"/>
        <v>111</v>
      </c>
      <c r="R29" s="271" t="s">
        <v>1440</v>
      </c>
      <c r="S29" s="272">
        <f t="shared" ref="S29:S47" si="12">F29</f>
        <v>100</v>
      </c>
      <c r="T29" s="271" t="s">
        <v>1440</v>
      </c>
      <c r="U29" s="272">
        <f t="shared" ref="U29:U47" si="13">H29</f>
        <v>100</v>
      </c>
      <c r="V29" s="271" t="s">
        <v>1440</v>
      </c>
      <c r="W29" s="272">
        <f t="shared" ref="W29:W47" si="14">J29</f>
        <v>100</v>
      </c>
      <c r="X29" s="258"/>
      <c r="Y29" s="224"/>
      <c r="Z29" s="244">
        <f t="shared" ref="Z29:Z47" si="15">Q29</f>
        <v>111</v>
      </c>
      <c r="AA29" s="287">
        <f t="shared" si="3"/>
        <v>1</v>
      </c>
      <c r="AB29" s="287">
        <f t="shared" si="4"/>
        <v>1</v>
      </c>
      <c r="AC29" s="1603">
        <f t="shared" si="5"/>
        <v>1</v>
      </c>
    </row>
    <row r="30" ht="15" spans="1:29">
      <c r="A30" s="70"/>
      <c r="B30" s="109">
        <v>111</v>
      </c>
      <c r="C30" s="1578"/>
      <c r="D30" s="79">
        <v>100</v>
      </c>
      <c r="E30" s="68"/>
      <c r="F30" s="79">
        <f>SUMIF(95:95,E30,96:96)-SUMIF(95:95,C30,96:96)+100</f>
        <v>100</v>
      </c>
      <c r="G30" s="1574"/>
      <c r="H30" s="79">
        <f>SUMIF(95:95,G30,96:96)-SUMIF(95:95,C30,96:96)+100</f>
        <v>100</v>
      </c>
      <c r="I30" s="68"/>
      <c r="J30" s="79">
        <f>SUMIF(95:95,I30,96:96)-SUMIF(95:95,C30,96:96)+100</f>
        <v>100</v>
      </c>
      <c r="K30" s="227"/>
      <c r="L30" s="221"/>
      <c r="M30" s="205"/>
      <c r="N30" s="205"/>
      <c r="O30" s="205"/>
      <c r="P30" s="1588"/>
      <c r="Q30" s="169">
        <f t="shared" si="11"/>
        <v>111</v>
      </c>
      <c r="R30" s="271" t="s">
        <v>1440</v>
      </c>
      <c r="S30" s="272">
        <f t="shared" si="12"/>
        <v>100</v>
      </c>
      <c r="T30" s="271" t="s">
        <v>1440</v>
      </c>
      <c r="U30" s="272">
        <f t="shared" si="13"/>
        <v>100</v>
      </c>
      <c r="V30" s="271" t="s">
        <v>1440</v>
      </c>
      <c r="W30" s="272">
        <f t="shared" si="14"/>
        <v>100</v>
      </c>
      <c r="X30" s="258"/>
      <c r="Y30" s="224"/>
      <c r="Z30" s="244">
        <f t="shared" si="15"/>
        <v>111</v>
      </c>
      <c r="AA30" s="287">
        <f t="shared" si="3"/>
        <v>1</v>
      </c>
      <c r="AB30" s="287">
        <f t="shared" si="4"/>
        <v>1</v>
      </c>
      <c r="AC30" s="1603">
        <f t="shared" si="5"/>
        <v>1</v>
      </c>
    </row>
    <row r="31" ht="15" spans="1:29">
      <c r="A31" s="70"/>
      <c r="B31" s="109">
        <v>111</v>
      </c>
      <c r="C31" s="1578"/>
      <c r="D31" s="79">
        <v>100</v>
      </c>
      <c r="E31" s="68"/>
      <c r="F31" s="79">
        <f>SUMIF(97:97,E31,98:98)-SUMIF(97:97,C31,98:98)+100</f>
        <v>100</v>
      </c>
      <c r="G31" s="1574"/>
      <c r="H31" s="79">
        <f>SUMIF(97:97,G31,98:98)-SUMIF(97:97,C31,98:98)+100</f>
        <v>100</v>
      </c>
      <c r="I31" s="68"/>
      <c r="J31" s="79">
        <f>SUMIF(97:97,I31,98:98)-SUMIF(97:97,C31,98:98)+100</f>
        <v>100</v>
      </c>
      <c r="K31" s="227"/>
      <c r="L31" s="221"/>
      <c r="M31" s="205"/>
      <c r="N31" s="205"/>
      <c r="O31" s="205"/>
      <c r="P31" s="1588"/>
      <c r="Q31" s="169">
        <f t="shared" si="11"/>
        <v>111</v>
      </c>
      <c r="R31" s="271" t="s">
        <v>1440</v>
      </c>
      <c r="S31" s="272">
        <f t="shared" si="12"/>
        <v>100</v>
      </c>
      <c r="T31" s="271" t="s">
        <v>1440</v>
      </c>
      <c r="U31" s="272">
        <f t="shared" si="13"/>
        <v>100</v>
      </c>
      <c r="V31" s="271" t="s">
        <v>1440</v>
      </c>
      <c r="W31" s="272">
        <f t="shared" si="14"/>
        <v>100</v>
      </c>
      <c r="X31" s="258"/>
      <c r="Y31" s="224"/>
      <c r="Z31" s="244">
        <f t="shared" si="15"/>
        <v>111</v>
      </c>
      <c r="AA31" s="287">
        <f t="shared" si="3"/>
        <v>1</v>
      </c>
      <c r="AB31" s="287">
        <f t="shared" si="4"/>
        <v>1</v>
      </c>
      <c r="AC31" s="1603">
        <f t="shared" si="5"/>
        <v>1</v>
      </c>
    </row>
    <row r="32" ht="15.75" spans="1:29">
      <c r="A32" s="80"/>
      <c r="B32" s="1486">
        <v>111</v>
      </c>
      <c r="C32" s="1581"/>
      <c r="D32" s="83">
        <v>100</v>
      </c>
      <c r="E32" s="1488"/>
      <c r="F32" s="83">
        <f>SUMIF(99:99,E32,100:100)-SUMIF(99:99,C32,100:100)+100</f>
        <v>100</v>
      </c>
      <c r="G32" s="1574"/>
      <c r="H32" s="83">
        <f>SUMIF(99:99,G32,100:100)-SUMIF(99:99,C32,100:100)+100</f>
        <v>100</v>
      </c>
      <c r="I32" s="68"/>
      <c r="J32" s="83">
        <f>SUMIF(99:99,I32,100:100)-SUMIF(99:99,C32,100:100)+100</f>
        <v>100</v>
      </c>
      <c r="K32" s="227"/>
      <c r="L32" s="221"/>
      <c r="M32" s="205"/>
      <c r="N32" s="205"/>
      <c r="O32" s="205"/>
      <c r="P32" s="1588"/>
      <c r="Q32" s="169">
        <f t="shared" si="11"/>
        <v>111</v>
      </c>
      <c r="R32" s="271" t="s">
        <v>1440</v>
      </c>
      <c r="S32" s="272">
        <f t="shared" si="12"/>
        <v>100</v>
      </c>
      <c r="T32" s="271" t="s">
        <v>1440</v>
      </c>
      <c r="U32" s="272">
        <f t="shared" si="13"/>
        <v>100</v>
      </c>
      <c r="V32" s="271" t="s">
        <v>1440</v>
      </c>
      <c r="W32" s="272">
        <f t="shared" si="14"/>
        <v>100</v>
      </c>
      <c r="X32" s="258"/>
      <c r="Y32" s="224"/>
      <c r="Z32" s="244">
        <f t="shared" si="15"/>
        <v>111</v>
      </c>
      <c r="AA32" s="287">
        <f t="shared" si="3"/>
        <v>1</v>
      </c>
      <c r="AB32" s="287">
        <f t="shared" si="4"/>
        <v>1</v>
      </c>
      <c r="AC32" s="1603">
        <f t="shared" si="5"/>
        <v>1</v>
      </c>
    </row>
    <row r="33" ht="15" spans="1:29">
      <c r="A33" s="84" t="s">
        <v>1459</v>
      </c>
      <c r="B33" s="63" t="s">
        <v>1460</v>
      </c>
      <c r="C33" s="1422"/>
      <c r="D33" s="120">
        <v>100</v>
      </c>
      <c r="E33" s="1422"/>
      <c r="F33" s="1417">
        <f>SUMIF(101:101,E33,102:102)-SUMIF(101:101,C33,102:102)+100</f>
        <v>100</v>
      </c>
      <c r="G33" s="1422"/>
      <c r="H33" s="79">
        <f>SUMIF(101:101,G33,102:102)-SUMIF(101:101,C33,102:102)+100</f>
        <v>100</v>
      </c>
      <c r="I33" s="1422"/>
      <c r="J33" s="120">
        <f>SUMIF(101:101,I33,102:102)-SUMIF(101:101,C33,102:102)+100</f>
        <v>100</v>
      </c>
      <c r="K33" s="228"/>
      <c r="L33" s="221"/>
      <c r="M33" s="205"/>
      <c r="N33" s="205"/>
      <c r="O33" s="205"/>
      <c r="P33" s="1589" t="s">
        <v>1461</v>
      </c>
      <c r="Q33" s="169" t="str">
        <f t="shared" si="11"/>
        <v>建筑类型</v>
      </c>
      <c r="R33" s="271" t="s">
        <v>1440</v>
      </c>
      <c r="S33" s="272">
        <f t="shared" si="12"/>
        <v>100</v>
      </c>
      <c r="T33" s="271" t="s">
        <v>1440</v>
      </c>
      <c r="U33" s="272">
        <f t="shared" si="13"/>
        <v>100</v>
      </c>
      <c r="V33" s="271" t="s">
        <v>1440</v>
      </c>
      <c r="W33" s="272">
        <f t="shared" si="14"/>
        <v>100</v>
      </c>
      <c r="X33" s="258"/>
      <c r="Y33" s="232" t="s">
        <v>1461</v>
      </c>
      <c r="Z33" s="244" t="str">
        <f t="shared" si="15"/>
        <v>建筑类型</v>
      </c>
      <c r="AA33" s="287">
        <f t="shared" si="3"/>
        <v>1</v>
      </c>
      <c r="AB33" s="287">
        <f t="shared" si="4"/>
        <v>1</v>
      </c>
      <c r="AC33" s="1603">
        <f t="shared" si="5"/>
        <v>1</v>
      </c>
    </row>
    <row r="34" s="17" customFormat="1" ht="15" spans="1:29">
      <c r="A34" s="126"/>
      <c r="B34" s="67" t="s">
        <v>1462</v>
      </c>
      <c r="C34" s="1411"/>
      <c r="D34" s="69">
        <v>100</v>
      </c>
      <c r="E34" s="72"/>
      <c r="F34" s="1410" t="e">
        <f>LOOKUP(E34,104:104,105:105)-LOOKUP(C34,104:104,105:105)+100</f>
        <v>#N/A</v>
      </c>
      <c r="G34" s="71"/>
      <c r="H34" s="69" t="e">
        <f>LOOKUP(G34,104:104,105:105)-LOOKUP(C34,104:104,105:105)+100</f>
        <v>#N/A</v>
      </c>
      <c r="I34" s="71"/>
      <c r="J34" s="69" t="e">
        <f>LOOKUP(I34,104:104,105:105)-LOOKUP(C34,104:104,105:105)+100</f>
        <v>#N/A</v>
      </c>
      <c r="K34" s="227"/>
      <c r="L34" s="219"/>
      <c r="M34" s="230"/>
      <c r="N34" s="230"/>
      <c r="O34" s="230"/>
      <c r="P34" s="1590"/>
      <c r="Q34" s="1456" t="str">
        <f t="shared" si="11"/>
        <v>项目建筑规模</v>
      </c>
      <c r="R34" s="273" t="s">
        <v>1440</v>
      </c>
      <c r="S34" s="274" t="e">
        <f t="shared" si="12"/>
        <v>#N/A</v>
      </c>
      <c r="T34" s="273" t="s">
        <v>1440</v>
      </c>
      <c r="U34" s="274" t="e">
        <f t="shared" si="13"/>
        <v>#N/A</v>
      </c>
      <c r="V34" s="273" t="s">
        <v>1440</v>
      </c>
      <c r="W34" s="274" t="e">
        <f t="shared" si="14"/>
        <v>#N/A</v>
      </c>
      <c r="X34" s="275"/>
      <c r="Y34" s="232"/>
      <c r="Z34" s="288" t="str">
        <f t="shared" si="15"/>
        <v>项目建筑规模</v>
      </c>
      <c r="AA34" s="287" t="e">
        <f t="shared" si="3"/>
        <v>#N/A</v>
      </c>
      <c r="AB34" s="287" t="e">
        <f t="shared" si="4"/>
        <v>#N/A</v>
      </c>
      <c r="AC34" s="1603" t="e">
        <f t="shared" si="5"/>
        <v>#N/A</v>
      </c>
    </row>
    <row r="35" ht="15" spans="1:29">
      <c r="A35" s="121"/>
      <c r="B35" s="67" t="s">
        <v>1463</v>
      </c>
      <c r="C35" s="1427"/>
      <c r="D35" s="79">
        <v>100</v>
      </c>
      <c r="E35" s="1427"/>
      <c r="F35" s="1417">
        <f>SUMIF(106:106,E35,107:107)-SUMIF(106:106,C35,107:107)+100</f>
        <v>100</v>
      </c>
      <c r="G35" s="1427"/>
      <c r="H35" s="79">
        <f>SUMIF(106:106,G35,107:107)-SUMIF(106:106,C35,107:107)+100</f>
        <v>100</v>
      </c>
      <c r="I35" s="1427"/>
      <c r="J35" s="79">
        <f>SUMIF(106:106,I35,107:107)-SUMIF(106:106,C35,107:107)+100</f>
        <v>100</v>
      </c>
      <c r="K35" s="228"/>
      <c r="L35" s="221"/>
      <c r="M35" s="205"/>
      <c r="N35" s="205"/>
      <c r="O35" s="205"/>
      <c r="P35" s="1590"/>
      <c r="Q35" s="169" t="str">
        <f t="shared" si="11"/>
        <v>建筑结构</v>
      </c>
      <c r="R35" s="271" t="s">
        <v>1440</v>
      </c>
      <c r="S35" s="272">
        <f t="shared" si="12"/>
        <v>100</v>
      </c>
      <c r="T35" s="271" t="s">
        <v>1440</v>
      </c>
      <c r="U35" s="272">
        <f t="shared" si="13"/>
        <v>100</v>
      </c>
      <c r="V35" s="271" t="s">
        <v>1440</v>
      </c>
      <c r="W35" s="272">
        <f t="shared" si="14"/>
        <v>100</v>
      </c>
      <c r="X35" s="258"/>
      <c r="Y35" s="232"/>
      <c r="Z35" s="244" t="str">
        <f t="shared" si="15"/>
        <v>建筑结构</v>
      </c>
      <c r="AA35" s="287">
        <f t="shared" si="3"/>
        <v>1</v>
      </c>
      <c r="AB35" s="287">
        <f t="shared" si="4"/>
        <v>1</v>
      </c>
      <c r="AC35" s="1603">
        <f t="shared" si="5"/>
        <v>1</v>
      </c>
    </row>
    <row r="36" ht="15" spans="1:29">
      <c r="A36" s="121"/>
      <c r="B36" s="67" t="s">
        <v>1465</v>
      </c>
      <c r="C36" s="1427"/>
      <c r="D36" s="79">
        <v>100</v>
      </c>
      <c r="E36" s="1427"/>
      <c r="F36" s="1417">
        <f>SUMIF(108:108,E36,109:109)-SUMIF(108:108,C36,109:109)+100</f>
        <v>100</v>
      </c>
      <c r="G36" s="1427"/>
      <c r="H36" s="79">
        <f>SUMIF(108:108,G36,109:109)-SUMIF(108:108,C36,109:109)+100</f>
        <v>100</v>
      </c>
      <c r="I36" s="1427"/>
      <c r="J36" s="79">
        <f>SUMIF(108:108,I36,109:109)-SUMIF(108:108,C36,109:109)+100</f>
        <v>100</v>
      </c>
      <c r="K36" s="228"/>
      <c r="L36" s="221"/>
      <c r="M36" s="205"/>
      <c r="N36" s="205"/>
      <c r="O36" s="205"/>
      <c r="P36" s="1590"/>
      <c r="Q36" s="169" t="str">
        <f t="shared" si="11"/>
        <v>公共部分装修</v>
      </c>
      <c r="R36" s="271" t="s">
        <v>1440</v>
      </c>
      <c r="S36" s="272">
        <f t="shared" si="12"/>
        <v>100</v>
      </c>
      <c r="T36" s="271" t="s">
        <v>1440</v>
      </c>
      <c r="U36" s="272">
        <f t="shared" si="13"/>
        <v>100</v>
      </c>
      <c r="V36" s="271" t="s">
        <v>1440</v>
      </c>
      <c r="W36" s="272">
        <f t="shared" si="14"/>
        <v>100</v>
      </c>
      <c r="X36" s="258"/>
      <c r="Y36" s="232"/>
      <c r="Z36" s="244" t="str">
        <f t="shared" si="15"/>
        <v>公共部分装修</v>
      </c>
      <c r="AA36" s="287">
        <f t="shared" si="3"/>
        <v>1</v>
      </c>
      <c r="AB36" s="287">
        <f t="shared" si="4"/>
        <v>1</v>
      </c>
      <c r="AC36" s="1603">
        <f t="shared" si="5"/>
        <v>1</v>
      </c>
    </row>
    <row r="37" ht="15" spans="1:29">
      <c r="A37" s="121"/>
      <c r="B37" s="67" t="s">
        <v>565</v>
      </c>
      <c r="C37" s="1424"/>
      <c r="D37" s="79">
        <v>100</v>
      </c>
      <c r="E37" s="1424"/>
      <c r="F37" s="1417" t="e">
        <f>LOOKUP(E37,111:111,112:112)-LOOKUP(C37,111:111,112:112)+100</f>
        <v>#N/A</v>
      </c>
      <c r="G37" s="1424"/>
      <c r="H37" s="1417" t="e">
        <f>LOOKUP(G37,111:111,112:112)-LOOKUP(C37,111:111,112:112)+100</f>
        <v>#N/A</v>
      </c>
      <c r="I37" s="1424"/>
      <c r="J37" s="79" t="e">
        <f>LOOKUP(I37,111:111,112:112)-LOOKUP(C37,111:111,112:112)+100</f>
        <v>#N/A</v>
      </c>
      <c r="K37" s="228"/>
      <c r="L37" s="221"/>
      <c r="M37" s="205"/>
      <c r="N37" s="205"/>
      <c r="O37" s="205"/>
      <c r="P37" s="1590"/>
      <c r="Q37" s="169" t="str">
        <f t="shared" si="11"/>
        <v>成新度</v>
      </c>
      <c r="R37" s="271" t="s">
        <v>1440</v>
      </c>
      <c r="S37" s="272" t="e">
        <f t="shared" si="12"/>
        <v>#N/A</v>
      </c>
      <c r="T37" s="271" t="s">
        <v>1440</v>
      </c>
      <c r="U37" s="272" t="e">
        <f t="shared" si="13"/>
        <v>#N/A</v>
      </c>
      <c r="V37" s="271" t="s">
        <v>1440</v>
      </c>
      <c r="W37" s="272" t="e">
        <f t="shared" si="14"/>
        <v>#N/A</v>
      </c>
      <c r="X37" s="258"/>
      <c r="Y37" s="232"/>
      <c r="Z37" s="244" t="str">
        <f t="shared" si="15"/>
        <v>成新度</v>
      </c>
      <c r="AA37" s="287" t="e">
        <f t="shared" si="3"/>
        <v>#N/A</v>
      </c>
      <c r="AB37" s="287" t="e">
        <f t="shared" si="4"/>
        <v>#N/A</v>
      </c>
      <c r="AC37" s="1603" t="e">
        <f t="shared" si="5"/>
        <v>#N/A</v>
      </c>
    </row>
    <row r="38" s="15" customFormat="1" ht="15" spans="1:29">
      <c r="A38" s="123"/>
      <c r="B38" s="67" t="s">
        <v>1536</v>
      </c>
      <c r="C38" s="1427"/>
      <c r="D38" s="69">
        <v>100</v>
      </c>
      <c r="E38" s="1427"/>
      <c r="F38" s="1417">
        <f>SUMIF(113:113,E38,114:114)-SUMIF(113:113,C38,114:114)+100</f>
        <v>100</v>
      </c>
      <c r="G38" s="1427"/>
      <c r="H38" s="79">
        <f>SUMIF(113:113,G38,114:114)-SUMIF(113:113,C38,114:114)+100</f>
        <v>100</v>
      </c>
      <c r="I38" s="1427"/>
      <c r="J38" s="79">
        <f>SUMIF(113:113,I38,114:114)-SUMIF(113:113,C38,114:114)+100</f>
        <v>100</v>
      </c>
      <c r="K38" s="228"/>
      <c r="L38" s="210"/>
      <c r="M38" s="211"/>
      <c r="N38" s="211"/>
      <c r="O38" s="211"/>
      <c r="P38" s="1590"/>
      <c r="Q38" s="270" t="str">
        <f t="shared" si="11"/>
        <v>写字楼等级</v>
      </c>
      <c r="R38" s="266" t="s">
        <v>1440</v>
      </c>
      <c r="S38" s="267">
        <f t="shared" si="12"/>
        <v>100</v>
      </c>
      <c r="T38" s="266" t="s">
        <v>1440</v>
      </c>
      <c r="U38" s="267">
        <f t="shared" si="13"/>
        <v>100</v>
      </c>
      <c r="V38" s="266" t="s">
        <v>1440</v>
      </c>
      <c r="W38" s="267">
        <f t="shared" si="14"/>
        <v>100</v>
      </c>
      <c r="X38" s="268"/>
      <c r="Y38" s="232"/>
      <c r="Z38" s="286" t="str">
        <f t="shared" si="15"/>
        <v>写字楼等级</v>
      </c>
      <c r="AA38" s="285">
        <f t="shared" si="3"/>
        <v>1</v>
      </c>
      <c r="AB38" s="285">
        <f t="shared" si="4"/>
        <v>1</v>
      </c>
      <c r="AC38" s="1602">
        <f t="shared" si="5"/>
        <v>1</v>
      </c>
    </row>
    <row r="39" ht="15" spans="1:29">
      <c r="A39" s="121"/>
      <c r="B39" s="67" t="s">
        <v>1466</v>
      </c>
      <c r="C39" s="1427"/>
      <c r="D39" s="79">
        <v>100</v>
      </c>
      <c r="E39" s="1427"/>
      <c r="F39" s="1417">
        <f>SUMIF(115:115,E39,116:116)-SUMIF(115:115,C39,116:116)+100</f>
        <v>100</v>
      </c>
      <c r="G39" s="1427"/>
      <c r="H39" s="79">
        <f>SUMIF(115:115,G39,116:116)-SUMIF(115:115,C39,116:116)+100</f>
        <v>100</v>
      </c>
      <c r="I39" s="1427"/>
      <c r="J39" s="79">
        <f>SUMIF(115:115,I39,116:116)-SUMIF(115:115,C39,116:116)+100</f>
        <v>100</v>
      </c>
      <c r="K39" s="228"/>
      <c r="L39" s="221"/>
      <c r="M39" s="205"/>
      <c r="N39" s="205"/>
      <c r="O39" s="205"/>
      <c r="P39" s="1590" t="s">
        <v>1461</v>
      </c>
      <c r="Q39" s="169" t="str">
        <f t="shared" si="11"/>
        <v>物业管理</v>
      </c>
      <c r="R39" s="271" t="s">
        <v>1440</v>
      </c>
      <c r="S39" s="272">
        <f t="shared" si="12"/>
        <v>100</v>
      </c>
      <c r="T39" s="271" t="s">
        <v>1440</v>
      </c>
      <c r="U39" s="272">
        <f t="shared" si="13"/>
        <v>100</v>
      </c>
      <c r="V39" s="271" t="s">
        <v>1440</v>
      </c>
      <c r="W39" s="272">
        <f t="shared" si="14"/>
        <v>100</v>
      </c>
      <c r="X39" s="258"/>
      <c r="Y39" s="232" t="s">
        <v>1461</v>
      </c>
      <c r="Z39" s="244" t="str">
        <f t="shared" si="15"/>
        <v>物业管理</v>
      </c>
      <c r="AA39" s="287">
        <f t="shared" si="3"/>
        <v>1</v>
      </c>
      <c r="AB39" s="287">
        <f t="shared" si="4"/>
        <v>1</v>
      </c>
      <c r="AC39" s="1603">
        <f t="shared" si="5"/>
        <v>1</v>
      </c>
    </row>
    <row r="40" ht="15" spans="1:29">
      <c r="A40" s="121"/>
      <c r="B40" s="67" t="s">
        <v>1467</v>
      </c>
      <c r="C40" s="1427"/>
      <c r="D40" s="79">
        <v>100</v>
      </c>
      <c r="E40" s="1427"/>
      <c r="F40" s="1417">
        <f>SUMIF(117:117,E40,118:118)-SUMIF(117:117,C40,118:118)+100</f>
        <v>100</v>
      </c>
      <c r="G40" s="1427"/>
      <c r="H40" s="79">
        <f>SUMIF(117:117,G40,118:118)-SUMIF(117:117,C40,118:118)+100</f>
        <v>100</v>
      </c>
      <c r="I40" s="1427"/>
      <c r="J40" s="79">
        <f>SUMIF(117:117,I40,118:118)-SUMIF(117:117,C40,118:118)+100</f>
        <v>100</v>
      </c>
      <c r="K40" s="228"/>
      <c r="L40" s="221"/>
      <c r="M40" s="205"/>
      <c r="N40" s="205"/>
      <c r="O40" s="205"/>
      <c r="P40" s="1590"/>
      <c r="Q40" s="169" t="str">
        <f t="shared" si="11"/>
        <v>市政基础设施</v>
      </c>
      <c r="R40" s="271" t="s">
        <v>1440</v>
      </c>
      <c r="S40" s="272">
        <f t="shared" si="12"/>
        <v>100</v>
      </c>
      <c r="T40" s="271" t="s">
        <v>1440</v>
      </c>
      <c r="U40" s="272">
        <f t="shared" si="13"/>
        <v>100</v>
      </c>
      <c r="V40" s="271" t="s">
        <v>1440</v>
      </c>
      <c r="W40" s="272">
        <f t="shared" si="14"/>
        <v>100</v>
      </c>
      <c r="X40" s="258"/>
      <c r="Y40" s="232"/>
      <c r="Z40" s="244" t="str">
        <f t="shared" si="15"/>
        <v>市政基础设施</v>
      </c>
      <c r="AA40" s="287">
        <f t="shared" si="3"/>
        <v>1</v>
      </c>
      <c r="AB40" s="287">
        <f t="shared" si="4"/>
        <v>1</v>
      </c>
      <c r="AC40" s="1603">
        <f t="shared" si="5"/>
        <v>1</v>
      </c>
    </row>
    <row r="41" ht="15" spans="1:29">
      <c r="A41" s="121"/>
      <c r="B41" s="67" t="s">
        <v>1527</v>
      </c>
      <c r="C41" s="104"/>
      <c r="D41" s="79">
        <v>100</v>
      </c>
      <c r="E41" s="104"/>
      <c r="F41" s="1417">
        <f>SUMIF(119:119,E41,120:120)-SUMIF(119:119,C41,120:120)+100</f>
        <v>100</v>
      </c>
      <c r="G41" s="104"/>
      <c r="H41" s="79">
        <f>SUMIF(119:119,G41,120:120)-SUMIF(119:119,C41,120:120)+100</f>
        <v>100</v>
      </c>
      <c r="I41" s="104"/>
      <c r="J41" s="79">
        <f>SUMIF(119:119,I41,120:120)-SUMIF(119:119,C41,120:120)+100</f>
        <v>100</v>
      </c>
      <c r="K41" s="228"/>
      <c r="L41" s="221"/>
      <c r="M41" s="205"/>
      <c r="N41" s="205"/>
      <c r="O41" s="205"/>
      <c r="P41" s="1590"/>
      <c r="Q41" s="169" t="str">
        <f t="shared" si="11"/>
        <v>层高</v>
      </c>
      <c r="R41" s="271" t="s">
        <v>1440</v>
      </c>
      <c r="S41" s="272">
        <f t="shared" si="12"/>
        <v>100</v>
      </c>
      <c r="T41" s="271" t="s">
        <v>1440</v>
      </c>
      <c r="U41" s="272">
        <f t="shared" si="13"/>
        <v>100</v>
      </c>
      <c r="V41" s="271" t="s">
        <v>1440</v>
      </c>
      <c r="W41" s="272">
        <f t="shared" si="14"/>
        <v>100</v>
      </c>
      <c r="X41" s="258"/>
      <c r="Y41" s="232"/>
      <c r="Z41" s="244" t="str">
        <f t="shared" si="15"/>
        <v>层高</v>
      </c>
      <c r="AA41" s="287">
        <f t="shared" si="3"/>
        <v>1</v>
      </c>
      <c r="AB41" s="287">
        <f t="shared" si="4"/>
        <v>1</v>
      </c>
      <c r="AC41" s="1603">
        <f t="shared" si="5"/>
        <v>1</v>
      </c>
    </row>
    <row r="42" s="17" customFormat="1" ht="15" spans="1:29">
      <c r="A42" s="126"/>
      <c r="B42" s="239" t="s">
        <v>1537</v>
      </c>
      <c r="C42" s="78"/>
      <c r="D42" s="79">
        <v>100</v>
      </c>
      <c r="E42" s="78"/>
      <c r="F42" s="1417">
        <f>SUMIF(121:121,E42,122:122)-SUMIF(121:121,C42,122:122)+100</f>
        <v>100</v>
      </c>
      <c r="G42" s="78"/>
      <c r="H42" s="79">
        <f>SUMIF(121:121,G42,122:122)-SUMIF(121:121,C42,122:122)+100</f>
        <v>100</v>
      </c>
      <c r="I42" s="78"/>
      <c r="J42" s="79">
        <f>SUMIF(121:121,I42,122:122)-SUMIF(121:121,C42,122:122)+100</f>
        <v>100</v>
      </c>
      <c r="K42" s="227"/>
      <c r="L42" s="219"/>
      <c r="M42" s="230"/>
      <c r="N42" s="230"/>
      <c r="O42" s="230"/>
      <c r="P42" s="1590"/>
      <c r="Q42" s="1456" t="str">
        <f t="shared" si="11"/>
        <v>单套建筑面积</v>
      </c>
      <c r="R42" s="273" t="s">
        <v>1440</v>
      </c>
      <c r="S42" s="274">
        <f t="shared" si="12"/>
        <v>100</v>
      </c>
      <c r="T42" s="273" t="s">
        <v>1440</v>
      </c>
      <c r="U42" s="274">
        <f t="shared" si="13"/>
        <v>100</v>
      </c>
      <c r="V42" s="273" t="s">
        <v>1440</v>
      </c>
      <c r="W42" s="274">
        <f t="shared" si="14"/>
        <v>100</v>
      </c>
      <c r="X42" s="275"/>
      <c r="Y42" s="232"/>
      <c r="Z42" s="288" t="str">
        <f t="shared" si="15"/>
        <v>单套建筑面积</v>
      </c>
      <c r="AA42" s="287">
        <f t="shared" si="3"/>
        <v>1</v>
      </c>
      <c r="AB42" s="287">
        <f t="shared" si="4"/>
        <v>1</v>
      </c>
      <c r="AC42" s="1603">
        <f t="shared" si="5"/>
        <v>1</v>
      </c>
    </row>
    <row r="43" ht="15" spans="1:29">
      <c r="A43" s="121"/>
      <c r="B43" s="67" t="s">
        <v>1470</v>
      </c>
      <c r="C43" s="1427"/>
      <c r="D43" s="79">
        <v>100</v>
      </c>
      <c r="E43" s="1427"/>
      <c r="F43" s="1417">
        <f>SUMIF(123:123,E43,124:124)-SUMIF(123:123,C43,124:124)+100</f>
        <v>100</v>
      </c>
      <c r="G43" s="1427"/>
      <c r="H43" s="79">
        <f>SUMIF(123:123,G43,124:124)-SUMIF(123:123,C43,124:124)+100</f>
        <v>100</v>
      </c>
      <c r="I43" s="1427"/>
      <c r="J43" s="79">
        <f>SUMIF(123:123,I43,124:124)-SUMIF(123:123,C43,124:124)+100</f>
        <v>100</v>
      </c>
      <c r="K43" s="228"/>
      <c r="L43" s="221"/>
      <c r="M43" s="205"/>
      <c r="N43" s="205"/>
      <c r="O43" s="205"/>
      <c r="P43" s="1590"/>
      <c r="Q43" s="169" t="str">
        <f t="shared" si="11"/>
        <v>内部装修</v>
      </c>
      <c r="R43" s="271" t="s">
        <v>1440</v>
      </c>
      <c r="S43" s="272">
        <f t="shared" si="12"/>
        <v>100</v>
      </c>
      <c r="T43" s="271" t="s">
        <v>1440</v>
      </c>
      <c r="U43" s="272">
        <f t="shared" si="13"/>
        <v>100</v>
      </c>
      <c r="V43" s="271" t="s">
        <v>1440</v>
      </c>
      <c r="W43" s="272">
        <f t="shared" si="14"/>
        <v>100</v>
      </c>
      <c r="X43" s="258"/>
      <c r="Y43" s="232"/>
      <c r="Z43" s="244" t="str">
        <f t="shared" si="15"/>
        <v>内部装修</v>
      </c>
      <c r="AA43" s="287">
        <f t="shared" si="3"/>
        <v>1</v>
      </c>
      <c r="AB43" s="287">
        <f t="shared" si="4"/>
        <v>1</v>
      </c>
      <c r="AC43" s="1603">
        <f t="shared" si="5"/>
        <v>1</v>
      </c>
    </row>
    <row r="44" ht="28.8" spans="1:29">
      <c r="A44" s="121"/>
      <c r="B44" s="67" t="s">
        <v>1471</v>
      </c>
      <c r="C44" s="1427"/>
      <c r="D44" s="79">
        <v>100</v>
      </c>
      <c r="E44" s="122"/>
      <c r="F44" s="1417">
        <f>SUMIF(125:125,E44,126:126)-SUMIF(125:125,C44,126:126)+100</f>
        <v>100</v>
      </c>
      <c r="G44" s="122"/>
      <c r="H44" s="79">
        <f>SUMIF(125:125,G44,126:126)-SUMIF(125:125,C44,126:126)+100</f>
        <v>100</v>
      </c>
      <c r="I44" s="122"/>
      <c r="J44" s="79">
        <f>SUMIF(125:125,I44,126:126)-SUMIF(125:125,C44,126:126)+100</f>
        <v>100</v>
      </c>
      <c r="K44" s="228"/>
      <c r="L44" s="221"/>
      <c r="M44" s="205"/>
      <c r="N44" s="205"/>
      <c r="O44" s="205"/>
      <c r="P44" s="1590"/>
      <c r="Q44" s="169" t="str">
        <f t="shared" si="11"/>
        <v>内部装修维护情况</v>
      </c>
      <c r="R44" s="271" t="s">
        <v>1440</v>
      </c>
      <c r="S44" s="272">
        <f t="shared" si="12"/>
        <v>100</v>
      </c>
      <c r="T44" s="271" t="s">
        <v>1440</v>
      </c>
      <c r="U44" s="272">
        <f t="shared" si="13"/>
        <v>100</v>
      </c>
      <c r="V44" s="271" t="s">
        <v>1440</v>
      </c>
      <c r="W44" s="272">
        <f t="shared" si="14"/>
        <v>100</v>
      </c>
      <c r="X44" s="258"/>
      <c r="Y44" s="232"/>
      <c r="Z44" s="244" t="str">
        <f t="shared" si="15"/>
        <v>内部装修维护情况</v>
      </c>
      <c r="AA44" s="287">
        <f t="shared" si="3"/>
        <v>1</v>
      </c>
      <c r="AB44" s="287">
        <f t="shared" si="4"/>
        <v>1</v>
      </c>
      <c r="AC44" s="1603">
        <f t="shared" si="5"/>
        <v>1</v>
      </c>
    </row>
    <row r="45" s="15" customFormat="1" ht="15" spans="1:29">
      <c r="A45" s="123"/>
      <c r="B45" s="1368">
        <v>111</v>
      </c>
      <c r="C45" s="1411"/>
      <c r="D45" s="69">
        <v>100</v>
      </c>
      <c r="E45" s="68"/>
      <c r="F45" s="1410">
        <f>SUMIF(127:127,E45,128:128)-SUMIF(127:127,C45,128:128)+100</f>
        <v>100</v>
      </c>
      <c r="G45" s="68"/>
      <c r="H45" s="69">
        <f>SUMIF(127:127,G45,128:128)-SUMIF(127:127,C45,128:128)+100</f>
        <v>100</v>
      </c>
      <c r="I45" s="68"/>
      <c r="J45" s="69">
        <f>SUMIF(127:127,I45,128:128)-SUMIF(127:127,C45,128:128)+100</f>
        <v>100</v>
      </c>
      <c r="K45" s="227"/>
      <c r="L45" s="210"/>
      <c r="M45" s="211"/>
      <c r="N45" s="211"/>
      <c r="O45" s="211"/>
      <c r="P45" s="1590"/>
      <c r="Q45" s="270">
        <f t="shared" si="11"/>
        <v>111</v>
      </c>
      <c r="R45" s="266" t="s">
        <v>1440</v>
      </c>
      <c r="S45" s="267">
        <f t="shared" si="12"/>
        <v>100</v>
      </c>
      <c r="T45" s="266" t="s">
        <v>1440</v>
      </c>
      <c r="U45" s="267">
        <f t="shared" si="13"/>
        <v>100</v>
      </c>
      <c r="V45" s="266" t="s">
        <v>1440</v>
      </c>
      <c r="W45" s="267">
        <f t="shared" si="14"/>
        <v>100</v>
      </c>
      <c r="X45" s="268"/>
      <c r="Y45" s="232"/>
      <c r="Z45" s="286">
        <f t="shared" si="15"/>
        <v>111</v>
      </c>
      <c r="AA45" s="285">
        <f t="shared" si="3"/>
        <v>1</v>
      </c>
      <c r="AB45" s="285">
        <f t="shared" si="4"/>
        <v>1</v>
      </c>
      <c r="AC45" s="1602">
        <f t="shared" si="5"/>
        <v>1</v>
      </c>
    </row>
    <row r="46" ht="15" spans="1:29">
      <c r="A46" s="121"/>
      <c r="B46" s="1368">
        <v>111</v>
      </c>
      <c r="C46" s="78"/>
      <c r="D46" s="79">
        <v>100</v>
      </c>
      <c r="E46" s="68"/>
      <c r="F46" s="1417">
        <f>SUMIF(129:129,E46,130:130)-SUMIF(129:129,C46,130:130)+100</f>
        <v>100</v>
      </c>
      <c r="G46" s="68"/>
      <c r="H46" s="79">
        <f>SUMIF(129:129,G46,130:130)-SUMIF(129:129,C46,130:130)+100</f>
        <v>100</v>
      </c>
      <c r="I46" s="68"/>
      <c r="J46" s="79">
        <f>SUMIF(129:129,I46,130:130)-SUMIF(129:129,C46,130:130)+100</f>
        <v>100</v>
      </c>
      <c r="K46" s="227"/>
      <c r="L46" s="221"/>
      <c r="M46" s="205"/>
      <c r="N46" s="205"/>
      <c r="O46" s="205"/>
      <c r="P46" s="1590"/>
      <c r="Q46" s="169">
        <f t="shared" si="11"/>
        <v>111</v>
      </c>
      <c r="R46" s="271" t="s">
        <v>1440</v>
      </c>
      <c r="S46" s="272">
        <f t="shared" si="12"/>
        <v>100</v>
      </c>
      <c r="T46" s="271" t="s">
        <v>1440</v>
      </c>
      <c r="U46" s="272">
        <f t="shared" si="13"/>
        <v>100</v>
      </c>
      <c r="V46" s="271" t="s">
        <v>1440</v>
      </c>
      <c r="W46" s="272">
        <f t="shared" si="14"/>
        <v>100</v>
      </c>
      <c r="X46" s="258"/>
      <c r="Y46" s="232"/>
      <c r="Z46" s="244">
        <f t="shared" si="15"/>
        <v>111</v>
      </c>
      <c r="AA46" s="287">
        <f t="shared" si="3"/>
        <v>1</v>
      </c>
      <c r="AB46" s="287">
        <f t="shared" si="4"/>
        <v>1</v>
      </c>
      <c r="AC46" s="1603">
        <f t="shared" si="5"/>
        <v>1</v>
      </c>
    </row>
    <row r="47" ht="15.75" spans="1:29">
      <c r="A47" s="1429"/>
      <c r="B47" s="81">
        <v>111</v>
      </c>
      <c r="C47" s="82"/>
      <c r="D47" s="83">
        <v>100</v>
      </c>
      <c r="E47" s="68"/>
      <c r="F47" s="1430">
        <f>SUMIF(131:131,E47,132:132)-SUMIF(131:131,C47,132:132)+100</f>
        <v>100</v>
      </c>
      <c r="G47" s="68"/>
      <c r="H47" s="83">
        <f>SUMIF(131:131,G47,132:132)-SUMIF(131:131,C47,132:132)+100</f>
        <v>100</v>
      </c>
      <c r="I47" s="68"/>
      <c r="J47" s="83">
        <f>SUMIF(131:131,I47,132:132)-SUMIF(131:131,C47,132:132)+100</f>
        <v>100</v>
      </c>
      <c r="K47" s="227"/>
      <c r="L47" s="221"/>
      <c r="M47" s="205"/>
      <c r="N47" s="205"/>
      <c r="O47" s="205"/>
      <c r="P47" s="1591"/>
      <c r="Q47" s="169">
        <f t="shared" si="11"/>
        <v>111</v>
      </c>
      <c r="R47" s="271" t="s">
        <v>1440</v>
      </c>
      <c r="S47" s="272">
        <f t="shared" si="12"/>
        <v>100</v>
      </c>
      <c r="T47" s="271" t="s">
        <v>1440</v>
      </c>
      <c r="U47" s="272">
        <f t="shared" si="13"/>
        <v>100</v>
      </c>
      <c r="V47" s="271" t="s">
        <v>1440</v>
      </c>
      <c r="W47" s="272">
        <f t="shared" si="14"/>
        <v>100</v>
      </c>
      <c r="X47" s="258"/>
      <c r="Y47" s="1547"/>
      <c r="Z47" s="244">
        <f t="shared" si="15"/>
        <v>111</v>
      </c>
      <c r="AA47" s="287">
        <f t="shared" si="3"/>
        <v>1</v>
      </c>
      <c r="AB47" s="287">
        <f t="shared" si="4"/>
        <v>1</v>
      </c>
      <c r="AC47" s="1603">
        <f t="shared" si="5"/>
        <v>1</v>
      </c>
    </row>
    <row r="48" ht="14.4" spans="1:29">
      <c r="A48" s="128" t="s">
        <v>1472</v>
      </c>
      <c r="B48" s="1431"/>
      <c r="C48" s="1432" t="s">
        <v>124</v>
      </c>
      <c r="D48" s="1433"/>
      <c r="E48" s="1434"/>
      <c r="F48" s="1435"/>
      <c r="G48" s="1436"/>
      <c r="H48" s="1437"/>
      <c r="I48" s="1434"/>
      <c r="J48" s="135"/>
      <c r="K48" s="235"/>
      <c r="L48" s="236"/>
      <c r="M48" s="205"/>
      <c r="N48" s="205"/>
      <c r="O48" s="205"/>
      <c r="P48" s="168" t="str">
        <f>A48</f>
        <v>成交单价（元/平方米）</v>
      </c>
      <c r="Q48" s="169"/>
      <c r="R48" s="287">
        <f>E48</f>
        <v>0</v>
      </c>
      <c r="S48" s="287"/>
      <c r="T48" s="287">
        <f>G48</f>
        <v>0</v>
      </c>
      <c r="U48" s="287"/>
      <c r="V48" s="287">
        <f>I48</f>
        <v>0</v>
      </c>
      <c r="W48" s="287"/>
      <c r="X48" s="1361"/>
      <c r="Y48" s="289"/>
      <c r="Z48" s="1361"/>
      <c r="AA48" s="1361"/>
      <c r="AB48" s="1361"/>
      <c r="AC48" s="89"/>
    </row>
    <row r="49" ht="15.15" spans="1:29">
      <c r="A49" s="136" t="s">
        <v>1473</v>
      </c>
      <c r="B49" s="1438"/>
      <c r="C49" s="1439" t="e">
        <f>R50</f>
        <v>#DIV/0!</v>
      </c>
      <c r="D49" s="139" t="s">
        <v>1474</v>
      </c>
      <c r="E49" s="1440" t="e">
        <f>R49</f>
        <v>#DIV/0!</v>
      </c>
      <c r="F49" s="140"/>
      <c r="G49" s="1439" t="e">
        <f>T49</f>
        <v>#DIV/0!</v>
      </c>
      <c r="H49" s="140"/>
      <c r="I49" s="1440" t="e">
        <f>V49</f>
        <v>#DIV/0!</v>
      </c>
      <c r="J49" s="140"/>
      <c r="K49" s="237">
        <f>F49+H49+J49</f>
        <v>0</v>
      </c>
      <c r="L49" s="236"/>
      <c r="M49" s="205"/>
      <c r="N49" s="205"/>
      <c r="O49" s="205"/>
      <c r="P49" s="168" t="str">
        <f>A49</f>
        <v>比较价值（元/平方米）</v>
      </c>
      <c r="Q49" s="169"/>
      <c r="R49" s="287" t="e">
        <f>IF(F1="售价",ROUND(PRODUCT(R48,AA7:AA47),0),ROUND(PRODUCT(R48,AA7:AA47),1))</f>
        <v>#DIV/0!</v>
      </c>
      <c r="S49" s="287"/>
      <c r="T49" s="287" t="e">
        <f>IF(F1="售价",ROUND(PRODUCT(T48,AB7:AB47),0),ROUND(PRODUCT(T48,AB7:AB47),1))</f>
        <v>#DIV/0!</v>
      </c>
      <c r="U49" s="287"/>
      <c r="V49" s="287" t="e">
        <f>IF(F1="售价",ROUND(PRODUCT(V48,AC7:AC47),0),ROUND(PRODUCT(V48,AC7:AC47),1))</f>
        <v>#DIV/0!</v>
      </c>
      <c r="W49" s="287"/>
      <c r="X49" s="1361"/>
      <c r="Y49" s="1361"/>
      <c r="Z49" s="1361"/>
      <c r="AA49" s="1361"/>
      <c r="AB49" s="1361"/>
      <c r="AC49" s="89"/>
    </row>
    <row r="50" ht="15.15" spans="1:29">
      <c r="A50" s="142" t="s">
        <v>1475</v>
      </c>
      <c r="B50" s="143"/>
      <c r="C50" s="1441" t="e">
        <f>R50</f>
        <v>#DIV/0!</v>
      </c>
      <c r="D50" s="1441"/>
      <c r="E50" s="1441"/>
      <c r="F50" s="1441"/>
      <c r="G50" s="1441"/>
      <c r="H50" s="1441"/>
      <c r="I50" s="1441"/>
      <c r="J50" s="144"/>
      <c r="K50" s="238"/>
      <c r="L50" s="236"/>
      <c r="M50" s="205"/>
      <c r="N50" s="205"/>
      <c r="O50" s="205"/>
      <c r="P50" s="1592" t="str">
        <f>A50</f>
        <v>估价对象XX用房的比较价值（楼面单价，元/平方米）</v>
      </c>
      <c r="Q50" s="1597"/>
      <c r="R50" s="1598" t="e">
        <f>IF(F1="售价",ROUND(IF(D49="简单平均",AVERAGE(R49:V49),R49*F49+T49*H49+V49*J49),0),ROUND(IF(D49="简单平均",AVERAGE(R49:V49),R49*F49+T49*H49+V49*J49),1))</f>
        <v>#DIV/0!</v>
      </c>
      <c r="S50" s="1598"/>
      <c r="T50" s="1598"/>
      <c r="U50" s="1598"/>
      <c r="V50" s="1598"/>
      <c r="W50" s="1598"/>
      <c r="X50" s="1599"/>
      <c r="Y50" s="1599"/>
      <c r="Z50" s="1599"/>
      <c r="AA50" s="1599"/>
      <c r="AB50" s="1599"/>
      <c r="AC50" s="1604"/>
    </row>
    <row r="51" spans="1:29">
      <c r="A51" s="145"/>
      <c r="B51" s="145"/>
      <c r="C51" s="145"/>
      <c r="D51" s="145"/>
      <c r="E51" s="145"/>
      <c r="F51" s="145"/>
      <c r="G51" s="146"/>
      <c r="H51" s="145"/>
      <c r="I51" s="145"/>
      <c r="J51" s="145"/>
      <c r="K51" s="240"/>
      <c r="L51" s="241"/>
      <c r="M51" s="145"/>
      <c r="N51" s="145"/>
      <c r="O51" s="145"/>
      <c r="P51" s="1509"/>
      <c r="Q51" s="145"/>
      <c r="R51" s="145"/>
      <c r="S51" s="145"/>
      <c r="T51" s="145"/>
      <c r="U51" s="145"/>
      <c r="V51" s="145"/>
      <c r="W51" s="145"/>
      <c r="X51" s="145"/>
      <c r="Y51" s="145"/>
      <c r="Z51" s="145"/>
      <c r="AA51" s="145"/>
      <c r="AB51" s="145"/>
      <c r="AC51" s="145"/>
    </row>
    <row r="52" spans="1:29">
      <c r="A52" s="145"/>
      <c r="B52" s="145"/>
      <c r="C52" s="145"/>
      <c r="D52" s="145"/>
      <c r="E52" s="145"/>
      <c r="F52" s="145"/>
      <c r="G52" s="145"/>
      <c r="H52" s="145"/>
      <c r="I52" s="145"/>
      <c r="J52" s="145"/>
      <c r="K52" s="240"/>
      <c r="L52" s="241"/>
      <c r="M52" s="145"/>
      <c r="N52" s="145"/>
      <c r="O52" s="145"/>
      <c r="P52" s="1509"/>
      <c r="Q52" s="145"/>
      <c r="R52" s="145"/>
      <c r="S52" s="145"/>
      <c r="T52" s="145"/>
      <c r="U52" s="145"/>
      <c r="V52" s="145"/>
      <c r="W52" s="145"/>
      <c r="X52" s="145"/>
      <c r="Y52" s="145"/>
      <c r="Z52" s="145"/>
      <c r="AA52" s="145"/>
      <c r="AB52" s="145"/>
      <c r="AC52" s="145"/>
    </row>
    <row r="53" ht="13.5" customHeight="1" spans="1:29">
      <c r="A53" s="145"/>
      <c r="B53" s="145"/>
      <c r="C53" s="147" t="s">
        <v>1476</v>
      </c>
      <c r="D53" s="148"/>
      <c r="E53" s="149" t="e">
        <f>IF(E48&lt;E49,E49/E48-1,E48/E49-1)</f>
        <v>#DIV/0!</v>
      </c>
      <c r="F53" s="150" t="e">
        <f>IF(OR(E53&gt;=0.3,E53&lt;=-0.3),"超过30%","")</f>
        <v>#DIV/0!</v>
      </c>
      <c r="G53" s="149" t="e">
        <f>IF(G48&lt;G49,G49/G48-1,G48/G49-1)</f>
        <v>#DIV/0!</v>
      </c>
      <c r="H53" s="150" t="e">
        <f>IF(OR(G53&gt;=0.3,G53&lt;=-0.3),"超过30%","")</f>
        <v>#DIV/0!</v>
      </c>
      <c r="I53" s="149" t="e">
        <f>IF(I48&lt;I49,I49/I48-1,I48/I49-1)</f>
        <v>#DIV/0!</v>
      </c>
      <c r="J53" s="150" t="e">
        <f>IF(OR(I53&gt;=0.3,I53&lt;=-0.3),"超过30%","")</f>
        <v>#DIV/0!</v>
      </c>
      <c r="K53" s="240"/>
      <c r="L53" s="241"/>
      <c r="M53" s="145"/>
      <c r="N53" s="145"/>
      <c r="O53" s="145"/>
      <c r="P53" s="1509"/>
      <c r="Q53" s="145"/>
      <c r="R53" s="145"/>
      <c r="S53" s="145"/>
      <c r="T53" s="145"/>
      <c r="U53" s="145"/>
      <c r="V53" s="145"/>
      <c r="W53" s="145"/>
      <c r="X53" s="145"/>
      <c r="Y53" s="145"/>
      <c r="Z53" s="145"/>
      <c r="AA53" s="145"/>
      <c r="AB53" s="145"/>
      <c r="AC53" s="145"/>
    </row>
    <row r="54" ht="13.5" customHeight="1" spans="1:29">
      <c r="A54" s="145"/>
      <c r="B54" s="145"/>
      <c r="C54" s="147" t="s">
        <v>1477</v>
      </c>
      <c r="D54" s="151"/>
      <c r="E54" s="149" t="e">
        <f>IF(E49&lt;G49,G49/E49-1,E49/G49-1)</f>
        <v>#DIV/0!</v>
      </c>
      <c r="F54" s="150" t="e">
        <f>IF(OR(E54&gt;=0.2,E54&lt;=-0.2),"超过20%","")</f>
        <v>#DIV/0!</v>
      </c>
      <c r="G54" s="149" t="e">
        <f>IF(G49&lt;I49,I49/G49-1,G49/I49-1)</f>
        <v>#DIV/0!</v>
      </c>
      <c r="H54" s="150" t="e">
        <f>IF(OR(G54&gt;=0.2,G54&lt;=-0.2),"超过20%","")</f>
        <v>#DIV/0!</v>
      </c>
      <c r="I54" s="149" t="e">
        <f>IF(I49&lt;E49,E49/I49-1,I49/E49-1)</f>
        <v>#DIV/0!</v>
      </c>
      <c r="J54" s="150" t="e">
        <f>IF(OR(I54&gt;=0.2,I54&lt;=-0.2),"超过20%","")</f>
        <v>#DIV/0!</v>
      </c>
      <c r="K54" s="240"/>
      <c r="L54" s="241"/>
      <c r="M54" s="145"/>
      <c r="N54" s="145"/>
      <c r="O54" s="145"/>
      <c r="P54" s="1509"/>
      <c r="Q54" s="145"/>
      <c r="R54" s="145"/>
      <c r="S54" s="145"/>
      <c r="T54" s="145"/>
      <c r="U54" s="145"/>
      <c r="V54" s="145"/>
      <c r="W54" s="145"/>
      <c r="X54" s="145"/>
      <c r="Y54" s="145"/>
      <c r="Z54" s="145"/>
      <c r="AA54" s="145"/>
      <c r="AB54" s="145"/>
      <c r="AC54" s="145"/>
    </row>
    <row r="55" s="18" customFormat="1" ht="13.5" customHeight="1" spans="1:29">
      <c r="A55" s="152"/>
      <c r="B55" s="152"/>
      <c r="C55" s="147" t="s">
        <v>1478</v>
      </c>
      <c r="D55" s="151"/>
      <c r="E55" s="149" t="e">
        <f>IF(E48&lt;G48,G48/E48-1,E48/G48-1)</f>
        <v>#DIV/0!</v>
      </c>
      <c r="F55" s="150" t="e">
        <f>IF(OR(E55&gt;=0.3,E55&lt;=-0.3),"超过30%","")</f>
        <v>#DIV/0!</v>
      </c>
      <c r="G55" s="149" t="e">
        <f>IF(G48&lt;I48,I48/G48-1,G48/I48-1)</f>
        <v>#DIV/0!</v>
      </c>
      <c r="H55" s="150" t="e">
        <f>IF(OR(G55&gt;=0.3,G55&lt;=-0.3),"超过30%","")</f>
        <v>#DIV/0!</v>
      </c>
      <c r="I55" s="149" t="e">
        <f>IF(I48&lt;E48,E48/I48-1,I48/E48-1)</f>
        <v>#DIV/0!</v>
      </c>
      <c r="J55" s="150" t="e">
        <f>IF(OR(I55&gt;=0.3,I55&lt;=-0.3),"超过30%","")</f>
        <v>#DIV/0!</v>
      </c>
      <c r="K55" s="242"/>
      <c r="L55" s="243"/>
      <c r="M55" s="152"/>
      <c r="N55" s="152"/>
      <c r="O55" s="152"/>
      <c r="P55" s="1510"/>
      <c r="Q55" s="152"/>
      <c r="R55" s="152"/>
      <c r="S55" s="152"/>
      <c r="T55" s="152"/>
      <c r="U55" s="152"/>
      <c r="V55" s="152"/>
      <c r="W55" s="152"/>
      <c r="X55" s="152"/>
      <c r="Y55" s="152"/>
      <c r="Z55" s="152"/>
      <c r="AA55" s="152"/>
      <c r="AB55" s="152"/>
      <c r="AC55" s="152"/>
    </row>
    <row r="56" s="18" customFormat="1" spans="1:29">
      <c r="A56" s="152"/>
      <c r="B56" s="153"/>
      <c r="C56" s="1442"/>
      <c r="D56" s="152"/>
      <c r="E56" s="152"/>
      <c r="F56" s="152"/>
      <c r="G56" s="152"/>
      <c r="H56" s="152"/>
      <c r="I56" s="152"/>
      <c r="J56" s="152"/>
      <c r="K56" s="242"/>
      <c r="L56" s="243"/>
      <c r="M56" s="152"/>
      <c r="N56" s="152"/>
      <c r="O56" s="152"/>
      <c r="P56" s="1510"/>
      <c r="Q56" s="152"/>
      <c r="R56" s="152"/>
      <c r="S56" s="152"/>
      <c r="T56" s="152"/>
      <c r="U56" s="152"/>
      <c r="V56" s="152"/>
      <c r="W56" s="152"/>
      <c r="X56" s="152"/>
      <c r="Y56" s="152"/>
      <c r="Z56" s="152"/>
      <c r="AA56" s="152"/>
      <c r="AB56" s="152"/>
      <c r="AC56" s="152"/>
    </row>
    <row r="57" spans="1:29">
      <c r="A57" s="145"/>
      <c r="B57" s="153"/>
      <c r="C57" s="1442"/>
      <c r="D57" s="145"/>
      <c r="E57" s="145"/>
      <c r="F57" s="145"/>
      <c r="G57" s="145"/>
      <c r="H57" s="145"/>
      <c r="I57" s="145"/>
      <c r="J57" s="145"/>
      <c r="K57" s="240"/>
      <c r="L57" s="241"/>
      <c r="M57" s="145"/>
      <c r="N57" s="145"/>
      <c r="O57" s="145"/>
      <c r="P57" s="1509"/>
      <c r="Q57" s="145"/>
      <c r="R57" s="145"/>
      <c r="S57" s="145"/>
      <c r="T57" s="145"/>
      <c r="U57" s="145"/>
      <c r="V57" s="145"/>
      <c r="W57" s="145"/>
      <c r="X57" s="145"/>
      <c r="Y57" s="145"/>
      <c r="Z57" s="145"/>
      <c r="AA57" s="145"/>
      <c r="AB57" s="145"/>
      <c r="AC57" s="145"/>
    </row>
    <row r="58" ht="21.15" spans="1:29">
      <c r="A58" s="192" t="s">
        <v>1479</v>
      </c>
      <c r="B58" s="193"/>
      <c r="C58" s="194"/>
      <c r="D58" s="194"/>
      <c r="E58" s="194"/>
      <c r="F58" s="195"/>
      <c r="G58" s="195"/>
      <c r="H58" s="194"/>
      <c r="I58" s="194"/>
      <c r="J58" s="194"/>
      <c r="K58" s="251"/>
      <c r="L58" s="1387"/>
      <c r="M58" s="253"/>
      <c r="N58" s="254"/>
      <c r="O58" s="254"/>
      <c r="P58" s="1511"/>
      <c r="Q58" s="279"/>
      <c r="R58" s="145"/>
      <c r="S58" s="145"/>
      <c r="T58" s="145"/>
      <c r="U58" s="145"/>
      <c r="V58" s="145"/>
      <c r="W58" s="145"/>
      <c r="X58" s="145"/>
      <c r="Y58" s="145"/>
      <c r="Z58" s="145"/>
      <c r="AA58" s="145"/>
      <c r="AB58" s="145"/>
      <c r="AC58" s="145"/>
    </row>
    <row r="59" s="20" customFormat="1" ht="14.4" spans="1:29">
      <c r="A59" s="1443" t="s">
        <v>1438</v>
      </c>
      <c r="B59" s="1444"/>
      <c r="C59" s="1445" t="str">
        <f>YEAR(C7)&amp;"-"&amp;MONTH(C7)</f>
        <v>2022-8</v>
      </c>
      <c r="D59" s="1446">
        <f>EDATE(C59,-1)</f>
        <v>44743</v>
      </c>
      <c r="E59" s="1446">
        <f>EDATE(D59,-1)</f>
        <v>44713</v>
      </c>
      <c r="F59" s="1446">
        <f t="shared" ref="F59:O59" si="16">EDATE(E59,-1)</f>
        <v>44682</v>
      </c>
      <c r="G59" s="1446">
        <f t="shared" si="16"/>
        <v>44652</v>
      </c>
      <c r="H59" s="1446">
        <f t="shared" si="16"/>
        <v>44621</v>
      </c>
      <c r="I59" s="1446">
        <f t="shared" si="16"/>
        <v>44593</v>
      </c>
      <c r="J59" s="1446">
        <f t="shared" si="16"/>
        <v>44562</v>
      </c>
      <c r="K59" s="1446">
        <f t="shared" si="16"/>
        <v>44531</v>
      </c>
      <c r="L59" s="1446">
        <f t="shared" si="16"/>
        <v>44501</v>
      </c>
      <c r="M59" s="1446">
        <f t="shared" si="16"/>
        <v>44470</v>
      </c>
      <c r="N59" s="1446">
        <f t="shared" si="16"/>
        <v>44440</v>
      </c>
      <c r="O59" s="1446">
        <f t="shared" si="16"/>
        <v>44409</v>
      </c>
      <c r="P59" s="1512"/>
      <c r="Q59" s="401"/>
      <c r="R59" s="401"/>
      <c r="S59" s="401"/>
      <c r="T59" s="401"/>
      <c r="U59" s="401"/>
      <c r="V59" s="401"/>
      <c r="W59" s="401"/>
      <c r="X59" s="401"/>
      <c r="Y59" s="401"/>
      <c r="Z59" s="401"/>
      <c r="AA59" s="401"/>
      <c r="AB59" s="401"/>
      <c r="AC59" s="401"/>
    </row>
    <row r="60" s="15" customFormat="1" spans="1:29">
      <c r="A60" s="1447"/>
      <c r="B60" s="302"/>
      <c r="C60" s="1448">
        <v>100</v>
      </c>
      <c r="D60" s="306"/>
      <c r="E60" s="306"/>
      <c r="F60" s="306"/>
      <c r="G60" s="306"/>
      <c r="H60" s="306"/>
      <c r="I60" s="306"/>
      <c r="J60" s="306"/>
      <c r="K60" s="306"/>
      <c r="L60" s="306"/>
      <c r="M60" s="1455"/>
      <c r="N60" s="306"/>
      <c r="O60" s="1455"/>
      <c r="P60" s="1513"/>
      <c r="Q60" s="402"/>
      <c r="R60" s="402"/>
      <c r="S60" s="402"/>
      <c r="T60" s="402"/>
      <c r="U60" s="402"/>
      <c r="V60" s="402"/>
      <c r="W60" s="402"/>
      <c r="X60" s="402"/>
      <c r="Y60" s="402"/>
      <c r="Z60" s="402"/>
      <c r="AA60" s="402"/>
      <c r="AB60" s="402"/>
      <c r="AC60" s="402"/>
    </row>
    <row r="61" s="15" customFormat="1" ht="15.15" spans="1:29">
      <c r="A61" s="297" t="s">
        <v>1480</v>
      </c>
      <c r="B61" s="298"/>
      <c r="C61" s="299"/>
      <c r="D61" s="300"/>
      <c r="E61" s="300"/>
      <c r="F61" s="300"/>
      <c r="G61" s="300"/>
      <c r="H61" s="300"/>
      <c r="I61" s="300"/>
      <c r="J61" s="300"/>
      <c r="K61" s="300"/>
      <c r="L61" s="300"/>
      <c r="M61" s="348"/>
      <c r="N61" s="300"/>
      <c r="O61" s="348"/>
      <c r="P61" s="1513"/>
      <c r="Q61" s="279"/>
      <c r="R61" s="402"/>
      <c r="S61" s="402"/>
      <c r="T61" s="402"/>
      <c r="U61" s="402"/>
      <c r="V61" s="402"/>
      <c r="W61" s="402"/>
      <c r="X61" s="402"/>
      <c r="Y61" s="402"/>
      <c r="Z61" s="402"/>
      <c r="AA61" s="402"/>
      <c r="AB61" s="402"/>
      <c r="AC61" s="402"/>
    </row>
    <row r="62" s="15" customFormat="1" ht="14.4" spans="1:29">
      <c r="A62" s="301" t="s">
        <v>1441</v>
      </c>
      <c r="B62" s="302"/>
      <c r="C62" s="303" t="s">
        <v>1442</v>
      </c>
      <c r="D62" s="304"/>
      <c r="E62" s="304"/>
      <c r="F62" s="304"/>
      <c r="G62" s="304"/>
      <c r="H62" s="304"/>
      <c r="I62" s="304"/>
      <c r="J62" s="304"/>
      <c r="K62" s="304"/>
      <c r="L62" s="350"/>
      <c r="M62" s="351"/>
      <c r="N62" s="352"/>
      <c r="O62" s="352"/>
      <c r="P62" s="1514"/>
      <c r="Q62" s="279"/>
      <c r="R62" s="402"/>
      <c r="S62" s="402"/>
      <c r="T62" s="402"/>
      <c r="U62" s="402"/>
      <c r="V62" s="402"/>
      <c r="W62" s="402"/>
      <c r="X62" s="402"/>
      <c r="Y62" s="402"/>
      <c r="Z62" s="402"/>
      <c r="AA62" s="402"/>
      <c r="AB62" s="402"/>
      <c r="AC62" s="402"/>
    </row>
    <row r="63" s="15" customFormat="1" ht="14.55" spans="1:29">
      <c r="A63" s="301"/>
      <c r="B63" s="302"/>
      <c r="C63" s="1582">
        <v>100</v>
      </c>
      <c r="D63" s="306"/>
      <c r="E63" s="306"/>
      <c r="F63" s="306"/>
      <c r="G63" s="306"/>
      <c r="H63" s="306"/>
      <c r="I63" s="306"/>
      <c r="J63" s="306"/>
      <c r="K63" s="306"/>
      <c r="L63" s="306"/>
      <c r="M63" s="354"/>
      <c r="N63" s="352"/>
      <c r="O63" s="352"/>
      <c r="P63" s="1513"/>
      <c r="Q63" s="279"/>
      <c r="R63" s="402"/>
      <c r="S63" s="402"/>
      <c r="T63" s="402"/>
      <c r="U63" s="402"/>
      <c r="V63" s="402"/>
      <c r="W63" s="402"/>
      <c r="X63" s="402"/>
      <c r="Y63" s="402"/>
      <c r="Z63" s="402"/>
      <c r="AA63" s="402"/>
      <c r="AB63" s="402"/>
      <c r="AC63" s="402"/>
    </row>
    <row r="64" ht="14.4" spans="1:29">
      <c r="A64" s="307" t="s">
        <v>1481</v>
      </c>
      <c r="B64" s="308" t="s">
        <v>1445</v>
      </c>
      <c r="C64" s="330">
        <f>C9</f>
        <v>0</v>
      </c>
      <c r="D64" s="233"/>
      <c r="E64" s="233"/>
      <c r="F64" s="233"/>
      <c r="G64" s="233"/>
      <c r="H64" s="233"/>
      <c r="I64" s="233"/>
      <c r="J64" s="233"/>
      <c r="K64" s="355"/>
      <c r="L64" s="356"/>
      <c r="M64" s="357"/>
      <c r="N64" s="358"/>
      <c r="O64" s="358"/>
      <c r="P64" s="1515"/>
      <c r="Q64" s="279"/>
      <c r="R64" s="145"/>
      <c r="S64" s="145"/>
      <c r="T64" s="145"/>
      <c r="U64" s="145"/>
      <c r="V64" s="145"/>
      <c r="W64" s="145"/>
      <c r="X64" s="145"/>
      <c r="Y64" s="145"/>
      <c r="Z64" s="145"/>
      <c r="AA64" s="145"/>
      <c r="AB64" s="145"/>
      <c r="AC64" s="145"/>
    </row>
    <row r="65" ht="14.55" spans="1:29">
      <c r="A65" s="309"/>
      <c r="B65" s="310"/>
      <c r="C65" s="311">
        <v>100</v>
      </c>
      <c r="D65" s="311"/>
      <c r="E65" s="311"/>
      <c r="F65" s="311"/>
      <c r="G65" s="311"/>
      <c r="H65" s="311"/>
      <c r="I65" s="311"/>
      <c r="J65" s="311"/>
      <c r="K65" s="311"/>
      <c r="L65" s="311"/>
      <c r="M65" s="360"/>
      <c r="N65" s="361"/>
      <c r="O65" s="361"/>
      <c r="P65" s="1515"/>
      <c r="Q65" s="279"/>
      <c r="R65" s="145"/>
      <c r="S65" s="145"/>
      <c r="T65" s="145"/>
      <c r="U65" s="145"/>
      <c r="V65" s="145"/>
      <c r="W65" s="145"/>
      <c r="X65" s="145"/>
      <c r="Y65" s="145"/>
      <c r="Z65" s="145"/>
      <c r="AA65" s="145"/>
      <c r="AB65" s="145"/>
      <c r="AC65" s="145"/>
    </row>
    <row r="66" ht="29.55" spans="1:29">
      <c r="A66" s="309"/>
      <c r="B66" s="312" t="s">
        <v>1448</v>
      </c>
      <c r="C66" s="313" t="s">
        <v>1482</v>
      </c>
      <c r="D66" s="313" t="s">
        <v>1483</v>
      </c>
      <c r="E66" s="313" t="s">
        <v>1484</v>
      </c>
      <c r="F66" s="313" t="s">
        <v>1485</v>
      </c>
      <c r="G66" s="313" t="s">
        <v>1486</v>
      </c>
      <c r="H66" s="313" t="s">
        <v>1487</v>
      </c>
      <c r="I66" s="313" t="s">
        <v>1488</v>
      </c>
      <c r="J66" s="313"/>
      <c r="K66" s="362"/>
      <c r="L66" s="363"/>
      <c r="M66" s="364"/>
      <c r="N66" s="358"/>
      <c r="O66" s="358"/>
      <c r="P66" s="1515"/>
      <c r="Q66" s="279"/>
      <c r="R66" s="145"/>
      <c r="S66" s="145"/>
      <c r="T66" s="145"/>
      <c r="U66" s="145"/>
      <c r="V66" s="145"/>
      <c r="W66" s="145"/>
      <c r="X66" s="145"/>
      <c r="Y66" s="145"/>
      <c r="Z66" s="145"/>
      <c r="AA66" s="145"/>
      <c r="AB66" s="145"/>
      <c r="AC66" s="145"/>
    </row>
    <row r="67" ht="14.55" spans="1:29">
      <c r="A67" s="309"/>
      <c r="B67" s="314"/>
      <c r="C67" s="315" t="s">
        <v>1530</v>
      </c>
      <c r="D67" s="315" t="s">
        <v>1530</v>
      </c>
      <c r="E67" s="315">
        <v>100</v>
      </c>
      <c r="F67" s="315">
        <f>E67-$K10</f>
        <v>100</v>
      </c>
      <c r="G67" s="315">
        <f>F67-$K10</f>
        <v>100</v>
      </c>
      <c r="H67" s="315">
        <f>G67-$K10</f>
        <v>100</v>
      </c>
      <c r="I67" s="315">
        <f>H67-$K10</f>
        <v>100</v>
      </c>
      <c r="J67" s="315"/>
      <c r="K67" s="315"/>
      <c r="L67" s="315"/>
      <c r="M67" s="365"/>
      <c r="N67" s="361"/>
      <c r="O67" s="361"/>
      <c r="P67" s="1515"/>
      <c r="Q67" s="279"/>
      <c r="R67" s="145"/>
      <c r="S67" s="145"/>
      <c r="T67" s="145"/>
      <c r="U67" s="145"/>
      <c r="V67" s="145"/>
      <c r="W67" s="145"/>
      <c r="X67" s="145"/>
      <c r="Y67" s="145"/>
      <c r="Z67" s="145"/>
      <c r="AA67" s="145"/>
      <c r="AB67" s="145"/>
      <c r="AC67" s="145"/>
    </row>
    <row r="68" ht="15.15" spans="1:29">
      <c r="A68" s="309"/>
      <c r="B68" s="316" t="s">
        <v>1449</v>
      </c>
      <c r="C68" s="317" t="str">
        <f>C69&amp;"（含）"&amp;"-"&amp;D69</f>
        <v>（含）-</v>
      </c>
      <c r="D68" s="317" t="str">
        <f t="shared" ref="D68:L68" si="17">D69&amp;"（含）"&amp;"-"&amp;E69</f>
        <v>（含）-</v>
      </c>
      <c r="E68" s="317" t="str">
        <f t="shared" si="17"/>
        <v>（含）-</v>
      </c>
      <c r="F68" s="317" t="str">
        <f t="shared" si="17"/>
        <v>（含）-</v>
      </c>
      <c r="G68" s="317" t="str">
        <f t="shared" si="17"/>
        <v>（含）-</v>
      </c>
      <c r="H68" s="317" t="str">
        <f t="shared" si="17"/>
        <v>（含）-</v>
      </c>
      <c r="I68" s="317" t="str">
        <f t="shared" si="17"/>
        <v>（含）-</v>
      </c>
      <c r="J68" s="317" t="str">
        <f t="shared" si="17"/>
        <v>（含）-</v>
      </c>
      <c r="K68" s="317" t="str">
        <f t="shared" si="17"/>
        <v>（含）-</v>
      </c>
      <c r="L68" s="317" t="str">
        <f t="shared" si="17"/>
        <v>（含）-</v>
      </c>
      <c r="M68" s="91" t="str">
        <f>M69&amp;"（含）"&amp;"-"&amp;P69</f>
        <v>（含）-</v>
      </c>
      <c r="N68" s="361"/>
      <c r="O68" s="361"/>
      <c r="P68" s="1515"/>
      <c r="Q68" s="279"/>
      <c r="R68" s="145"/>
      <c r="S68" s="145"/>
      <c r="T68" s="145"/>
      <c r="U68" s="145"/>
      <c r="V68" s="145"/>
      <c r="W68" s="145"/>
      <c r="X68" s="145"/>
      <c r="Y68" s="145"/>
      <c r="Z68" s="145"/>
      <c r="AA68" s="145"/>
      <c r="AB68" s="145"/>
      <c r="AC68" s="145"/>
    </row>
    <row r="69" spans="1:29">
      <c r="A69" s="309"/>
      <c r="B69" s="318"/>
      <c r="C69" s="76"/>
      <c r="D69" s="76"/>
      <c r="E69" s="76"/>
      <c r="F69" s="76"/>
      <c r="G69" s="76"/>
      <c r="H69" s="76"/>
      <c r="I69" s="76"/>
      <c r="J69" s="76"/>
      <c r="K69" s="366"/>
      <c r="L69" s="367"/>
      <c r="M69" s="368"/>
      <c r="N69" s="358"/>
      <c r="O69" s="358"/>
      <c r="P69" s="1515"/>
      <c r="Q69" s="279"/>
      <c r="R69" s="145"/>
      <c r="S69" s="145"/>
      <c r="T69" s="145"/>
      <c r="U69" s="145"/>
      <c r="V69" s="145"/>
      <c r="W69" s="145"/>
      <c r="X69" s="145"/>
      <c r="Y69" s="145"/>
      <c r="Z69" s="145"/>
      <c r="AA69" s="145"/>
      <c r="AB69" s="145"/>
      <c r="AC69" s="145"/>
    </row>
    <row r="70" ht="14.55" spans="1:29">
      <c r="A70" s="309"/>
      <c r="B70" s="310"/>
      <c r="C70" s="315">
        <v>100</v>
      </c>
      <c r="D70" s="315">
        <f t="shared" ref="D70:M70" si="18">C70-$K11</f>
        <v>100</v>
      </c>
      <c r="E70" s="315">
        <f t="shared" si="18"/>
        <v>100</v>
      </c>
      <c r="F70" s="315">
        <f t="shared" si="18"/>
        <v>100</v>
      </c>
      <c r="G70" s="315">
        <f t="shared" si="18"/>
        <v>100</v>
      </c>
      <c r="H70" s="315">
        <f t="shared" si="18"/>
        <v>100</v>
      </c>
      <c r="I70" s="315">
        <f t="shared" si="18"/>
        <v>100</v>
      </c>
      <c r="J70" s="315">
        <f t="shared" si="18"/>
        <v>100</v>
      </c>
      <c r="K70" s="315">
        <f t="shared" si="18"/>
        <v>100</v>
      </c>
      <c r="L70" s="315">
        <f t="shared" si="18"/>
        <v>100</v>
      </c>
      <c r="M70" s="365">
        <f t="shared" si="18"/>
        <v>100</v>
      </c>
      <c r="N70" s="361"/>
      <c r="O70" s="361"/>
      <c r="P70" s="1515"/>
      <c r="Q70" s="279"/>
      <c r="R70" s="145"/>
      <c r="S70" s="145"/>
      <c r="T70" s="145"/>
      <c r="U70" s="145"/>
      <c r="V70" s="145"/>
      <c r="W70" s="145"/>
      <c r="X70" s="145"/>
      <c r="Y70" s="145"/>
      <c r="Z70" s="145"/>
      <c r="AA70" s="145"/>
      <c r="AB70" s="145"/>
      <c r="AC70" s="145"/>
    </row>
    <row r="71" s="17" customFormat="1" ht="14.55" spans="1:29">
      <c r="A71" s="319"/>
      <c r="B71" s="312">
        <f>B12</f>
        <v>111</v>
      </c>
      <c r="C71" s="320"/>
      <c r="D71" s="320"/>
      <c r="E71" s="320"/>
      <c r="F71" s="320"/>
      <c r="G71" s="320"/>
      <c r="H71" s="321"/>
      <c r="I71" s="321"/>
      <c r="J71" s="321"/>
      <c r="K71" s="321"/>
      <c r="L71" s="369"/>
      <c r="M71" s="370"/>
      <c r="N71" s="371"/>
      <c r="O71" s="371"/>
      <c r="P71" s="1516"/>
      <c r="Q71" s="403"/>
      <c r="R71" s="404"/>
      <c r="S71" s="404"/>
      <c r="T71" s="404"/>
      <c r="U71" s="404"/>
      <c r="V71" s="404"/>
      <c r="W71" s="404"/>
      <c r="X71" s="404"/>
      <c r="Y71" s="404"/>
      <c r="Z71" s="404"/>
      <c r="AA71" s="404"/>
      <c r="AB71" s="404"/>
      <c r="AC71" s="404"/>
    </row>
    <row r="72" s="17" customFormat="1" ht="14.55" spans="1:29">
      <c r="A72" s="319"/>
      <c r="B72" s="314"/>
      <c r="C72" s="322"/>
      <c r="D72" s="311"/>
      <c r="E72" s="311"/>
      <c r="F72" s="311"/>
      <c r="G72" s="311"/>
      <c r="H72" s="311"/>
      <c r="I72" s="311"/>
      <c r="J72" s="311"/>
      <c r="K72" s="311"/>
      <c r="L72" s="311"/>
      <c r="M72" s="360"/>
      <c r="N72" s="361"/>
      <c r="O72" s="361"/>
      <c r="P72" s="1516"/>
      <c r="Q72" s="403"/>
      <c r="R72" s="404"/>
      <c r="S72" s="404"/>
      <c r="T72" s="404"/>
      <c r="U72" s="404"/>
      <c r="V72" s="404"/>
      <c r="W72" s="404"/>
      <c r="X72" s="404"/>
      <c r="Y72" s="404"/>
      <c r="Z72" s="404"/>
      <c r="AA72" s="404"/>
      <c r="AB72" s="404"/>
      <c r="AC72" s="404"/>
    </row>
    <row r="73" s="17" customFormat="1" ht="14.55" spans="1:29">
      <c r="A73" s="319"/>
      <c r="B73" s="312">
        <f>B13</f>
        <v>111</v>
      </c>
      <c r="C73" s="320"/>
      <c r="D73" s="320"/>
      <c r="E73" s="320"/>
      <c r="F73" s="320"/>
      <c r="G73" s="320"/>
      <c r="H73" s="321"/>
      <c r="I73" s="321"/>
      <c r="J73" s="321"/>
      <c r="K73" s="321"/>
      <c r="L73" s="369"/>
      <c r="M73" s="370"/>
      <c r="N73" s="371"/>
      <c r="O73" s="371"/>
      <c r="P73" s="1517"/>
      <c r="Q73" s="405"/>
      <c r="R73" s="404"/>
      <c r="S73" s="404"/>
      <c r="T73" s="404"/>
      <c r="U73" s="404"/>
      <c r="V73" s="404"/>
      <c r="W73" s="404"/>
      <c r="X73" s="404"/>
      <c r="Y73" s="404"/>
      <c r="Z73" s="404"/>
      <c r="AA73" s="404"/>
      <c r="AB73" s="404"/>
      <c r="AC73" s="404"/>
    </row>
    <row r="74" s="17" customFormat="1" ht="14.55" spans="1:29">
      <c r="A74" s="319"/>
      <c r="B74" s="314"/>
      <c r="C74" s="322"/>
      <c r="D74" s="322"/>
      <c r="E74" s="322"/>
      <c r="F74" s="322"/>
      <c r="G74" s="322"/>
      <c r="H74" s="323"/>
      <c r="I74" s="323"/>
      <c r="J74" s="323"/>
      <c r="K74" s="323"/>
      <c r="L74" s="323"/>
      <c r="M74" s="373"/>
      <c r="N74" s="371"/>
      <c r="O74" s="371"/>
      <c r="P74" s="1516"/>
      <c r="Q74" s="403"/>
      <c r="R74" s="404"/>
      <c r="S74" s="404"/>
      <c r="T74" s="404"/>
      <c r="U74" s="404"/>
      <c r="V74" s="404"/>
      <c r="W74" s="404"/>
      <c r="X74" s="404"/>
      <c r="Y74" s="404"/>
      <c r="Z74" s="404"/>
      <c r="AA74" s="404"/>
      <c r="AB74" s="404"/>
      <c r="AC74" s="404"/>
    </row>
    <row r="75" s="17" customFormat="1" ht="14.55" spans="1:29">
      <c r="A75" s="319"/>
      <c r="B75" s="316">
        <f>B14</f>
        <v>111</v>
      </c>
      <c r="C75" s="304"/>
      <c r="D75" s="304"/>
      <c r="E75" s="304"/>
      <c r="F75" s="304"/>
      <c r="G75" s="304"/>
      <c r="H75" s="324"/>
      <c r="I75" s="324"/>
      <c r="J75" s="324"/>
      <c r="K75" s="324"/>
      <c r="L75" s="374"/>
      <c r="M75" s="375"/>
      <c r="N75" s="371"/>
      <c r="O75" s="371"/>
      <c r="P75" s="1606"/>
      <c r="Q75" s="403"/>
      <c r="R75" s="404"/>
      <c r="S75" s="404"/>
      <c r="T75" s="404"/>
      <c r="U75" s="404"/>
      <c r="V75" s="404"/>
      <c r="W75" s="404"/>
      <c r="X75" s="404"/>
      <c r="Y75" s="404"/>
      <c r="Z75" s="404"/>
      <c r="AA75" s="404"/>
      <c r="AB75" s="404"/>
      <c r="AC75" s="404"/>
    </row>
    <row r="76" s="17" customFormat="1" ht="14.55" spans="1:29">
      <c r="A76" s="325"/>
      <c r="B76" s="326"/>
      <c r="C76" s="327"/>
      <c r="D76" s="327"/>
      <c r="E76" s="327"/>
      <c r="F76" s="327"/>
      <c r="G76" s="327"/>
      <c r="H76" s="328"/>
      <c r="I76" s="328"/>
      <c r="J76" s="328"/>
      <c r="K76" s="328"/>
      <c r="L76" s="328"/>
      <c r="M76" s="377"/>
      <c r="N76" s="371"/>
      <c r="O76" s="371"/>
      <c r="P76" s="1516"/>
      <c r="Q76" s="403"/>
      <c r="R76" s="404"/>
      <c r="S76" s="404"/>
      <c r="T76" s="404"/>
      <c r="U76" s="404"/>
      <c r="V76" s="404"/>
      <c r="W76" s="404"/>
      <c r="X76" s="404"/>
      <c r="Y76" s="404"/>
      <c r="Z76" s="404"/>
      <c r="AA76" s="404"/>
      <c r="AB76" s="404"/>
      <c r="AC76" s="404"/>
    </row>
    <row r="77" ht="14.4" spans="1:29">
      <c r="A77" s="307" t="s">
        <v>1450</v>
      </c>
      <c r="B77" s="308" t="s">
        <v>1533</v>
      </c>
      <c r="C77" s="329" t="s">
        <v>1489</v>
      </c>
      <c r="D77" s="329" t="s">
        <v>1490</v>
      </c>
      <c r="E77" s="329" t="s">
        <v>1491</v>
      </c>
      <c r="F77" s="329" t="s">
        <v>1492</v>
      </c>
      <c r="G77" s="329" t="s">
        <v>1493</v>
      </c>
      <c r="H77" s="330"/>
      <c r="I77" s="330"/>
      <c r="J77" s="330"/>
      <c r="K77" s="378"/>
      <c r="L77" s="379"/>
      <c r="M77" s="380"/>
      <c r="N77" s="358"/>
      <c r="O77" s="358"/>
      <c r="P77" s="1518"/>
      <c r="Q77" s="279"/>
      <c r="R77" s="145"/>
      <c r="S77" s="145"/>
      <c r="T77" s="145"/>
      <c r="U77" s="145"/>
      <c r="V77" s="145"/>
      <c r="W77" s="145"/>
      <c r="X77" s="145"/>
      <c r="Y77" s="145"/>
      <c r="Z77" s="145"/>
      <c r="AA77" s="145"/>
      <c r="AB77" s="145"/>
      <c r="AC77" s="145"/>
    </row>
    <row r="78" ht="14.55" spans="1:29">
      <c r="A78" s="309"/>
      <c r="B78" s="314"/>
      <c r="C78" s="315">
        <v>100</v>
      </c>
      <c r="D78" s="315">
        <f>C78-$K15</f>
        <v>100</v>
      </c>
      <c r="E78" s="315">
        <f>D78-$K15</f>
        <v>100</v>
      </c>
      <c r="F78" s="315">
        <f>E78-$K15</f>
        <v>100</v>
      </c>
      <c r="G78" s="315">
        <f>F78-$K15</f>
        <v>100</v>
      </c>
      <c r="H78" s="315"/>
      <c r="I78" s="315"/>
      <c r="J78" s="315"/>
      <c r="K78" s="315"/>
      <c r="L78" s="315"/>
      <c r="M78" s="365"/>
      <c r="N78" s="361"/>
      <c r="O78" s="361"/>
      <c r="P78" s="1515"/>
      <c r="Q78" s="279"/>
      <c r="R78" s="145"/>
      <c r="S78" s="145"/>
      <c r="T78" s="145"/>
      <c r="U78" s="145"/>
      <c r="V78" s="145"/>
      <c r="W78" s="145"/>
      <c r="X78" s="145"/>
      <c r="Y78" s="145"/>
      <c r="Z78" s="145"/>
      <c r="AA78" s="145"/>
      <c r="AB78" s="145"/>
      <c r="AC78" s="145"/>
    </row>
    <row r="79" ht="15.15" spans="1:29">
      <c r="A79" s="309"/>
      <c r="B79" s="312" t="s">
        <v>1453</v>
      </c>
      <c r="C79" s="331" t="s">
        <v>1489</v>
      </c>
      <c r="D79" s="331" t="s">
        <v>1490</v>
      </c>
      <c r="E79" s="331" t="s">
        <v>1491</v>
      </c>
      <c r="F79" s="331" t="s">
        <v>1492</v>
      </c>
      <c r="G79" s="331" t="s">
        <v>1493</v>
      </c>
      <c r="H79" s="313"/>
      <c r="I79" s="313"/>
      <c r="J79" s="313"/>
      <c r="K79" s="362"/>
      <c r="L79" s="363"/>
      <c r="M79" s="364"/>
      <c r="N79" s="358"/>
      <c r="O79" s="358"/>
      <c r="P79" s="1515"/>
      <c r="Q79" s="279"/>
      <c r="R79" s="145"/>
      <c r="S79" s="145"/>
      <c r="T79" s="145"/>
      <c r="U79" s="145"/>
      <c r="V79" s="145"/>
      <c r="W79" s="145"/>
      <c r="X79" s="145"/>
      <c r="Y79" s="145"/>
      <c r="Z79" s="145"/>
      <c r="AA79" s="145"/>
      <c r="AB79" s="145"/>
      <c r="AC79" s="145"/>
    </row>
    <row r="80" ht="14.55" spans="1:29">
      <c r="A80" s="309"/>
      <c r="B80" s="314"/>
      <c r="C80" s="315">
        <v>100</v>
      </c>
      <c r="D80" s="315">
        <f>C80-$K17</f>
        <v>100</v>
      </c>
      <c r="E80" s="315">
        <f>D80-$K17</f>
        <v>100</v>
      </c>
      <c r="F80" s="315">
        <f>E80-$K17</f>
        <v>100</v>
      </c>
      <c r="G80" s="315">
        <f>F80-$K17</f>
        <v>100</v>
      </c>
      <c r="H80" s="315"/>
      <c r="I80" s="315"/>
      <c r="J80" s="315"/>
      <c r="K80" s="315"/>
      <c r="L80" s="315"/>
      <c r="M80" s="365"/>
      <c r="N80" s="361"/>
      <c r="O80" s="361"/>
      <c r="P80" s="1515"/>
      <c r="Q80" s="279"/>
      <c r="R80" s="145"/>
      <c r="S80" s="145"/>
      <c r="T80" s="145"/>
      <c r="U80" s="145"/>
      <c r="V80" s="145"/>
      <c r="W80" s="145"/>
      <c r="X80" s="145"/>
      <c r="Y80" s="145"/>
      <c r="Z80" s="145"/>
      <c r="AA80" s="145"/>
      <c r="AB80" s="145"/>
      <c r="AC80" s="145"/>
    </row>
    <row r="81" ht="15.15" spans="1:29">
      <c r="A81" s="309"/>
      <c r="B81" s="312" t="s">
        <v>1454</v>
      </c>
      <c r="C81" s="331" t="s">
        <v>1489</v>
      </c>
      <c r="D81" s="331" t="s">
        <v>1490</v>
      </c>
      <c r="E81" s="331" t="s">
        <v>1491</v>
      </c>
      <c r="F81" s="331" t="s">
        <v>1492</v>
      </c>
      <c r="G81" s="331" t="s">
        <v>1493</v>
      </c>
      <c r="H81" s="313"/>
      <c r="I81" s="313"/>
      <c r="J81" s="313"/>
      <c r="K81" s="362"/>
      <c r="L81" s="363"/>
      <c r="M81" s="364"/>
      <c r="N81" s="358"/>
      <c r="O81" s="358"/>
      <c r="P81" s="1515"/>
      <c r="Q81" s="279"/>
      <c r="R81" s="145"/>
      <c r="S81" s="145"/>
      <c r="T81" s="145"/>
      <c r="U81" s="145"/>
      <c r="V81" s="145"/>
      <c r="W81" s="145"/>
      <c r="X81" s="145"/>
      <c r="Y81" s="145"/>
      <c r="Z81" s="145"/>
      <c r="AA81" s="145"/>
      <c r="AB81" s="145"/>
      <c r="AC81" s="145"/>
    </row>
    <row r="82" ht="14.55" spans="1:29">
      <c r="A82" s="309"/>
      <c r="B82" s="314"/>
      <c r="C82" s="315">
        <v>100</v>
      </c>
      <c r="D82" s="315">
        <f>C82-$K19</f>
        <v>100</v>
      </c>
      <c r="E82" s="315">
        <f>D82-$K19</f>
        <v>100</v>
      </c>
      <c r="F82" s="315">
        <f>E82-$K19</f>
        <v>100</v>
      </c>
      <c r="G82" s="315">
        <f>F82-$K19</f>
        <v>100</v>
      </c>
      <c r="H82" s="315"/>
      <c r="I82" s="315"/>
      <c r="J82" s="315"/>
      <c r="K82" s="315"/>
      <c r="L82" s="315"/>
      <c r="M82" s="365"/>
      <c r="N82" s="361"/>
      <c r="O82" s="361"/>
      <c r="P82" s="1515"/>
      <c r="Q82" s="279"/>
      <c r="R82" s="145"/>
      <c r="S82" s="145"/>
      <c r="T82" s="145"/>
      <c r="U82" s="145"/>
      <c r="V82" s="145"/>
      <c r="W82" s="145"/>
      <c r="X82" s="145"/>
      <c r="Y82" s="145"/>
      <c r="Z82" s="145"/>
      <c r="AA82" s="145"/>
      <c r="AB82" s="145"/>
      <c r="AC82" s="145"/>
    </row>
    <row r="83" ht="15.15" spans="1:29">
      <c r="A83" s="309"/>
      <c r="B83" s="316" t="s">
        <v>1455</v>
      </c>
      <c r="C83" s="336" t="s">
        <v>1494</v>
      </c>
      <c r="D83" s="336" t="s">
        <v>1495</v>
      </c>
      <c r="E83" s="336" t="s">
        <v>1496</v>
      </c>
      <c r="F83" s="336" t="s">
        <v>1497</v>
      </c>
      <c r="G83" s="336" t="s">
        <v>1498</v>
      </c>
      <c r="H83" s="313"/>
      <c r="I83" s="313"/>
      <c r="J83" s="313"/>
      <c r="K83" s="313"/>
      <c r="L83" s="313"/>
      <c r="M83" s="1461"/>
      <c r="N83" s="361"/>
      <c r="O83" s="361"/>
      <c r="P83" s="1515"/>
      <c r="Q83" s="279"/>
      <c r="R83" s="145"/>
      <c r="S83" s="145"/>
      <c r="T83" s="145"/>
      <c r="U83" s="145"/>
      <c r="V83" s="145"/>
      <c r="W83" s="145"/>
      <c r="X83" s="145"/>
      <c r="Y83" s="145"/>
      <c r="Z83" s="145"/>
      <c r="AA83" s="145"/>
      <c r="AB83" s="145"/>
      <c r="AC83" s="145"/>
    </row>
    <row r="84" ht="14.55" spans="1:29">
      <c r="A84" s="309"/>
      <c r="B84" s="316"/>
      <c r="C84" s="315">
        <v>100</v>
      </c>
      <c r="D84" s="315">
        <f>C84-$K21</f>
        <v>100</v>
      </c>
      <c r="E84" s="315">
        <f>D84-$K21</f>
        <v>100</v>
      </c>
      <c r="F84" s="315">
        <f>E84-$K21</f>
        <v>100</v>
      </c>
      <c r="G84" s="315">
        <f>F84-$K21</f>
        <v>100</v>
      </c>
      <c r="H84" s="336"/>
      <c r="I84" s="336"/>
      <c r="J84" s="336"/>
      <c r="K84" s="336"/>
      <c r="L84" s="336"/>
      <c r="M84" s="93"/>
      <c r="N84" s="361"/>
      <c r="O84" s="361"/>
      <c r="P84" s="1515"/>
      <c r="Q84" s="279"/>
      <c r="R84" s="145"/>
      <c r="S84" s="145"/>
      <c r="T84" s="145"/>
      <c r="U84" s="145"/>
      <c r="V84" s="145"/>
      <c r="W84" s="145"/>
      <c r="X84" s="145"/>
      <c r="Y84" s="145"/>
      <c r="Z84" s="145"/>
      <c r="AA84" s="145"/>
      <c r="AB84" s="145"/>
      <c r="AC84" s="145"/>
    </row>
    <row r="85" ht="15.15" spans="1:29">
      <c r="A85" s="309"/>
      <c r="B85" s="312" t="s">
        <v>1534</v>
      </c>
      <c r="C85" s="331" t="s">
        <v>1489</v>
      </c>
      <c r="D85" s="331" t="s">
        <v>1490</v>
      </c>
      <c r="E85" s="331" t="s">
        <v>1491</v>
      </c>
      <c r="F85" s="331" t="s">
        <v>1492</v>
      </c>
      <c r="G85" s="331" t="s">
        <v>1493</v>
      </c>
      <c r="H85" s="313"/>
      <c r="I85" s="313"/>
      <c r="J85" s="313"/>
      <c r="K85" s="362"/>
      <c r="L85" s="363"/>
      <c r="M85" s="364"/>
      <c r="N85" s="358"/>
      <c r="O85" s="358"/>
      <c r="P85" s="1515"/>
      <c r="Q85" s="279"/>
      <c r="R85" s="145"/>
      <c r="S85" s="145"/>
      <c r="T85" s="145"/>
      <c r="U85" s="145"/>
      <c r="V85" s="145"/>
      <c r="W85" s="145"/>
      <c r="X85" s="145"/>
      <c r="Y85" s="145"/>
      <c r="Z85" s="145"/>
      <c r="AA85" s="145"/>
      <c r="AB85" s="145"/>
      <c r="AC85" s="145"/>
    </row>
    <row r="86" ht="14.55" spans="1:29">
      <c r="A86" s="309"/>
      <c r="B86" s="314"/>
      <c r="C86" s="315">
        <v>100</v>
      </c>
      <c r="D86" s="315">
        <f>C86-$K23</f>
        <v>100</v>
      </c>
      <c r="E86" s="315">
        <f>D86-$K23</f>
        <v>100</v>
      </c>
      <c r="F86" s="315">
        <f>E86-$K23</f>
        <v>100</v>
      </c>
      <c r="G86" s="315">
        <f>F86-$K23</f>
        <v>100</v>
      </c>
      <c r="H86" s="315"/>
      <c r="I86" s="315"/>
      <c r="J86" s="315"/>
      <c r="K86" s="315"/>
      <c r="L86" s="315"/>
      <c r="M86" s="365"/>
      <c r="N86" s="361"/>
      <c r="O86" s="361"/>
      <c r="P86" s="1515"/>
      <c r="Q86" s="279"/>
      <c r="R86" s="145"/>
      <c r="S86" s="145"/>
      <c r="T86" s="145"/>
      <c r="U86" s="145"/>
      <c r="V86" s="145"/>
      <c r="W86" s="145"/>
      <c r="X86" s="145"/>
      <c r="Y86" s="145"/>
      <c r="Z86" s="145"/>
      <c r="AA86" s="145"/>
      <c r="AB86" s="145"/>
      <c r="AC86" s="145"/>
    </row>
    <row r="87" s="15" customFormat="1" ht="29.55" spans="1:29">
      <c r="A87" s="332"/>
      <c r="B87" s="312" t="s">
        <v>1535</v>
      </c>
      <c r="C87" s="320"/>
      <c r="D87" s="320"/>
      <c r="E87" s="320"/>
      <c r="F87" s="320"/>
      <c r="G87" s="320"/>
      <c r="H87" s="320"/>
      <c r="I87" s="320"/>
      <c r="J87" s="320"/>
      <c r="K87" s="320"/>
      <c r="L87" s="1462"/>
      <c r="M87" s="1463"/>
      <c r="N87" s="352"/>
      <c r="O87" s="352"/>
      <c r="P87" s="1515"/>
      <c r="Q87" s="279"/>
      <c r="R87" s="402"/>
      <c r="S87" s="402"/>
      <c r="T87" s="402"/>
      <c r="U87" s="402"/>
      <c r="V87" s="402"/>
      <c r="W87" s="402"/>
      <c r="X87" s="402"/>
      <c r="Y87" s="402"/>
      <c r="Z87" s="402"/>
      <c r="AA87" s="402"/>
      <c r="AB87" s="402"/>
      <c r="AC87" s="402"/>
    </row>
    <row r="88" s="15" customFormat="1" ht="14.55" spans="1:29">
      <c r="A88" s="332"/>
      <c r="B88" s="314"/>
      <c r="C88" s="333">
        <v>100</v>
      </c>
      <c r="D88" s="315">
        <f t="shared" ref="D88:M88" si="19">C88-$K25</f>
        <v>100</v>
      </c>
      <c r="E88" s="315">
        <f t="shared" si="19"/>
        <v>100</v>
      </c>
      <c r="F88" s="315">
        <f t="shared" si="19"/>
        <v>100</v>
      </c>
      <c r="G88" s="315">
        <f t="shared" si="19"/>
        <v>100</v>
      </c>
      <c r="H88" s="315">
        <f t="shared" si="19"/>
        <v>100</v>
      </c>
      <c r="I88" s="315">
        <f t="shared" si="19"/>
        <v>100</v>
      </c>
      <c r="J88" s="315">
        <f t="shared" si="19"/>
        <v>100</v>
      </c>
      <c r="K88" s="315">
        <f t="shared" si="19"/>
        <v>100</v>
      </c>
      <c r="L88" s="315">
        <f t="shared" si="19"/>
        <v>100</v>
      </c>
      <c r="M88" s="315">
        <f t="shared" si="19"/>
        <v>100</v>
      </c>
      <c r="N88" s="361"/>
      <c r="O88" s="361"/>
      <c r="P88" s="1515"/>
      <c r="Q88" s="279"/>
      <c r="R88" s="402"/>
      <c r="S88" s="402"/>
      <c r="T88" s="402"/>
      <c r="U88" s="402"/>
      <c r="V88" s="402"/>
      <c r="W88" s="402"/>
      <c r="X88" s="402"/>
      <c r="Y88" s="402"/>
      <c r="Z88" s="402"/>
      <c r="AA88" s="402"/>
      <c r="AB88" s="402"/>
      <c r="AC88" s="402"/>
    </row>
    <row r="89" s="15" customFormat="1" ht="15.15" spans="1:29">
      <c r="A89" s="332"/>
      <c r="B89" s="312" t="str">
        <f>B27</f>
        <v>楼层</v>
      </c>
      <c r="C89" s="320"/>
      <c r="D89" s="320"/>
      <c r="E89" s="320"/>
      <c r="F89" s="1605"/>
      <c r="G89" s="320"/>
      <c r="H89" s="320"/>
      <c r="I89" s="320"/>
      <c r="J89" s="320"/>
      <c r="K89" s="320"/>
      <c r="L89" s="320"/>
      <c r="M89" s="1463"/>
      <c r="N89" s="352"/>
      <c r="O89" s="352"/>
      <c r="P89" s="1515"/>
      <c r="Q89" s="279"/>
      <c r="R89" s="402"/>
      <c r="S89" s="402"/>
      <c r="T89" s="402"/>
      <c r="U89" s="402"/>
      <c r="V89" s="402"/>
      <c r="W89" s="402"/>
      <c r="X89" s="402"/>
      <c r="Y89" s="402"/>
      <c r="Z89" s="402"/>
      <c r="AA89" s="402"/>
      <c r="AB89" s="402"/>
      <c r="AC89" s="402"/>
    </row>
    <row r="90" s="15" customFormat="1" ht="14.55" spans="1:29">
      <c r="A90" s="332"/>
      <c r="B90" s="314"/>
      <c r="C90" s="333">
        <v>100</v>
      </c>
      <c r="D90" s="315">
        <f>C90-$K27</f>
        <v>100</v>
      </c>
      <c r="E90" s="315">
        <f t="shared" ref="E90:M90" si="20">D90-$K27</f>
        <v>100</v>
      </c>
      <c r="F90" s="315">
        <f t="shared" si="20"/>
        <v>100</v>
      </c>
      <c r="G90" s="315">
        <f t="shared" si="20"/>
        <v>100</v>
      </c>
      <c r="H90" s="315">
        <f t="shared" si="20"/>
        <v>100</v>
      </c>
      <c r="I90" s="315">
        <f t="shared" si="20"/>
        <v>100</v>
      </c>
      <c r="J90" s="315">
        <f t="shared" si="20"/>
        <v>100</v>
      </c>
      <c r="K90" s="315">
        <f t="shared" si="20"/>
        <v>100</v>
      </c>
      <c r="L90" s="315">
        <f t="shared" si="20"/>
        <v>100</v>
      </c>
      <c r="M90" s="315">
        <f t="shared" si="20"/>
        <v>100</v>
      </c>
      <c r="N90" s="361"/>
      <c r="O90" s="361"/>
      <c r="P90" s="1515"/>
      <c r="Q90" s="279"/>
      <c r="R90" s="402"/>
      <c r="S90" s="402"/>
      <c r="T90" s="402"/>
      <c r="U90" s="402"/>
      <c r="V90" s="402"/>
      <c r="W90" s="402"/>
      <c r="X90" s="402"/>
      <c r="Y90" s="402"/>
      <c r="Z90" s="402"/>
      <c r="AA90" s="402"/>
      <c r="AB90" s="402"/>
      <c r="AC90" s="402"/>
    </row>
    <row r="91" s="17" customFormat="1" ht="15.15" spans="1:29">
      <c r="A91" s="319"/>
      <c r="B91" s="312" t="str">
        <f>B28</f>
        <v>朝向</v>
      </c>
      <c r="C91" s="320"/>
      <c r="D91" s="320"/>
      <c r="E91" s="320"/>
      <c r="F91" s="320"/>
      <c r="G91" s="320"/>
      <c r="H91" s="321"/>
      <c r="I91" s="321"/>
      <c r="J91" s="321"/>
      <c r="K91" s="321"/>
      <c r="L91" s="369"/>
      <c r="M91" s="370"/>
      <c r="N91" s="371"/>
      <c r="O91" s="371"/>
      <c r="P91" s="1516"/>
      <c r="Q91" s="403"/>
      <c r="R91" s="404"/>
      <c r="S91" s="404"/>
      <c r="T91" s="404"/>
      <c r="U91" s="404"/>
      <c r="V91" s="404"/>
      <c r="W91" s="404"/>
      <c r="X91" s="404"/>
      <c r="Y91" s="404"/>
      <c r="Z91" s="404"/>
      <c r="AA91" s="404"/>
      <c r="AB91" s="404"/>
      <c r="AC91" s="404"/>
    </row>
    <row r="92" s="17" customFormat="1" ht="14.55" spans="1:29">
      <c r="A92" s="319"/>
      <c r="B92" s="314"/>
      <c r="C92" s="333">
        <v>100</v>
      </c>
      <c r="D92" s="315">
        <f t="shared" ref="D92:M92" si="21">C92-$K28</f>
        <v>100</v>
      </c>
      <c r="E92" s="315">
        <f t="shared" si="21"/>
        <v>100</v>
      </c>
      <c r="F92" s="315">
        <f t="shared" si="21"/>
        <v>100</v>
      </c>
      <c r="G92" s="315">
        <f t="shared" si="21"/>
        <v>100</v>
      </c>
      <c r="H92" s="315">
        <f t="shared" si="21"/>
        <v>100</v>
      </c>
      <c r="I92" s="315">
        <f t="shared" si="21"/>
        <v>100</v>
      </c>
      <c r="J92" s="315">
        <f t="shared" si="21"/>
        <v>100</v>
      </c>
      <c r="K92" s="315">
        <f t="shared" si="21"/>
        <v>100</v>
      </c>
      <c r="L92" s="315">
        <f t="shared" si="21"/>
        <v>100</v>
      </c>
      <c r="M92" s="315">
        <f t="shared" si="21"/>
        <v>100</v>
      </c>
      <c r="N92" s="371"/>
      <c r="O92" s="371"/>
      <c r="P92" s="1516"/>
      <c r="Q92" s="403"/>
      <c r="R92" s="404"/>
      <c r="S92" s="404"/>
      <c r="T92" s="404"/>
      <c r="U92" s="404"/>
      <c r="V92" s="404"/>
      <c r="W92" s="404"/>
      <c r="X92" s="404"/>
      <c r="Y92" s="404"/>
      <c r="Z92" s="404"/>
      <c r="AA92" s="404"/>
      <c r="AB92" s="404"/>
      <c r="AC92" s="404"/>
    </row>
    <row r="93" ht="14.55" spans="1:29">
      <c r="A93" s="309"/>
      <c r="B93" s="312">
        <f>B29</f>
        <v>111</v>
      </c>
      <c r="C93" s="320"/>
      <c r="D93" s="320"/>
      <c r="E93" s="320"/>
      <c r="F93" s="320"/>
      <c r="G93" s="320"/>
      <c r="H93" s="320"/>
      <c r="I93" s="320"/>
      <c r="J93" s="320"/>
      <c r="K93" s="320"/>
      <c r="L93" s="1462"/>
      <c r="M93" s="1463"/>
      <c r="N93" s="358"/>
      <c r="O93" s="358"/>
      <c r="P93" s="1515"/>
      <c r="Q93" s="279"/>
      <c r="R93" s="145"/>
      <c r="S93" s="145"/>
      <c r="T93" s="145"/>
      <c r="U93" s="145"/>
      <c r="V93" s="145"/>
      <c r="W93" s="145"/>
      <c r="X93" s="145"/>
      <c r="Y93" s="145"/>
      <c r="Z93" s="145"/>
      <c r="AA93" s="145"/>
      <c r="AB93" s="145"/>
      <c r="AC93" s="145"/>
    </row>
    <row r="94" ht="14.55" spans="1:29">
      <c r="A94" s="309"/>
      <c r="B94" s="314"/>
      <c r="C94" s="322"/>
      <c r="D94" s="311"/>
      <c r="E94" s="311"/>
      <c r="F94" s="311"/>
      <c r="G94" s="311"/>
      <c r="H94" s="311"/>
      <c r="I94" s="311"/>
      <c r="J94" s="311"/>
      <c r="K94" s="311"/>
      <c r="L94" s="311"/>
      <c r="M94" s="360"/>
      <c r="N94" s="361"/>
      <c r="O94" s="361"/>
      <c r="P94" s="1515"/>
      <c r="Q94" s="279"/>
      <c r="R94" s="145"/>
      <c r="S94" s="145"/>
      <c r="T94" s="145"/>
      <c r="U94" s="145"/>
      <c r="V94" s="145"/>
      <c r="W94" s="145"/>
      <c r="X94" s="145"/>
      <c r="Y94" s="145"/>
      <c r="Z94" s="145"/>
      <c r="AA94" s="145"/>
      <c r="AB94" s="145"/>
      <c r="AC94" s="145"/>
    </row>
    <row r="95" ht="14.55" spans="1:29">
      <c r="A95" s="309"/>
      <c r="B95" s="312">
        <f>B30</f>
        <v>111</v>
      </c>
      <c r="C95" s="320"/>
      <c r="D95" s="320"/>
      <c r="E95" s="320"/>
      <c r="F95" s="320"/>
      <c r="G95" s="337"/>
      <c r="H95" s="337"/>
      <c r="I95" s="337"/>
      <c r="J95" s="337"/>
      <c r="K95" s="388"/>
      <c r="L95" s="389"/>
      <c r="M95" s="390"/>
      <c r="N95" s="358"/>
      <c r="O95" s="358"/>
      <c r="P95" s="1515"/>
      <c r="Q95" s="279"/>
      <c r="R95" s="145"/>
      <c r="S95" s="145"/>
      <c r="T95" s="145"/>
      <c r="U95" s="145"/>
      <c r="V95" s="145"/>
      <c r="W95" s="145"/>
      <c r="X95" s="145"/>
      <c r="Y95" s="145"/>
      <c r="Z95" s="145"/>
      <c r="AA95" s="145"/>
      <c r="AB95" s="145"/>
      <c r="AC95" s="145"/>
    </row>
    <row r="96" ht="14.55" spans="1:29">
      <c r="A96" s="309"/>
      <c r="B96" s="314"/>
      <c r="C96" s="322"/>
      <c r="D96" s="322"/>
      <c r="E96" s="322"/>
      <c r="F96" s="322"/>
      <c r="G96" s="311"/>
      <c r="H96" s="311"/>
      <c r="I96" s="311"/>
      <c r="J96" s="311"/>
      <c r="K96" s="311"/>
      <c r="L96" s="311"/>
      <c r="M96" s="360"/>
      <c r="N96" s="361"/>
      <c r="O96" s="361"/>
      <c r="P96" s="1515"/>
      <c r="Q96" s="279"/>
      <c r="R96" s="145"/>
      <c r="S96" s="145"/>
      <c r="T96" s="145"/>
      <c r="U96" s="145"/>
      <c r="V96" s="145"/>
      <c r="W96" s="145"/>
      <c r="X96" s="145"/>
      <c r="Y96" s="145"/>
      <c r="Z96" s="145"/>
      <c r="AA96" s="145"/>
      <c r="AB96" s="145"/>
      <c r="AC96" s="145"/>
    </row>
    <row r="97" ht="14.55" spans="1:29">
      <c r="A97" s="309"/>
      <c r="B97" s="312">
        <f>B31</f>
        <v>111</v>
      </c>
      <c r="C97" s="320"/>
      <c r="D97" s="320"/>
      <c r="E97" s="320"/>
      <c r="F97" s="320"/>
      <c r="G97" s="337"/>
      <c r="H97" s="337"/>
      <c r="I97" s="337"/>
      <c r="J97" s="337"/>
      <c r="K97" s="388"/>
      <c r="L97" s="389"/>
      <c r="M97" s="390"/>
      <c r="N97" s="358"/>
      <c r="O97" s="358"/>
      <c r="P97" s="1515"/>
      <c r="Q97" s="279"/>
      <c r="R97" s="145"/>
      <c r="S97" s="145"/>
      <c r="T97" s="145"/>
      <c r="U97" s="145"/>
      <c r="V97" s="145"/>
      <c r="W97" s="145"/>
      <c r="X97" s="145"/>
      <c r="Y97" s="145"/>
      <c r="Z97" s="145"/>
      <c r="AA97" s="145"/>
      <c r="AB97" s="145"/>
      <c r="AC97" s="145"/>
    </row>
    <row r="98" ht="14.55" spans="1:29">
      <c r="A98" s="309"/>
      <c r="B98" s="314"/>
      <c r="C98" s="322"/>
      <c r="D98" s="311"/>
      <c r="E98" s="311"/>
      <c r="F98" s="311"/>
      <c r="G98" s="311"/>
      <c r="H98" s="311"/>
      <c r="I98" s="311"/>
      <c r="J98" s="311"/>
      <c r="K98" s="311"/>
      <c r="L98" s="311"/>
      <c r="M98" s="360"/>
      <c r="N98" s="361"/>
      <c r="O98" s="361"/>
      <c r="P98" s="1515"/>
      <c r="Q98" s="279"/>
      <c r="R98" s="145"/>
      <c r="S98" s="145"/>
      <c r="T98" s="145"/>
      <c r="U98" s="145"/>
      <c r="V98" s="145"/>
      <c r="W98" s="145"/>
      <c r="X98" s="145"/>
      <c r="Y98" s="145"/>
      <c r="Z98" s="145"/>
      <c r="AA98" s="145"/>
      <c r="AB98" s="145"/>
      <c r="AC98" s="145"/>
    </row>
    <row r="99" ht="14.55" spans="1:29">
      <c r="A99" s="309"/>
      <c r="B99" s="316">
        <f>B32</f>
        <v>111</v>
      </c>
      <c r="C99" s="304"/>
      <c r="D99" s="304"/>
      <c r="E99" s="304"/>
      <c r="F99" s="304"/>
      <c r="G99" s="339"/>
      <c r="H99" s="339"/>
      <c r="I99" s="339"/>
      <c r="J99" s="339"/>
      <c r="K99" s="391"/>
      <c r="L99" s="392"/>
      <c r="M99" s="393"/>
      <c r="N99" s="358"/>
      <c r="O99" s="358"/>
      <c r="P99" s="1515"/>
      <c r="Q99" s="279"/>
      <c r="R99" s="145"/>
      <c r="S99" s="145"/>
      <c r="T99" s="145"/>
      <c r="U99" s="145"/>
      <c r="V99" s="145"/>
      <c r="W99" s="145"/>
      <c r="X99" s="145"/>
      <c r="Y99" s="145"/>
      <c r="Z99" s="145"/>
      <c r="AA99" s="145"/>
      <c r="AB99" s="145"/>
      <c r="AC99" s="145"/>
    </row>
    <row r="100" ht="14.55" spans="1:29">
      <c r="A100" s="1565"/>
      <c r="B100" s="326"/>
      <c r="C100" s="327"/>
      <c r="D100" s="327"/>
      <c r="E100" s="327"/>
      <c r="F100" s="327"/>
      <c r="G100" s="340"/>
      <c r="H100" s="340"/>
      <c r="I100" s="340"/>
      <c r="J100" s="340"/>
      <c r="K100" s="340"/>
      <c r="L100" s="340"/>
      <c r="M100" s="394"/>
      <c r="N100" s="361"/>
      <c r="O100" s="361"/>
      <c r="P100" s="1515"/>
      <c r="Q100" s="279"/>
      <c r="R100" s="145"/>
      <c r="S100" s="145"/>
      <c r="T100" s="145"/>
      <c r="U100" s="145"/>
      <c r="V100" s="145"/>
      <c r="W100" s="145"/>
      <c r="X100" s="145"/>
      <c r="Y100" s="145"/>
      <c r="Z100" s="145"/>
      <c r="AA100" s="145"/>
      <c r="AB100" s="145"/>
      <c r="AC100" s="145"/>
    </row>
    <row r="101" ht="14.4" spans="1:29">
      <c r="A101" s="307" t="s">
        <v>1459</v>
      </c>
      <c r="B101" s="308" t="s">
        <v>1460</v>
      </c>
      <c r="C101" s="233"/>
      <c r="D101" s="233"/>
      <c r="E101" s="233"/>
      <c r="F101" s="233"/>
      <c r="G101" s="233"/>
      <c r="H101" s="233"/>
      <c r="I101" s="233"/>
      <c r="J101" s="233"/>
      <c r="K101" s="355"/>
      <c r="L101" s="356"/>
      <c r="M101" s="357"/>
      <c r="N101" s="358"/>
      <c r="O101" s="358"/>
      <c r="P101" s="1515"/>
      <c r="Q101" s="279"/>
      <c r="R101" s="145"/>
      <c r="S101" s="145"/>
      <c r="T101" s="145"/>
      <c r="U101" s="145"/>
      <c r="V101" s="145"/>
      <c r="W101" s="145"/>
      <c r="X101" s="145"/>
      <c r="Y101" s="145"/>
      <c r="Z101" s="145"/>
      <c r="AA101" s="145"/>
      <c r="AB101" s="145"/>
      <c r="AC101" s="145"/>
    </row>
    <row r="102" ht="14.55" spans="1:29">
      <c r="A102" s="309"/>
      <c r="B102" s="314"/>
      <c r="C102" s="315">
        <v>100</v>
      </c>
      <c r="D102" s="315">
        <f t="shared" ref="D102:M102" si="22">C102-$K33</f>
        <v>100</v>
      </c>
      <c r="E102" s="315">
        <f t="shared" si="22"/>
        <v>100</v>
      </c>
      <c r="F102" s="315">
        <f t="shared" si="22"/>
        <v>100</v>
      </c>
      <c r="G102" s="315">
        <f t="shared" si="22"/>
        <v>100</v>
      </c>
      <c r="H102" s="315">
        <f t="shared" si="22"/>
        <v>100</v>
      </c>
      <c r="I102" s="315">
        <f t="shared" si="22"/>
        <v>100</v>
      </c>
      <c r="J102" s="315">
        <f t="shared" si="22"/>
        <v>100</v>
      </c>
      <c r="K102" s="315">
        <f t="shared" si="22"/>
        <v>100</v>
      </c>
      <c r="L102" s="315">
        <f t="shared" si="22"/>
        <v>100</v>
      </c>
      <c r="M102" s="365">
        <f t="shared" si="22"/>
        <v>100</v>
      </c>
      <c r="N102" s="361"/>
      <c r="O102" s="361"/>
      <c r="P102" s="1515"/>
      <c r="Q102" s="279"/>
      <c r="R102" s="145"/>
      <c r="S102" s="145"/>
      <c r="T102" s="145"/>
      <c r="U102" s="145"/>
      <c r="V102" s="145"/>
      <c r="W102" s="145"/>
      <c r="X102" s="145"/>
      <c r="Y102" s="145"/>
      <c r="Z102" s="145"/>
      <c r="AA102" s="145"/>
      <c r="AB102" s="145"/>
      <c r="AC102" s="145"/>
    </row>
    <row r="103" ht="15.15" spans="1:29">
      <c r="A103" s="309"/>
      <c r="B103" s="312" t="s">
        <v>1462</v>
      </c>
      <c r="C103" s="331" t="str">
        <f>C104&amp;"(含)"&amp;"-"&amp;D104</f>
        <v>(含)-</v>
      </c>
      <c r="D103" s="331" t="str">
        <f t="shared" ref="D103:L103" si="23">D104&amp;"(含)"&amp;"-"&amp;E104</f>
        <v>(含)-</v>
      </c>
      <c r="E103" s="331" t="str">
        <f t="shared" si="23"/>
        <v>(含)-</v>
      </c>
      <c r="F103" s="331" t="str">
        <f t="shared" si="23"/>
        <v>(含)-</v>
      </c>
      <c r="G103" s="331" t="str">
        <f t="shared" si="23"/>
        <v>(含)-</v>
      </c>
      <c r="H103" s="331" t="str">
        <f t="shared" si="23"/>
        <v>(含)-</v>
      </c>
      <c r="I103" s="331" t="str">
        <f t="shared" si="23"/>
        <v>(含)-</v>
      </c>
      <c r="J103" s="331" t="str">
        <f t="shared" si="23"/>
        <v>(含)-</v>
      </c>
      <c r="K103" s="331" t="str">
        <f t="shared" si="23"/>
        <v>(含)-</v>
      </c>
      <c r="L103" s="331" t="str">
        <f t="shared" si="23"/>
        <v>(含)-</v>
      </c>
      <c r="M103" s="383" t="str">
        <f>M104&amp;"(含)"&amp;"-"&amp;P104</f>
        <v>(含)-</v>
      </c>
      <c r="N103" s="352"/>
      <c r="O103" s="352"/>
      <c r="P103" s="1515"/>
      <c r="Q103" s="279"/>
      <c r="R103" s="145"/>
      <c r="S103" s="145"/>
      <c r="T103" s="145"/>
      <c r="U103" s="145"/>
      <c r="V103" s="145"/>
      <c r="W103" s="145"/>
      <c r="X103" s="145"/>
      <c r="Y103" s="145"/>
      <c r="Z103" s="145"/>
      <c r="AA103" s="145"/>
      <c r="AB103" s="145"/>
      <c r="AC103" s="145"/>
    </row>
    <row r="104" s="17" customFormat="1" spans="1:29">
      <c r="A104" s="341"/>
      <c r="B104" s="342"/>
      <c r="C104" s="296"/>
      <c r="D104" s="296"/>
      <c r="E104" s="296"/>
      <c r="F104" s="296"/>
      <c r="G104" s="296"/>
      <c r="H104" s="296"/>
      <c r="I104" s="296"/>
      <c r="J104" s="395"/>
      <c r="K104" s="395"/>
      <c r="L104" s="396"/>
      <c r="M104" s="397"/>
      <c r="N104" s="371"/>
      <c r="O104" s="371"/>
      <c r="P104" s="1516"/>
      <c r="Q104" s="403"/>
      <c r="R104" s="404"/>
      <c r="S104" s="404"/>
      <c r="T104" s="404"/>
      <c r="U104" s="404"/>
      <c r="V104" s="404"/>
      <c r="W104" s="404"/>
      <c r="X104" s="404"/>
      <c r="Y104" s="404"/>
      <c r="Z104" s="404"/>
      <c r="AA104" s="404"/>
      <c r="AB104" s="404"/>
      <c r="AC104" s="404"/>
    </row>
    <row r="105" s="17" customFormat="1" ht="14.55" spans="1:29">
      <c r="A105" s="319"/>
      <c r="B105" s="314"/>
      <c r="C105" s="322"/>
      <c r="D105" s="311"/>
      <c r="E105" s="311"/>
      <c r="F105" s="311"/>
      <c r="G105" s="311"/>
      <c r="H105" s="311"/>
      <c r="I105" s="311"/>
      <c r="J105" s="311"/>
      <c r="K105" s="311"/>
      <c r="L105" s="311"/>
      <c r="M105" s="360"/>
      <c r="N105" s="361"/>
      <c r="O105" s="361"/>
      <c r="P105" s="1516"/>
      <c r="Q105" s="403"/>
      <c r="R105" s="404"/>
      <c r="S105" s="404"/>
      <c r="T105" s="404"/>
      <c r="U105" s="404"/>
      <c r="V105" s="404"/>
      <c r="W105" s="404"/>
      <c r="X105" s="404"/>
      <c r="Y105" s="404"/>
      <c r="Z105" s="404"/>
      <c r="AA105" s="404"/>
      <c r="AB105" s="404"/>
      <c r="AC105" s="404"/>
    </row>
    <row r="106" ht="15.15" spans="1:29">
      <c r="A106" s="344"/>
      <c r="B106" s="312" t="s">
        <v>1463</v>
      </c>
      <c r="C106" s="320"/>
      <c r="D106" s="320"/>
      <c r="E106" s="337"/>
      <c r="F106" s="337"/>
      <c r="G106" s="337"/>
      <c r="H106" s="337"/>
      <c r="I106" s="337"/>
      <c r="J106" s="337"/>
      <c r="K106" s="388"/>
      <c r="L106" s="389"/>
      <c r="M106" s="390"/>
      <c r="N106" s="358"/>
      <c r="O106" s="358"/>
      <c r="P106" s="1515"/>
      <c r="Q106" s="279"/>
      <c r="R106" s="145"/>
      <c r="S106" s="145"/>
      <c r="T106" s="145"/>
      <c r="U106" s="145"/>
      <c r="V106" s="145"/>
      <c r="W106" s="145"/>
      <c r="X106" s="145"/>
      <c r="Y106" s="145"/>
      <c r="Z106" s="145"/>
      <c r="AA106" s="145"/>
      <c r="AB106" s="145"/>
      <c r="AC106" s="145"/>
    </row>
    <row r="107" ht="14.55" spans="1:29">
      <c r="A107" s="309"/>
      <c r="B107" s="314"/>
      <c r="C107" s="315">
        <v>100</v>
      </c>
      <c r="D107" s="315">
        <f t="shared" ref="D107:M107" si="24">C107-$K35</f>
        <v>100</v>
      </c>
      <c r="E107" s="315">
        <f t="shared" si="24"/>
        <v>100</v>
      </c>
      <c r="F107" s="315">
        <f t="shared" si="24"/>
        <v>100</v>
      </c>
      <c r="G107" s="315">
        <f t="shared" si="24"/>
        <v>100</v>
      </c>
      <c r="H107" s="315">
        <f t="shared" si="24"/>
        <v>100</v>
      </c>
      <c r="I107" s="315">
        <f t="shared" si="24"/>
        <v>100</v>
      </c>
      <c r="J107" s="315">
        <f t="shared" si="24"/>
        <v>100</v>
      </c>
      <c r="K107" s="315">
        <f t="shared" si="24"/>
        <v>100</v>
      </c>
      <c r="L107" s="315">
        <f t="shared" si="24"/>
        <v>100</v>
      </c>
      <c r="M107" s="365">
        <f t="shared" si="24"/>
        <v>100</v>
      </c>
      <c r="N107" s="361"/>
      <c r="O107" s="361"/>
      <c r="P107" s="1515"/>
      <c r="Q107" s="279"/>
      <c r="R107" s="145"/>
      <c r="S107" s="145"/>
      <c r="T107" s="145"/>
      <c r="U107" s="145"/>
      <c r="V107" s="145"/>
      <c r="W107" s="145"/>
      <c r="X107" s="145"/>
      <c r="Y107" s="145"/>
      <c r="Z107" s="145"/>
      <c r="AA107" s="145"/>
      <c r="AB107" s="145"/>
      <c r="AC107" s="145"/>
    </row>
    <row r="108" ht="15.15" spans="1:29">
      <c r="A108" s="344"/>
      <c r="B108" s="312" t="s">
        <v>1465</v>
      </c>
      <c r="C108" s="320"/>
      <c r="D108" s="320"/>
      <c r="E108" s="320"/>
      <c r="F108" s="337"/>
      <c r="G108" s="337"/>
      <c r="H108" s="337"/>
      <c r="I108" s="337"/>
      <c r="J108" s="337"/>
      <c r="K108" s="388"/>
      <c r="L108" s="389"/>
      <c r="M108" s="390"/>
      <c r="N108" s="358"/>
      <c r="O108" s="358"/>
      <c r="P108" s="1515"/>
      <c r="Q108" s="279"/>
      <c r="R108" s="145"/>
      <c r="S108" s="145"/>
      <c r="T108" s="145"/>
      <c r="U108" s="145"/>
      <c r="V108" s="145"/>
      <c r="W108" s="145"/>
      <c r="X108" s="145"/>
      <c r="Y108" s="145"/>
      <c r="Z108" s="145"/>
      <c r="AA108" s="145"/>
      <c r="AB108" s="145"/>
      <c r="AC108" s="145"/>
    </row>
    <row r="109" ht="14.55" spans="1:29">
      <c r="A109" s="309"/>
      <c r="B109" s="314"/>
      <c r="C109" s="315">
        <v>100</v>
      </c>
      <c r="D109" s="315">
        <f t="shared" ref="D109:M109" si="25">C109-$K36</f>
        <v>100</v>
      </c>
      <c r="E109" s="315">
        <f t="shared" si="25"/>
        <v>100</v>
      </c>
      <c r="F109" s="315">
        <f t="shared" si="25"/>
        <v>100</v>
      </c>
      <c r="G109" s="315">
        <f t="shared" si="25"/>
        <v>100</v>
      </c>
      <c r="H109" s="315">
        <f t="shared" si="25"/>
        <v>100</v>
      </c>
      <c r="I109" s="315">
        <f t="shared" si="25"/>
        <v>100</v>
      </c>
      <c r="J109" s="315">
        <f t="shared" si="25"/>
        <v>100</v>
      </c>
      <c r="K109" s="315">
        <f t="shared" si="25"/>
        <v>100</v>
      </c>
      <c r="L109" s="315">
        <f t="shared" si="25"/>
        <v>100</v>
      </c>
      <c r="M109" s="365">
        <f t="shared" si="25"/>
        <v>100</v>
      </c>
      <c r="N109" s="361"/>
      <c r="O109" s="361"/>
      <c r="P109" s="1515"/>
      <c r="Q109" s="279"/>
      <c r="R109" s="145"/>
      <c r="S109" s="145"/>
      <c r="T109" s="145"/>
      <c r="U109" s="145"/>
      <c r="V109" s="145"/>
      <c r="W109" s="145"/>
      <c r="X109" s="145"/>
      <c r="Y109" s="145"/>
      <c r="Z109" s="145"/>
      <c r="AA109" s="145"/>
      <c r="AB109" s="145"/>
      <c r="AC109" s="145"/>
    </row>
    <row r="110" ht="15.15" spans="1:29">
      <c r="A110" s="344"/>
      <c r="B110" s="312" t="s">
        <v>565</v>
      </c>
      <c r="C110" s="331" t="str">
        <f>C111&amp;"(含)"&amp;"-"&amp;D111</f>
        <v>0.5(含)-0.6</v>
      </c>
      <c r="D110" s="331" t="str">
        <f>D111&amp;"(含)"&amp;"-"&amp;E111</f>
        <v>0.6(含)-0.7</v>
      </c>
      <c r="E110" s="331" t="str">
        <f>E111&amp;"(含)"&amp;"-"&amp;F111</f>
        <v>0.7(含)-0.8</v>
      </c>
      <c r="F110" s="331" t="str">
        <f>F111&amp;"(含)"&amp;"-"&amp;G111</f>
        <v>0.8(含)-0.9</v>
      </c>
      <c r="G110" s="331" t="str">
        <f>G111&amp;"(含)"&amp;"-"&amp;ROUND(H111,0)&amp;"(含)"</f>
        <v>0.9(含)-1(含)</v>
      </c>
      <c r="H110" s="331"/>
      <c r="I110" s="337"/>
      <c r="J110" s="337"/>
      <c r="K110" s="388"/>
      <c r="L110" s="389"/>
      <c r="M110" s="390"/>
      <c r="N110" s="358"/>
      <c r="O110" s="358"/>
      <c r="P110" s="1515"/>
      <c r="Q110" s="279"/>
      <c r="R110" s="145"/>
      <c r="S110" s="145"/>
      <c r="T110" s="145"/>
      <c r="U110" s="145"/>
      <c r="V110" s="145"/>
      <c r="W110" s="145"/>
      <c r="X110" s="145"/>
      <c r="Y110" s="145"/>
      <c r="Z110" s="145"/>
      <c r="AA110" s="145"/>
      <c r="AB110" s="145"/>
      <c r="AC110" s="145"/>
    </row>
    <row r="111" spans="1:29">
      <c r="A111" s="344"/>
      <c r="B111" s="316"/>
      <c r="C111" s="295">
        <v>0.5</v>
      </c>
      <c r="D111" s="295">
        <v>0.6</v>
      </c>
      <c r="E111" s="295">
        <v>0.7</v>
      </c>
      <c r="F111" s="295">
        <v>0.8</v>
      </c>
      <c r="G111" s="295">
        <v>0.9</v>
      </c>
      <c r="H111" s="295">
        <v>1.0001</v>
      </c>
      <c r="I111" s="1523"/>
      <c r="J111" s="1523"/>
      <c r="K111" s="1524"/>
      <c r="L111" s="1525"/>
      <c r="M111" s="1526"/>
      <c r="N111" s="358"/>
      <c r="O111" s="358"/>
      <c r="P111" s="1515"/>
      <c r="Q111" s="279"/>
      <c r="R111" s="145"/>
      <c r="S111" s="145"/>
      <c r="T111" s="145"/>
      <c r="U111" s="145"/>
      <c r="V111" s="145"/>
      <c r="W111" s="145"/>
      <c r="X111" s="145"/>
      <c r="Y111" s="145"/>
      <c r="Z111" s="145"/>
      <c r="AA111" s="145"/>
      <c r="AB111" s="145"/>
      <c r="AC111" s="145"/>
    </row>
    <row r="112" ht="14.55" spans="1:29">
      <c r="A112" s="309"/>
      <c r="B112" s="314"/>
      <c r="C112" s="333">
        <v>100</v>
      </c>
      <c r="D112" s="315">
        <f>C112+$K37</f>
        <v>100</v>
      </c>
      <c r="E112" s="315">
        <f t="shared" ref="E112:M112" si="26">D112+$K37</f>
        <v>100</v>
      </c>
      <c r="F112" s="315">
        <f t="shared" si="26"/>
        <v>100</v>
      </c>
      <c r="G112" s="315">
        <f t="shared" si="26"/>
        <v>100</v>
      </c>
      <c r="H112" s="315">
        <f t="shared" si="26"/>
        <v>100</v>
      </c>
      <c r="I112" s="315">
        <f t="shared" si="26"/>
        <v>100</v>
      </c>
      <c r="J112" s="315">
        <f t="shared" si="26"/>
        <v>100</v>
      </c>
      <c r="K112" s="315">
        <f t="shared" si="26"/>
        <v>100</v>
      </c>
      <c r="L112" s="315">
        <f t="shared" si="26"/>
        <v>100</v>
      </c>
      <c r="M112" s="315">
        <f t="shared" si="26"/>
        <v>100</v>
      </c>
      <c r="N112" s="361"/>
      <c r="O112" s="361"/>
      <c r="P112" s="1515"/>
      <c r="Q112" s="279"/>
      <c r="R112" s="145"/>
      <c r="S112" s="145"/>
      <c r="T112" s="145"/>
      <c r="U112" s="145"/>
      <c r="V112" s="145"/>
      <c r="W112" s="145"/>
      <c r="X112" s="145"/>
      <c r="Y112" s="145"/>
      <c r="Z112" s="145"/>
      <c r="AA112" s="145"/>
      <c r="AB112" s="145"/>
      <c r="AC112" s="145"/>
    </row>
    <row r="113" s="17" customFormat="1" ht="15.15" spans="1:29">
      <c r="A113" s="341"/>
      <c r="B113" s="312" t="s">
        <v>1536</v>
      </c>
      <c r="C113" s="320"/>
      <c r="D113" s="320"/>
      <c r="E113" s="320"/>
      <c r="F113" s="320"/>
      <c r="G113" s="320"/>
      <c r="H113" s="337"/>
      <c r="I113" s="337"/>
      <c r="J113" s="337"/>
      <c r="K113" s="388"/>
      <c r="L113" s="389"/>
      <c r="M113" s="390"/>
      <c r="N113" s="371"/>
      <c r="O113" s="371"/>
      <c r="P113" s="1516"/>
      <c r="Q113" s="403"/>
      <c r="R113" s="404"/>
      <c r="S113" s="404"/>
      <c r="T113" s="404"/>
      <c r="U113" s="404"/>
      <c r="V113" s="404"/>
      <c r="W113" s="404"/>
      <c r="X113" s="404"/>
      <c r="Y113" s="404"/>
      <c r="Z113" s="404"/>
      <c r="AA113" s="404"/>
      <c r="AB113" s="404"/>
      <c r="AC113" s="404"/>
    </row>
    <row r="114" s="17" customFormat="1" ht="14.55" spans="1:29">
      <c r="A114" s="319"/>
      <c r="B114" s="314"/>
      <c r="C114" s="315">
        <v>100</v>
      </c>
      <c r="D114" s="315">
        <f>C114-$K38</f>
        <v>100</v>
      </c>
      <c r="E114" s="315">
        <f t="shared" ref="E114:M114" si="27">D114-$K38</f>
        <v>100</v>
      </c>
      <c r="F114" s="315">
        <f t="shared" si="27"/>
        <v>100</v>
      </c>
      <c r="G114" s="315">
        <f t="shared" si="27"/>
        <v>100</v>
      </c>
      <c r="H114" s="315">
        <f t="shared" si="27"/>
        <v>100</v>
      </c>
      <c r="I114" s="315">
        <f t="shared" si="27"/>
        <v>100</v>
      </c>
      <c r="J114" s="315">
        <f t="shared" si="27"/>
        <v>100</v>
      </c>
      <c r="K114" s="315">
        <f t="shared" si="27"/>
        <v>100</v>
      </c>
      <c r="L114" s="315">
        <f t="shared" si="27"/>
        <v>100</v>
      </c>
      <c r="M114" s="315">
        <f t="shared" si="27"/>
        <v>100</v>
      </c>
      <c r="N114" s="371"/>
      <c r="O114" s="371"/>
      <c r="P114" s="1516"/>
      <c r="Q114" s="403"/>
      <c r="R114" s="404"/>
      <c r="S114" s="404"/>
      <c r="T114" s="404"/>
      <c r="U114" s="404"/>
      <c r="V114" s="404"/>
      <c r="W114" s="404"/>
      <c r="X114" s="404"/>
      <c r="Y114" s="404"/>
      <c r="Z114" s="404"/>
      <c r="AA114" s="404"/>
      <c r="AB114" s="404"/>
      <c r="AC114" s="404"/>
    </row>
    <row r="115" ht="15.15" spans="1:29">
      <c r="A115" s="344"/>
      <c r="B115" s="312" t="s">
        <v>1466</v>
      </c>
      <c r="C115" s="320"/>
      <c r="D115" s="320"/>
      <c r="E115" s="337"/>
      <c r="F115" s="337"/>
      <c r="G115" s="337"/>
      <c r="H115" s="337"/>
      <c r="I115" s="337"/>
      <c r="J115" s="337"/>
      <c r="K115" s="388"/>
      <c r="L115" s="389"/>
      <c r="M115" s="390"/>
      <c r="N115" s="358"/>
      <c r="O115" s="358"/>
      <c r="P115" s="1515"/>
      <c r="Q115" s="279"/>
      <c r="R115" s="145"/>
      <c r="S115" s="145"/>
      <c r="T115" s="145"/>
      <c r="U115" s="145"/>
      <c r="V115" s="145"/>
      <c r="W115" s="145"/>
      <c r="X115" s="145"/>
      <c r="Y115" s="145"/>
      <c r="Z115" s="145"/>
      <c r="AA115" s="145"/>
      <c r="AB115" s="145"/>
      <c r="AC115" s="145"/>
    </row>
    <row r="116" ht="14.55" spans="1:29">
      <c r="A116" s="309"/>
      <c r="B116" s="314"/>
      <c r="C116" s="315">
        <v>100</v>
      </c>
      <c r="D116" s="315">
        <f t="shared" ref="D116:M116" si="28">C116-$K39</f>
        <v>100</v>
      </c>
      <c r="E116" s="315">
        <f t="shared" si="28"/>
        <v>100</v>
      </c>
      <c r="F116" s="315">
        <f t="shared" si="28"/>
        <v>100</v>
      </c>
      <c r="G116" s="315">
        <f t="shared" si="28"/>
        <v>100</v>
      </c>
      <c r="H116" s="315">
        <f t="shared" si="28"/>
        <v>100</v>
      </c>
      <c r="I116" s="315">
        <f t="shared" si="28"/>
        <v>100</v>
      </c>
      <c r="J116" s="315">
        <f t="shared" si="28"/>
        <v>100</v>
      </c>
      <c r="K116" s="315">
        <f t="shared" si="28"/>
        <v>100</v>
      </c>
      <c r="L116" s="315">
        <f t="shared" si="28"/>
        <v>100</v>
      </c>
      <c r="M116" s="365">
        <f t="shared" si="28"/>
        <v>100</v>
      </c>
      <c r="N116" s="361"/>
      <c r="O116" s="361"/>
      <c r="P116" s="1515"/>
      <c r="Q116" s="279"/>
      <c r="R116" s="145"/>
      <c r="S116" s="145"/>
      <c r="T116" s="145"/>
      <c r="U116" s="145"/>
      <c r="V116" s="145"/>
      <c r="W116" s="145"/>
      <c r="X116" s="145"/>
      <c r="Y116" s="145"/>
      <c r="Z116" s="145"/>
      <c r="AA116" s="145"/>
      <c r="AB116" s="145"/>
      <c r="AC116" s="145"/>
    </row>
    <row r="117" ht="15.15" spans="1:29">
      <c r="A117" s="344"/>
      <c r="B117" s="312" t="s">
        <v>1467</v>
      </c>
      <c r="C117" s="320"/>
      <c r="D117" s="320"/>
      <c r="E117" s="320"/>
      <c r="F117" s="320"/>
      <c r="G117" s="320"/>
      <c r="H117" s="337"/>
      <c r="I117" s="337"/>
      <c r="J117" s="337"/>
      <c r="K117" s="388"/>
      <c r="L117" s="389"/>
      <c r="M117" s="390"/>
      <c r="N117" s="358"/>
      <c r="O117" s="358"/>
      <c r="P117" s="1515"/>
      <c r="Q117" s="279"/>
      <c r="R117" s="145"/>
      <c r="S117" s="145"/>
      <c r="T117" s="145"/>
      <c r="U117" s="145"/>
      <c r="V117" s="145"/>
      <c r="W117" s="145"/>
      <c r="X117" s="145"/>
      <c r="Y117" s="145"/>
      <c r="Z117" s="145"/>
      <c r="AA117" s="145"/>
      <c r="AB117" s="145"/>
      <c r="AC117" s="145"/>
    </row>
    <row r="118" ht="14.55" spans="1:29">
      <c r="A118" s="309"/>
      <c r="B118" s="314"/>
      <c r="C118" s="315">
        <v>100</v>
      </c>
      <c r="D118" s="315">
        <f>C118-$K40</f>
        <v>100</v>
      </c>
      <c r="E118" s="315">
        <f>D118-$K40</f>
        <v>100</v>
      </c>
      <c r="F118" s="315">
        <f>E118-$K40</f>
        <v>100</v>
      </c>
      <c r="G118" s="315">
        <f>F118-$K40</f>
        <v>100</v>
      </c>
      <c r="H118" s="315"/>
      <c r="I118" s="315"/>
      <c r="J118" s="315"/>
      <c r="K118" s="315"/>
      <c r="L118" s="315"/>
      <c r="M118" s="365"/>
      <c r="N118" s="361"/>
      <c r="O118" s="361"/>
      <c r="P118" s="1515"/>
      <c r="Q118" s="279"/>
      <c r="R118" s="145"/>
      <c r="S118" s="145"/>
      <c r="T118" s="145"/>
      <c r="U118" s="145"/>
      <c r="V118" s="145"/>
      <c r="W118" s="145"/>
      <c r="X118" s="145"/>
      <c r="Y118" s="145"/>
      <c r="Z118" s="145"/>
      <c r="AA118" s="145"/>
      <c r="AB118" s="145"/>
      <c r="AC118" s="145"/>
    </row>
    <row r="119" ht="15.15" spans="1:29">
      <c r="A119" s="344"/>
      <c r="B119" s="1459" t="s">
        <v>1538</v>
      </c>
      <c r="C119" s="337"/>
      <c r="D119" s="337"/>
      <c r="E119" s="337"/>
      <c r="F119" s="337"/>
      <c r="G119" s="337"/>
      <c r="H119" s="337"/>
      <c r="I119" s="337"/>
      <c r="J119" s="337"/>
      <c r="K119" s="337"/>
      <c r="L119" s="1607"/>
      <c r="M119" s="1608"/>
      <c r="N119" s="361"/>
      <c r="O119" s="361"/>
      <c r="P119" s="1527"/>
      <c r="Q119" s="1470"/>
      <c r="R119" s="145"/>
      <c r="S119" s="145"/>
      <c r="T119" s="145"/>
      <c r="U119" s="145"/>
      <c r="V119" s="145"/>
      <c r="W119" s="145"/>
      <c r="X119" s="145"/>
      <c r="Y119" s="145"/>
      <c r="Z119" s="145"/>
      <c r="AA119" s="145"/>
      <c r="AB119" s="145"/>
      <c r="AC119" s="145"/>
    </row>
    <row r="120" ht="14.55" spans="1:29">
      <c r="A120" s="309"/>
      <c r="B120" s="314"/>
      <c r="C120" s="333">
        <v>100</v>
      </c>
      <c r="D120" s="315">
        <f>C120-$K41</f>
        <v>100</v>
      </c>
      <c r="E120" s="315">
        <f t="shared" ref="E120:M120" si="29">D120-$K41</f>
        <v>100</v>
      </c>
      <c r="F120" s="315">
        <f t="shared" si="29"/>
        <v>100</v>
      </c>
      <c r="G120" s="315">
        <f t="shared" si="29"/>
        <v>100</v>
      </c>
      <c r="H120" s="315">
        <f t="shared" si="29"/>
        <v>100</v>
      </c>
      <c r="I120" s="315">
        <f t="shared" si="29"/>
        <v>100</v>
      </c>
      <c r="J120" s="315">
        <f t="shared" si="29"/>
        <v>100</v>
      </c>
      <c r="K120" s="315">
        <f t="shared" si="29"/>
        <v>100</v>
      </c>
      <c r="L120" s="315">
        <f t="shared" si="29"/>
        <v>100</v>
      </c>
      <c r="M120" s="315">
        <f t="shared" si="29"/>
        <v>100</v>
      </c>
      <c r="N120" s="361"/>
      <c r="O120" s="361"/>
      <c r="P120" s="1515"/>
      <c r="Q120" s="279"/>
      <c r="R120" s="145"/>
      <c r="S120" s="145"/>
      <c r="T120" s="145"/>
      <c r="U120" s="145"/>
      <c r="V120" s="145"/>
      <c r="W120" s="145"/>
      <c r="X120" s="145"/>
      <c r="Y120" s="145"/>
      <c r="Z120" s="145"/>
      <c r="AA120" s="145"/>
      <c r="AB120" s="145"/>
      <c r="AC120" s="145"/>
    </row>
    <row r="121" s="17" customFormat="1" ht="15.15" spans="1:29">
      <c r="A121" s="341"/>
      <c r="B121" s="312" t="s">
        <v>1528</v>
      </c>
      <c r="C121" s="320"/>
      <c r="D121" s="320"/>
      <c r="E121" s="320"/>
      <c r="F121" s="337"/>
      <c r="G121" s="321"/>
      <c r="H121" s="321"/>
      <c r="I121" s="321"/>
      <c r="J121" s="321"/>
      <c r="K121" s="321"/>
      <c r="L121" s="369"/>
      <c r="M121" s="370"/>
      <c r="N121" s="371"/>
      <c r="O121" s="371"/>
      <c r="P121" s="1516"/>
      <c r="Q121" s="403"/>
      <c r="R121" s="404"/>
      <c r="S121" s="404"/>
      <c r="T121" s="404"/>
      <c r="U121" s="404"/>
      <c r="V121" s="404"/>
      <c r="W121" s="404"/>
      <c r="X121" s="404"/>
      <c r="Y121" s="404"/>
      <c r="Z121" s="404"/>
      <c r="AA121" s="404"/>
      <c r="AB121" s="404"/>
      <c r="AC121" s="404"/>
    </row>
    <row r="122" s="17" customFormat="1" ht="14.55" spans="1:29">
      <c r="A122" s="319"/>
      <c r="B122" s="310"/>
      <c r="C122" s="322"/>
      <c r="D122" s="322"/>
      <c r="E122" s="322"/>
      <c r="F122" s="322"/>
      <c r="G122" s="322"/>
      <c r="H122" s="322"/>
      <c r="I122" s="322"/>
      <c r="J122" s="322"/>
      <c r="K122" s="322"/>
      <c r="L122" s="322"/>
      <c r="M122" s="322"/>
      <c r="N122" s="371"/>
      <c r="O122" s="371"/>
      <c r="P122" s="1516"/>
      <c r="Q122" s="403"/>
      <c r="R122" s="404"/>
      <c r="S122" s="404"/>
      <c r="T122" s="404"/>
      <c r="U122" s="404"/>
      <c r="V122" s="404"/>
      <c r="W122" s="404"/>
      <c r="X122" s="404"/>
      <c r="Y122" s="404"/>
      <c r="Z122" s="404"/>
      <c r="AA122" s="404"/>
      <c r="AB122" s="404"/>
      <c r="AC122" s="404"/>
    </row>
    <row r="123" ht="15.15" spans="1:29">
      <c r="A123" s="344"/>
      <c r="B123" s="312" t="s">
        <v>1470</v>
      </c>
      <c r="C123" s="320"/>
      <c r="D123" s="320"/>
      <c r="E123" s="320"/>
      <c r="F123" s="337"/>
      <c r="G123" s="337"/>
      <c r="H123" s="337"/>
      <c r="I123" s="337"/>
      <c r="J123" s="337"/>
      <c r="K123" s="388"/>
      <c r="L123" s="389"/>
      <c r="M123" s="390"/>
      <c r="N123" s="358"/>
      <c r="O123" s="358"/>
      <c r="P123" s="1515"/>
      <c r="Q123" s="279"/>
      <c r="R123" s="145"/>
      <c r="S123" s="145"/>
      <c r="T123" s="145"/>
      <c r="U123" s="145"/>
      <c r="V123" s="145"/>
      <c r="W123" s="145"/>
      <c r="X123" s="145"/>
      <c r="Y123" s="145"/>
      <c r="Z123" s="145"/>
      <c r="AA123" s="145"/>
      <c r="AB123" s="145"/>
      <c r="AC123" s="145"/>
    </row>
    <row r="124" ht="14.55" spans="1:29">
      <c r="A124" s="309"/>
      <c r="B124" s="314"/>
      <c r="C124" s="315">
        <v>100</v>
      </c>
      <c r="D124" s="315">
        <f t="shared" ref="D124:M124" si="30">C124-$K43</f>
        <v>100</v>
      </c>
      <c r="E124" s="315">
        <f t="shared" si="30"/>
        <v>100</v>
      </c>
      <c r="F124" s="315">
        <f t="shared" si="30"/>
        <v>100</v>
      </c>
      <c r="G124" s="315">
        <f t="shared" si="30"/>
        <v>100</v>
      </c>
      <c r="H124" s="315">
        <f t="shared" si="30"/>
        <v>100</v>
      </c>
      <c r="I124" s="315">
        <f t="shared" si="30"/>
        <v>100</v>
      </c>
      <c r="J124" s="315">
        <f t="shared" si="30"/>
        <v>100</v>
      </c>
      <c r="K124" s="315">
        <f t="shared" si="30"/>
        <v>100</v>
      </c>
      <c r="L124" s="315">
        <f t="shared" si="30"/>
        <v>100</v>
      </c>
      <c r="M124" s="365">
        <f t="shared" si="30"/>
        <v>100</v>
      </c>
      <c r="N124" s="361"/>
      <c r="O124" s="361"/>
      <c r="P124" s="1515"/>
      <c r="Q124" s="279"/>
      <c r="R124" s="145"/>
      <c r="S124" s="145"/>
      <c r="T124" s="145"/>
      <c r="U124" s="145"/>
      <c r="V124" s="145"/>
      <c r="W124" s="145"/>
      <c r="X124" s="145"/>
      <c r="Y124" s="145"/>
      <c r="Z124" s="145"/>
      <c r="AA124" s="145"/>
      <c r="AB124" s="145"/>
      <c r="AC124" s="145"/>
    </row>
    <row r="125" ht="29.55" spans="1:29">
      <c r="A125" s="344"/>
      <c r="B125" s="312" t="s">
        <v>1471</v>
      </c>
      <c r="C125" s="331" t="s">
        <v>1489</v>
      </c>
      <c r="D125" s="331" t="s">
        <v>1490</v>
      </c>
      <c r="E125" s="331" t="s">
        <v>1491</v>
      </c>
      <c r="F125" s="331" t="s">
        <v>1492</v>
      </c>
      <c r="G125" s="331" t="s">
        <v>1493</v>
      </c>
      <c r="H125" s="313"/>
      <c r="I125" s="313"/>
      <c r="J125" s="313"/>
      <c r="K125" s="362"/>
      <c r="L125" s="363"/>
      <c r="M125" s="364"/>
      <c r="N125" s="358"/>
      <c r="O125" s="358"/>
      <c r="P125" s="1516"/>
      <c r="Q125" s="279"/>
      <c r="R125" s="145"/>
      <c r="S125" s="145"/>
      <c r="T125" s="145"/>
      <c r="U125" s="145"/>
      <c r="V125" s="145"/>
      <c r="W125" s="145"/>
      <c r="X125" s="145"/>
      <c r="Y125" s="145"/>
      <c r="Z125" s="145"/>
      <c r="AA125" s="145"/>
      <c r="AB125" s="145"/>
      <c r="AC125" s="145"/>
    </row>
    <row r="126" ht="14.55" spans="1:29">
      <c r="A126" s="309"/>
      <c r="B126" s="314"/>
      <c r="C126" s="315">
        <v>100</v>
      </c>
      <c r="D126" s="315">
        <f>C126-$K44</f>
        <v>100</v>
      </c>
      <c r="E126" s="315">
        <f>D126-$K44</f>
        <v>100</v>
      </c>
      <c r="F126" s="315">
        <f>E126-$K44</f>
        <v>100</v>
      </c>
      <c r="G126" s="315">
        <f>F126-$K44</f>
        <v>100</v>
      </c>
      <c r="H126" s="315"/>
      <c r="I126" s="315"/>
      <c r="J126" s="315"/>
      <c r="K126" s="315"/>
      <c r="L126" s="315"/>
      <c r="M126" s="365"/>
      <c r="N126" s="361"/>
      <c r="O126" s="361"/>
      <c r="P126" s="1515"/>
      <c r="Q126" s="279"/>
      <c r="R126" s="145"/>
      <c r="S126" s="145"/>
      <c r="T126" s="145"/>
      <c r="U126" s="145"/>
      <c r="V126" s="145"/>
      <c r="W126" s="145"/>
      <c r="X126" s="145"/>
      <c r="Y126" s="145"/>
      <c r="Z126" s="145"/>
      <c r="AA126" s="145"/>
      <c r="AB126" s="145"/>
      <c r="AC126" s="145"/>
    </row>
    <row r="127" s="17" customFormat="1" ht="14.55" spans="1:29">
      <c r="A127" s="341"/>
      <c r="B127" s="312">
        <f>B45</f>
        <v>111</v>
      </c>
      <c r="C127" s="320"/>
      <c r="D127" s="320"/>
      <c r="E127" s="320"/>
      <c r="F127" s="320"/>
      <c r="G127" s="320"/>
      <c r="H127" s="321"/>
      <c r="I127" s="321"/>
      <c r="J127" s="321"/>
      <c r="K127" s="321"/>
      <c r="L127" s="369"/>
      <c r="M127" s="370"/>
      <c r="N127" s="371"/>
      <c r="O127" s="371"/>
      <c r="P127" s="1516"/>
      <c r="Q127" s="403"/>
      <c r="R127" s="404"/>
      <c r="S127" s="404"/>
      <c r="T127" s="404"/>
      <c r="U127" s="404"/>
      <c r="V127" s="404"/>
      <c r="W127" s="404"/>
      <c r="X127" s="404"/>
      <c r="Y127" s="404"/>
      <c r="Z127" s="404"/>
      <c r="AA127" s="404"/>
      <c r="AB127" s="404"/>
      <c r="AC127" s="404"/>
    </row>
    <row r="128" s="17" customFormat="1" ht="14.55" spans="1:29">
      <c r="A128" s="319"/>
      <c r="B128" s="314"/>
      <c r="C128" s="322"/>
      <c r="D128" s="311"/>
      <c r="E128" s="311"/>
      <c r="F128" s="311"/>
      <c r="G128" s="322"/>
      <c r="H128" s="323"/>
      <c r="I128" s="323"/>
      <c r="J128" s="323"/>
      <c r="K128" s="323"/>
      <c r="L128" s="323"/>
      <c r="M128" s="373"/>
      <c r="N128" s="371"/>
      <c r="O128" s="371"/>
      <c r="P128" s="1516"/>
      <c r="Q128" s="403"/>
      <c r="R128" s="404"/>
      <c r="S128" s="404"/>
      <c r="T128" s="404"/>
      <c r="U128" s="404"/>
      <c r="V128" s="404"/>
      <c r="W128" s="404"/>
      <c r="X128" s="404"/>
      <c r="Y128" s="404"/>
      <c r="Z128" s="404"/>
      <c r="AA128" s="404"/>
      <c r="AB128" s="404"/>
      <c r="AC128" s="404"/>
    </row>
    <row r="129" ht="14.55" spans="1:29">
      <c r="A129" s="344"/>
      <c r="B129" s="312">
        <f>B46</f>
        <v>111</v>
      </c>
      <c r="C129" s="320"/>
      <c r="D129" s="320"/>
      <c r="E129" s="320"/>
      <c r="F129" s="320"/>
      <c r="G129" s="337"/>
      <c r="H129" s="337"/>
      <c r="I129" s="337"/>
      <c r="J129" s="337"/>
      <c r="K129" s="388"/>
      <c r="L129" s="389"/>
      <c r="M129" s="390"/>
      <c r="N129" s="358"/>
      <c r="O129" s="358"/>
      <c r="P129" s="1515"/>
      <c r="Q129" s="279"/>
      <c r="R129" s="145"/>
      <c r="S129" s="145"/>
      <c r="T129" s="145"/>
      <c r="U129" s="145"/>
      <c r="V129" s="145"/>
      <c r="W129" s="145"/>
      <c r="X129" s="145"/>
      <c r="Y129" s="145"/>
      <c r="Z129" s="145"/>
      <c r="AA129" s="145"/>
      <c r="AB129" s="145"/>
      <c r="AC129" s="145"/>
    </row>
    <row r="130" ht="14.55" spans="1:29">
      <c r="A130" s="309"/>
      <c r="B130" s="314"/>
      <c r="C130" s="322"/>
      <c r="D130" s="322"/>
      <c r="E130" s="322"/>
      <c r="F130" s="322"/>
      <c r="G130" s="311"/>
      <c r="H130" s="311"/>
      <c r="I130" s="311"/>
      <c r="J130" s="311"/>
      <c r="K130" s="311"/>
      <c r="L130" s="311"/>
      <c r="M130" s="360"/>
      <c r="N130" s="361"/>
      <c r="O130" s="361"/>
      <c r="P130" s="1515"/>
      <c r="Q130" s="279"/>
      <c r="R130" s="145"/>
      <c r="S130" s="145"/>
      <c r="T130" s="145"/>
      <c r="U130" s="145"/>
      <c r="V130" s="145"/>
      <c r="W130" s="145"/>
      <c r="X130" s="145"/>
      <c r="Y130" s="145"/>
      <c r="Z130" s="145"/>
      <c r="AA130" s="145"/>
      <c r="AB130" s="145"/>
      <c r="AC130" s="145"/>
    </row>
    <row r="131" ht="14.55" spans="1:29">
      <c r="A131" s="344"/>
      <c r="B131" s="316">
        <f>B47</f>
        <v>111</v>
      </c>
      <c r="C131" s="304"/>
      <c r="D131" s="304"/>
      <c r="E131" s="304"/>
      <c r="F131" s="304"/>
      <c r="G131" s="339"/>
      <c r="H131" s="339"/>
      <c r="I131" s="339"/>
      <c r="J131" s="339"/>
      <c r="K131" s="304"/>
      <c r="L131" s="350"/>
      <c r="M131" s="393"/>
      <c r="N131" s="358"/>
      <c r="O131" s="358"/>
      <c r="P131" s="1515"/>
      <c r="Q131" s="279"/>
      <c r="R131" s="145"/>
      <c r="S131" s="145"/>
      <c r="T131" s="145"/>
      <c r="U131" s="145"/>
      <c r="V131" s="145"/>
      <c r="W131" s="145"/>
      <c r="X131" s="145"/>
      <c r="Y131" s="145"/>
      <c r="Z131" s="145"/>
      <c r="AA131" s="145"/>
      <c r="AB131" s="145"/>
      <c r="AC131" s="145"/>
    </row>
    <row r="132" ht="14.55" spans="1:29">
      <c r="A132" s="1565"/>
      <c r="B132" s="326"/>
      <c r="C132" s="327"/>
      <c r="D132" s="327"/>
      <c r="E132" s="327"/>
      <c r="F132" s="327"/>
      <c r="G132" s="340"/>
      <c r="H132" s="340"/>
      <c r="I132" s="340"/>
      <c r="J132" s="340"/>
      <c r="K132" s="340"/>
      <c r="L132" s="340"/>
      <c r="M132" s="394"/>
      <c r="N132" s="361"/>
      <c r="O132" s="361"/>
      <c r="P132" s="1515"/>
      <c r="Q132" s="279"/>
      <c r="R132" s="145"/>
      <c r="S132" s="145"/>
      <c r="T132" s="145"/>
      <c r="U132" s="145"/>
      <c r="V132" s="145"/>
      <c r="W132" s="145"/>
      <c r="X132" s="145"/>
      <c r="Y132" s="145"/>
      <c r="Z132" s="145"/>
      <c r="AA132" s="145"/>
      <c r="AB132" s="145"/>
      <c r="AC132" s="14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C16 E16 G16 I16">
      <formula1>办公集聚程度</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10 E10 G10 I10">
      <formula1>土地年限区间</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D49">
      <formula1>"简单平均,加权平均"</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topLeftCell="A4" workbookViewId="0">
      <selection activeCell="F33" sqref="F33"/>
    </sheetView>
  </sheetViews>
  <sheetFormatPr defaultColWidth="9" defaultRowHeight="13.8"/>
  <cols>
    <col min="1" max="1" width="10.4444444444444" style="21" customWidth="1"/>
    <col min="2" max="2" width="15.7777777777778" style="21" customWidth="1"/>
    <col min="3" max="3" width="14.3333333333333" style="21" customWidth="1"/>
    <col min="4" max="4" width="12.2222222222222" style="21" customWidth="1"/>
    <col min="5" max="5" width="14.3333333333333" style="21" customWidth="1"/>
    <col min="6" max="6" width="12.2222222222222" style="21" customWidth="1"/>
    <col min="7" max="7" width="14.4444444444444" style="21" customWidth="1"/>
    <col min="8" max="8" width="12.2222222222222" style="21" customWidth="1"/>
    <col min="9" max="9" width="14.4444444444444" style="21" customWidth="1"/>
    <col min="10" max="10" width="12.2222222222222" style="21" customWidth="1"/>
    <col min="11" max="11" width="12.2222222222222" style="22" customWidth="1"/>
    <col min="12" max="12" width="12.2222222222222" style="23" customWidth="1"/>
    <col min="13" max="15" width="12.2222222222222" style="21" customWidth="1"/>
    <col min="16" max="16" width="4.77777777777778" style="21" customWidth="1"/>
    <col min="17" max="17" width="19.4444444444444" style="21" customWidth="1"/>
    <col min="18" max="22" width="6.11111111111111" style="21" customWidth="1"/>
    <col min="23" max="23" width="5.77777777777778" style="21" customWidth="1"/>
    <col min="24" max="24" width="4.22222222222222" style="21" customWidth="1"/>
    <col min="25" max="25" width="3.44444444444444" style="21" customWidth="1"/>
    <col min="26" max="26" width="19.7777777777778" style="21" customWidth="1"/>
    <col min="27" max="28" width="9.33333333333333" style="21" customWidth="1"/>
    <col min="29" max="16384" width="9" style="21"/>
  </cols>
  <sheetData>
    <row r="1" s="1391" customFormat="1" ht="28.5" customHeight="1" spans="1:29">
      <c r="A1" s="1392" t="s">
        <v>1419</v>
      </c>
      <c r="B1" s="1528" t="s">
        <v>1539</v>
      </c>
      <c r="C1" s="1394" t="s">
        <v>1421</v>
      </c>
      <c r="D1" s="1395"/>
      <c r="E1" s="1396"/>
      <c r="F1" s="1397"/>
      <c r="G1" s="1398" t="s">
        <v>1423</v>
      </c>
      <c r="H1" s="1396"/>
      <c r="I1" s="1396"/>
      <c r="J1" s="1396"/>
      <c r="K1" s="1449"/>
      <c r="L1" s="1450"/>
      <c r="M1" s="1451"/>
      <c r="N1" s="1451"/>
      <c r="O1" s="1451"/>
      <c r="P1" s="1394"/>
      <c r="Q1" s="1394"/>
      <c r="R1" s="1394"/>
      <c r="S1" s="1394"/>
      <c r="T1" s="1394"/>
      <c r="U1" s="1394"/>
      <c r="V1" s="1394"/>
      <c r="W1" s="1394"/>
      <c r="X1" s="1394"/>
      <c r="Y1" s="1394"/>
      <c r="Z1" s="1394"/>
      <c r="AA1" s="1394"/>
      <c r="AB1" s="1394"/>
      <c r="AC1" s="1458"/>
    </row>
    <row r="2" s="14" customFormat="1" ht="28.5" customHeight="1" spans="1:29">
      <c r="A2" s="1399" t="s">
        <v>937</v>
      </c>
      <c r="B2" s="1400" t="e">
        <f ca="1">IF(C2="——",ROUND(C43*D3/10000,0),ROUND(C43*D3/10000,0)-D2)</f>
        <v>#DIV/0!</v>
      </c>
      <c r="C2" s="1401"/>
      <c r="D2" s="1352" t="e">
        <f ca="1">SUMIF(INDIRECT("'"&amp;F2&amp;"'"&amp;"!A:A"),"承租人权益价值",INDIRECT("'"&amp;F2&amp;"'"&amp;"!c:c"))</f>
        <v>#REF!</v>
      </c>
      <c r="E2" s="1402" t="s">
        <v>938</v>
      </c>
      <c r="F2" s="1403"/>
      <c r="G2" s="31"/>
      <c r="H2" s="31"/>
      <c r="I2" s="31"/>
      <c r="J2" s="31"/>
      <c r="K2" s="31"/>
      <c r="L2" s="1532"/>
      <c r="M2" s="1533"/>
      <c r="N2" s="1533"/>
      <c r="O2" s="1533"/>
      <c r="P2" s="199"/>
      <c r="Q2" s="199"/>
      <c r="R2" s="199"/>
      <c r="S2" s="199"/>
      <c r="T2" s="199"/>
      <c r="U2" s="199"/>
      <c r="V2" s="199"/>
      <c r="W2" s="199"/>
      <c r="X2" s="199"/>
      <c r="Y2" s="199"/>
      <c r="Z2" s="199"/>
      <c r="AA2" s="199"/>
      <c r="AB2" s="199"/>
      <c r="AC2" s="282"/>
    </row>
    <row r="3" s="14" customFormat="1" ht="28.5" customHeight="1" spans="1:29">
      <c r="A3" s="33" t="s">
        <v>939</v>
      </c>
      <c r="B3" s="34" t="e">
        <f ca="1">IF(C2="——",C43,ROUND(B2*10000/D3,0))</f>
        <v>#DIV/0!</v>
      </c>
      <c r="C3" s="1404" t="s">
        <v>1424</v>
      </c>
      <c r="D3" s="1405">
        <f>IF(D1="",'数据-汇总表'!E3,SUMIF('数据-汇总表'!$C19:$C33,D1,'数据-汇总表'!$E19:$E33))</f>
        <v>18907.05</v>
      </c>
      <c r="E3" s="31"/>
      <c r="F3" s="32"/>
      <c r="G3" s="31"/>
      <c r="H3" s="31"/>
      <c r="I3" s="31"/>
      <c r="J3" s="31"/>
      <c r="K3" s="200"/>
      <c r="L3" s="1532"/>
      <c r="M3" s="1533"/>
      <c r="N3" s="1533"/>
      <c r="O3" s="1533"/>
      <c r="P3" s="199"/>
      <c r="Q3" s="199"/>
      <c r="R3" s="199"/>
      <c r="S3" s="199"/>
      <c r="T3" s="199"/>
      <c r="U3" s="199"/>
      <c r="V3" s="199"/>
      <c r="W3" s="199"/>
      <c r="X3" s="199"/>
      <c r="Y3" s="199"/>
      <c r="Z3" s="199"/>
      <c r="AA3" s="199"/>
      <c r="AB3" s="281"/>
      <c r="AC3" s="282"/>
    </row>
    <row r="4" ht="14.4" spans="1:29">
      <c r="A4" s="36" t="s">
        <v>1425</v>
      </c>
      <c r="B4" s="37"/>
      <c r="C4" s="38" t="s">
        <v>1426</v>
      </c>
      <c r="D4" s="39"/>
      <c r="E4" s="40" t="s">
        <v>1427</v>
      </c>
      <c r="F4" s="41"/>
      <c r="G4" s="38" t="s">
        <v>1428</v>
      </c>
      <c r="H4" s="39"/>
      <c r="I4" s="38" t="s">
        <v>1429</v>
      </c>
      <c r="J4" s="39"/>
      <c r="K4" s="203" t="s">
        <v>1430</v>
      </c>
      <c r="L4" s="1534"/>
      <c r="M4" s="1535"/>
      <c r="N4" s="1535"/>
      <c r="O4" s="1535"/>
      <c r="P4" s="206" t="s">
        <v>1431</v>
      </c>
      <c r="Q4" s="255"/>
      <c r="R4" s="256" t="s">
        <v>1427</v>
      </c>
      <c r="S4" s="257"/>
      <c r="T4" s="256" t="s">
        <v>1428</v>
      </c>
      <c r="U4" s="257"/>
      <c r="V4" s="244" t="s">
        <v>1429</v>
      </c>
      <c r="W4" s="244"/>
      <c r="X4" s="258"/>
      <c r="Y4" s="256" t="s">
        <v>1431</v>
      </c>
      <c r="Z4" s="257"/>
      <c r="AA4" s="283" t="s">
        <v>1427</v>
      </c>
      <c r="AB4" s="258" t="s">
        <v>1428</v>
      </c>
      <c r="AC4" s="283" t="s">
        <v>1429</v>
      </c>
    </row>
    <row r="5" spans="1:29">
      <c r="A5" s="42"/>
      <c r="B5" s="43"/>
      <c r="C5" s="44" t="s">
        <v>1432</v>
      </c>
      <c r="D5" s="45"/>
      <c r="E5" s="46" t="s">
        <v>1433</v>
      </c>
      <c r="F5" s="47"/>
      <c r="G5" s="44" t="s">
        <v>1434</v>
      </c>
      <c r="H5" s="45"/>
      <c r="I5" s="44" t="s">
        <v>1435</v>
      </c>
      <c r="J5" s="45"/>
      <c r="K5" s="203"/>
      <c r="L5" s="1534"/>
      <c r="M5" s="1535"/>
      <c r="N5" s="1535"/>
      <c r="O5" s="1535"/>
      <c r="P5" s="207"/>
      <c r="Q5" s="259"/>
      <c r="R5" s="260"/>
      <c r="S5" s="261"/>
      <c r="T5" s="260"/>
      <c r="U5" s="261"/>
      <c r="V5" s="244"/>
      <c r="W5" s="244"/>
      <c r="X5" s="258"/>
      <c r="Y5" s="260"/>
      <c r="Z5" s="261"/>
      <c r="AA5" s="258"/>
      <c r="AB5" s="258"/>
      <c r="AC5" s="258"/>
    </row>
    <row r="6" ht="15.15" spans="1:29">
      <c r="A6" s="48"/>
      <c r="B6" s="49"/>
      <c r="C6" s="1353" t="s">
        <v>1436</v>
      </c>
      <c r="D6" s="1354"/>
      <c r="E6" s="1355" t="s">
        <v>1436</v>
      </c>
      <c r="F6" s="1356"/>
      <c r="G6" s="1353" t="s">
        <v>1436</v>
      </c>
      <c r="H6" s="1354"/>
      <c r="I6" s="1353" t="s">
        <v>1436</v>
      </c>
      <c r="J6" s="1354"/>
      <c r="K6" s="203" t="s">
        <v>1437</v>
      </c>
      <c r="L6" s="1534"/>
      <c r="M6" s="1535"/>
      <c r="N6" s="1535"/>
      <c r="O6" s="1535"/>
      <c r="P6" s="208"/>
      <c r="Q6" s="262"/>
      <c r="R6" s="260"/>
      <c r="S6" s="261"/>
      <c r="T6" s="263"/>
      <c r="U6" s="264"/>
      <c r="V6" s="244"/>
      <c r="W6" s="244"/>
      <c r="X6" s="258"/>
      <c r="Y6" s="263"/>
      <c r="Z6" s="264"/>
      <c r="AA6" s="284"/>
      <c r="AB6" s="284"/>
      <c r="AC6" s="284"/>
    </row>
    <row r="7" s="15" customFormat="1" ht="15.15" spans="1:29">
      <c r="A7" s="54" t="s">
        <v>1438</v>
      </c>
      <c r="B7" s="55"/>
      <c r="C7" s="56">
        <f>'数据-取费表'!B2</f>
        <v>44802</v>
      </c>
      <c r="D7" s="57">
        <v>100</v>
      </c>
      <c r="E7" s="58"/>
      <c r="F7" s="59">
        <f>SUMIF(52:52,YEAR(E7)&amp;"-"&amp;MONTH(E7),53:53)</f>
        <v>0</v>
      </c>
      <c r="G7" s="58"/>
      <c r="H7" s="57">
        <f>SUMIF(52:52,YEAR(G7)&amp;"-"&amp;MONTH(G7),53:53)</f>
        <v>0</v>
      </c>
      <c r="I7" s="58"/>
      <c r="J7" s="57">
        <f>SUMIF(52:52,YEAR(I7)&amp;"-"&amp;MONTH(I7),53:53)</f>
        <v>0</v>
      </c>
      <c r="K7" s="209"/>
      <c r="L7" s="1536"/>
      <c r="M7" s="1537"/>
      <c r="N7" s="1537"/>
      <c r="O7" s="1537"/>
      <c r="P7" s="212" t="s">
        <v>1439</v>
      </c>
      <c r="Q7" s="265"/>
      <c r="R7" s="266" t="s">
        <v>1440</v>
      </c>
      <c r="S7" s="267">
        <f t="shared" ref="S7:S15" si="0">F7</f>
        <v>0</v>
      </c>
      <c r="T7" s="266" t="s">
        <v>1440</v>
      </c>
      <c r="U7" s="267">
        <f t="shared" ref="U7:U15" si="1">H7</f>
        <v>0</v>
      </c>
      <c r="V7" s="266" t="s">
        <v>1440</v>
      </c>
      <c r="W7" s="267">
        <f t="shared" ref="W7:W15" si="2">J7</f>
        <v>0</v>
      </c>
      <c r="X7" s="268"/>
      <c r="Y7" s="212" t="s">
        <v>1439</v>
      </c>
      <c r="Z7" s="269"/>
      <c r="AA7" s="285" t="e">
        <f>D7/F7</f>
        <v>#DIV/0!</v>
      </c>
      <c r="AB7" s="285" t="e">
        <f>D7/H7</f>
        <v>#DIV/0!</v>
      </c>
      <c r="AC7" s="285" t="e">
        <f>D7/J7</f>
        <v>#DIV/0!</v>
      </c>
    </row>
    <row r="8" s="15" customFormat="1" ht="15.15" spans="1:29">
      <c r="A8" s="54" t="s">
        <v>1441</v>
      </c>
      <c r="B8" s="55"/>
      <c r="C8" s="61" t="s">
        <v>1442</v>
      </c>
      <c r="D8" s="57">
        <v>100</v>
      </c>
      <c r="E8" s="61"/>
      <c r="F8" s="59">
        <f>SUMIF(55:55,E8,56:56)-SUMIF(55:55,C8,56:56)+100</f>
        <v>0</v>
      </c>
      <c r="G8" s="61"/>
      <c r="H8" s="57">
        <f>SUMIF(55:55,G8,56:56)-SUMIF(55:55,C8,56:56)+100</f>
        <v>0</v>
      </c>
      <c r="I8" s="61"/>
      <c r="J8" s="57">
        <f>SUMIF(55:55,I8,56:56)-SUMIF(55:55,C8,56:56)+100</f>
        <v>0</v>
      </c>
      <c r="K8" s="209"/>
      <c r="L8" s="1536"/>
      <c r="M8" s="1537"/>
      <c r="N8" s="1537"/>
      <c r="O8" s="1537"/>
      <c r="P8" s="212" t="s">
        <v>1443</v>
      </c>
      <c r="Q8" s="269"/>
      <c r="R8" s="266" t="s">
        <v>1440</v>
      </c>
      <c r="S8" s="267">
        <f t="shared" si="0"/>
        <v>0</v>
      </c>
      <c r="T8" s="266" t="s">
        <v>1440</v>
      </c>
      <c r="U8" s="267">
        <f t="shared" si="1"/>
        <v>0</v>
      </c>
      <c r="V8" s="266" t="s">
        <v>1440</v>
      </c>
      <c r="W8" s="267">
        <f t="shared" si="2"/>
        <v>0</v>
      </c>
      <c r="X8" s="268"/>
      <c r="Y8" s="212" t="s">
        <v>1443</v>
      </c>
      <c r="Z8" s="269"/>
      <c r="AA8" s="285" t="e">
        <f t="shared" ref="AA8:AA40" si="3">D8/F8</f>
        <v>#DIV/0!</v>
      </c>
      <c r="AB8" s="285" t="e">
        <f t="shared" ref="AB8:AB40" si="4">D8/H8</f>
        <v>#DIV/0!</v>
      </c>
      <c r="AC8" s="285" t="e">
        <f t="shared" ref="AC8:AC40" si="5">D8/J8</f>
        <v>#DIV/0!</v>
      </c>
    </row>
    <row r="9" s="15" customFormat="1" ht="14.4" spans="1:29">
      <c r="A9" s="62" t="s">
        <v>1444</v>
      </c>
      <c r="B9" s="63" t="s">
        <v>1445</v>
      </c>
      <c r="C9" s="1406"/>
      <c r="D9" s="65">
        <v>100</v>
      </c>
      <c r="E9" s="1407"/>
      <c r="F9" s="65">
        <f>SUMIF(57:57,E9,58:58)-SUMIF(57:57,C9,58:58)+100</f>
        <v>100</v>
      </c>
      <c r="G9" s="1476"/>
      <c r="H9" s="65">
        <f>SUMIF(57:57,G9,58:58)-SUMIF(57:57,C9,58:58)+100</f>
        <v>100</v>
      </c>
      <c r="I9" s="1476"/>
      <c r="J9" s="65">
        <f>SUMIF(57:57,I9,58:58)-SUMIF(57:57,C9,58:58)+100</f>
        <v>100</v>
      </c>
      <c r="K9" s="209"/>
      <c r="L9" s="1536"/>
      <c r="M9" s="1537"/>
      <c r="N9" s="1537"/>
      <c r="O9" s="1538"/>
      <c r="P9" s="169" t="s">
        <v>1446</v>
      </c>
      <c r="Q9" s="270" t="str">
        <f t="shared" ref="Q9:Q15" si="6">B9</f>
        <v>用途</v>
      </c>
      <c r="R9" s="266" t="s">
        <v>1440</v>
      </c>
      <c r="S9" s="267">
        <f t="shared" si="0"/>
        <v>100</v>
      </c>
      <c r="T9" s="266" t="s">
        <v>1440</v>
      </c>
      <c r="U9" s="267">
        <f t="shared" si="1"/>
        <v>100</v>
      </c>
      <c r="V9" s="266" t="s">
        <v>1440</v>
      </c>
      <c r="W9" s="267">
        <f t="shared" si="2"/>
        <v>100</v>
      </c>
      <c r="X9" s="268"/>
      <c r="Y9" s="270" t="s">
        <v>1447</v>
      </c>
      <c r="Z9" s="286" t="str">
        <f t="shared" ref="Z9:Z15" si="7">Q9</f>
        <v>用途</v>
      </c>
      <c r="AA9" s="285">
        <f t="shared" si="3"/>
        <v>1</v>
      </c>
      <c r="AB9" s="285">
        <f t="shared" si="4"/>
        <v>1</v>
      </c>
      <c r="AC9" s="285">
        <f t="shared" si="5"/>
        <v>1</v>
      </c>
    </row>
    <row r="10" s="16" customFormat="1" ht="28.8" spans="1:29">
      <c r="A10" s="66"/>
      <c r="B10" s="67" t="s">
        <v>1448</v>
      </c>
      <c r="C10" s="1409"/>
      <c r="D10" s="69">
        <v>100</v>
      </c>
      <c r="E10" s="1409"/>
      <c r="F10" s="69">
        <f>SUMIF(59:59,E10,60:60)-SUMIF(59:59,C10,60:60)+100</f>
        <v>100</v>
      </c>
      <c r="G10" s="1479"/>
      <c r="H10" s="69">
        <f>SUMIF(59:59,G10,60:60)-SUMIF(59:59,C10,60:60)+100</f>
        <v>100</v>
      </c>
      <c r="I10" s="1409"/>
      <c r="J10" s="69">
        <f>SUMIF(59:59,I10,60:60)-SUMIF(59:59,C10,60:60)+100</f>
        <v>100</v>
      </c>
      <c r="K10" s="228"/>
      <c r="L10" s="1539"/>
      <c r="M10" s="1540"/>
      <c r="N10" s="1540"/>
      <c r="O10" s="1541"/>
      <c r="P10" s="169"/>
      <c r="Q10" s="270" t="str">
        <f t="shared" si="6"/>
        <v>土地使用年限（年）</v>
      </c>
      <c r="R10" s="266" t="s">
        <v>1440</v>
      </c>
      <c r="S10" s="267">
        <f t="shared" si="0"/>
        <v>100</v>
      </c>
      <c r="T10" s="266" t="s">
        <v>1440</v>
      </c>
      <c r="U10" s="267">
        <f t="shared" si="1"/>
        <v>100</v>
      </c>
      <c r="V10" s="266" t="s">
        <v>1440</v>
      </c>
      <c r="W10" s="267">
        <f t="shared" si="2"/>
        <v>100</v>
      </c>
      <c r="X10" s="268"/>
      <c r="Y10" s="270"/>
      <c r="Z10" s="286" t="str">
        <f t="shared" si="7"/>
        <v>土地使用年限（年）</v>
      </c>
      <c r="AA10" s="285">
        <f t="shared" si="3"/>
        <v>1</v>
      </c>
      <c r="AB10" s="285">
        <f t="shared" si="4"/>
        <v>1</v>
      </c>
      <c r="AC10" s="285">
        <f t="shared" si="5"/>
        <v>1</v>
      </c>
    </row>
    <row r="11" ht="15" spans="1:29">
      <c r="A11" s="70"/>
      <c r="B11" s="67" t="s">
        <v>1449</v>
      </c>
      <c r="C11" s="71"/>
      <c r="D11" s="69">
        <v>100</v>
      </c>
      <c r="E11" s="71"/>
      <c r="F11" s="69" t="e">
        <f>LOOKUP(E11,62:62,63:63)-LOOKUP(C11,62:62,63:63)+100</f>
        <v>#N/A</v>
      </c>
      <c r="G11" s="72"/>
      <c r="H11" s="69" t="e">
        <f>LOOKUP(G11,62:62,63:63)-LOOKUP(C11,62:62,63:63)+100</f>
        <v>#N/A</v>
      </c>
      <c r="I11" s="71"/>
      <c r="J11" s="69" t="e">
        <f>LOOKUP(I11,62:62,63:63)-LOOKUP(C11,62:62,63:63)+100</f>
        <v>#N/A</v>
      </c>
      <c r="K11" s="228"/>
      <c r="L11" s="1542"/>
      <c r="M11" s="1535"/>
      <c r="N11" s="1535"/>
      <c r="O11" s="1543"/>
      <c r="P11" s="169"/>
      <c r="Q11" s="270" t="str">
        <f t="shared" si="6"/>
        <v>容积率</v>
      </c>
      <c r="R11" s="266" t="s">
        <v>1440</v>
      </c>
      <c r="S11" s="267" t="e">
        <f t="shared" si="0"/>
        <v>#N/A</v>
      </c>
      <c r="T11" s="266" t="s">
        <v>1440</v>
      </c>
      <c r="U11" s="267" t="e">
        <f t="shared" si="1"/>
        <v>#N/A</v>
      </c>
      <c r="V11" s="266" t="s">
        <v>1440</v>
      </c>
      <c r="W11" s="267" t="e">
        <f t="shared" si="2"/>
        <v>#N/A</v>
      </c>
      <c r="X11" s="268"/>
      <c r="Y11" s="270"/>
      <c r="Z11" s="286" t="str">
        <f t="shared" si="7"/>
        <v>容积率</v>
      </c>
      <c r="AA11" s="285" t="e">
        <f t="shared" si="3"/>
        <v>#N/A</v>
      </c>
      <c r="AB11" s="285" t="e">
        <f t="shared" si="4"/>
        <v>#N/A</v>
      </c>
      <c r="AC11" s="285" t="e">
        <f t="shared" si="5"/>
        <v>#N/A</v>
      </c>
    </row>
    <row r="12" s="15" customFormat="1" ht="15" spans="1:29">
      <c r="A12" s="73"/>
      <c r="B12" s="74">
        <v>111</v>
      </c>
      <c r="C12" s="68"/>
      <c r="D12" s="75">
        <v>100</v>
      </c>
      <c r="E12" s="78"/>
      <c r="F12" s="69">
        <f>SUMIF(64:64,E12,65:65)-SUMIF(64:64,C12,65:65)+100</f>
        <v>100</v>
      </c>
      <c r="G12" s="1529"/>
      <c r="H12" s="69">
        <f>SUMIF(64:64,G12,65:65)-SUMIF(64:64,C12,65:65)+100</f>
        <v>100</v>
      </c>
      <c r="I12" s="1411"/>
      <c r="J12" s="69">
        <f>SUMIF(64:64,I12,65:65)-SUMIF(64:64,C12,65:65)+100</f>
        <v>100</v>
      </c>
      <c r="K12" s="227"/>
      <c r="L12" s="1536"/>
      <c r="M12" s="1537"/>
      <c r="N12" s="1537"/>
      <c r="O12" s="1538"/>
      <c r="P12" s="169"/>
      <c r="Q12" s="270">
        <f t="shared" si="6"/>
        <v>111</v>
      </c>
      <c r="R12" s="266" t="s">
        <v>1440</v>
      </c>
      <c r="S12" s="267">
        <f t="shared" si="0"/>
        <v>100</v>
      </c>
      <c r="T12" s="266" t="s">
        <v>1440</v>
      </c>
      <c r="U12" s="267">
        <f t="shared" si="1"/>
        <v>100</v>
      </c>
      <c r="V12" s="266" t="s">
        <v>1440</v>
      </c>
      <c r="W12" s="267">
        <f t="shared" si="2"/>
        <v>100</v>
      </c>
      <c r="X12" s="268"/>
      <c r="Y12" s="270"/>
      <c r="Z12" s="286">
        <f t="shared" si="7"/>
        <v>111</v>
      </c>
      <c r="AA12" s="285">
        <f t="shared" si="3"/>
        <v>1</v>
      </c>
      <c r="AB12" s="285">
        <f t="shared" si="4"/>
        <v>1</v>
      </c>
      <c r="AC12" s="285">
        <f t="shared" si="5"/>
        <v>1</v>
      </c>
    </row>
    <row r="13" ht="15" spans="1:29">
      <c r="A13" s="70"/>
      <c r="B13" s="74">
        <v>111</v>
      </c>
      <c r="C13" s="78"/>
      <c r="D13" s="79">
        <v>100</v>
      </c>
      <c r="E13" s="78"/>
      <c r="F13" s="69">
        <f>SUMIF(66:66,E13,67:67)-SUMIF(66:66,C13,67:67)+100</f>
        <v>100</v>
      </c>
      <c r="G13" s="1529"/>
      <c r="H13" s="79">
        <f>SUMIF(66:66,G13,67:67)-SUMIF(66:66,C13,67:67)+100</f>
        <v>100</v>
      </c>
      <c r="I13" s="1411"/>
      <c r="J13" s="79">
        <f>SUMIF(66:66,I13,67:67)-SUMIF(66:66,C13,67:67)+100</f>
        <v>100</v>
      </c>
      <c r="K13" s="227"/>
      <c r="L13" s="1544"/>
      <c r="M13" s="1535"/>
      <c r="N13" s="1535"/>
      <c r="O13" s="1543"/>
      <c r="P13" s="169"/>
      <c r="Q13" s="270">
        <f t="shared" si="6"/>
        <v>111</v>
      </c>
      <c r="R13" s="266" t="s">
        <v>1440</v>
      </c>
      <c r="S13" s="267">
        <f t="shared" si="0"/>
        <v>100</v>
      </c>
      <c r="T13" s="266" t="s">
        <v>1440</v>
      </c>
      <c r="U13" s="267">
        <f t="shared" si="1"/>
        <v>100</v>
      </c>
      <c r="V13" s="266" t="s">
        <v>1440</v>
      </c>
      <c r="W13" s="267">
        <f t="shared" si="2"/>
        <v>100</v>
      </c>
      <c r="X13" s="268"/>
      <c r="Y13" s="270"/>
      <c r="Z13" s="286">
        <f t="shared" si="7"/>
        <v>111</v>
      </c>
      <c r="AA13" s="285">
        <f t="shared" si="3"/>
        <v>1</v>
      </c>
      <c r="AB13" s="285">
        <f t="shared" si="4"/>
        <v>1</v>
      </c>
      <c r="AC13" s="285">
        <f t="shared" si="5"/>
        <v>1</v>
      </c>
    </row>
    <row r="14" ht="15.75" spans="1:29">
      <c r="A14" s="80"/>
      <c r="B14" s="81">
        <v>111</v>
      </c>
      <c r="C14" s="82"/>
      <c r="D14" s="83">
        <v>100</v>
      </c>
      <c r="E14" s="82"/>
      <c r="F14" s="83">
        <f>SUMIF(68:68,E14,69:69)-SUMIF(68:68,C14,69:69)+100</f>
        <v>100</v>
      </c>
      <c r="G14" s="1529"/>
      <c r="H14" s="83">
        <f>SUMIF(68:68,G14,69:69)-SUMIF(68:68,C14,69:69)+100</f>
        <v>100</v>
      </c>
      <c r="I14" s="1411"/>
      <c r="J14" s="83">
        <f>SUMIF(68:68,I14,69:69)-SUMIF(68:68,C14,69:69)+100</f>
        <v>100</v>
      </c>
      <c r="K14" s="227"/>
      <c r="L14" s="1544"/>
      <c r="M14" s="1535"/>
      <c r="N14" s="1535"/>
      <c r="O14" s="1543"/>
      <c r="P14" s="169"/>
      <c r="Q14" s="270">
        <f t="shared" si="6"/>
        <v>111</v>
      </c>
      <c r="R14" s="266" t="s">
        <v>1440</v>
      </c>
      <c r="S14" s="267">
        <f t="shared" si="0"/>
        <v>100</v>
      </c>
      <c r="T14" s="266" t="s">
        <v>1440</v>
      </c>
      <c r="U14" s="267">
        <f t="shared" si="1"/>
        <v>100</v>
      </c>
      <c r="V14" s="266" t="s">
        <v>1440</v>
      </c>
      <c r="W14" s="267">
        <f t="shared" si="2"/>
        <v>100</v>
      </c>
      <c r="X14" s="268"/>
      <c r="Y14" s="270"/>
      <c r="Z14" s="286">
        <f t="shared" si="7"/>
        <v>111</v>
      </c>
      <c r="AA14" s="285">
        <f t="shared" si="3"/>
        <v>1</v>
      </c>
      <c r="AB14" s="285">
        <f t="shared" si="4"/>
        <v>1</v>
      </c>
      <c r="AC14" s="285">
        <f t="shared" si="5"/>
        <v>1</v>
      </c>
    </row>
    <row r="15" ht="72" spans="1:29">
      <c r="A15" s="84" t="s">
        <v>1450</v>
      </c>
      <c r="B15" s="1359" t="s">
        <v>1540</v>
      </c>
      <c r="C15" s="86" t="str">
        <f>估价对象房地状况!G3</f>
        <v>估价对象位于XX开发区，园区建设成熟度XX，产业集聚程度XX</v>
      </c>
      <c r="D15" s="87">
        <v>100</v>
      </c>
      <c r="E15" s="88"/>
      <c r="F15" s="1413">
        <f>SUMIF(70:70,E16,71:71)-SUMIF(70:70,C16,71:71)+100</f>
        <v>100</v>
      </c>
      <c r="G15" s="222"/>
      <c r="H15" s="87">
        <f>SUMIF(70:70,G16,71:71)-SUMIF(70:70,C16,71:71)+100</f>
        <v>100</v>
      </c>
      <c r="I15" s="88"/>
      <c r="J15" s="87">
        <f>SUMIF(70:70,I16,71:71)-SUMIF(70:70,C16,71:71)+100</f>
        <v>100</v>
      </c>
      <c r="K15" s="1452"/>
      <c r="L15" s="1544"/>
      <c r="M15" s="1535"/>
      <c r="N15" s="1535"/>
      <c r="O15" s="1543"/>
      <c r="P15" s="223" t="s">
        <v>1452</v>
      </c>
      <c r="Q15" s="169" t="str">
        <f t="shared" si="6"/>
        <v>产业集聚程度</v>
      </c>
      <c r="R15" s="271" t="s">
        <v>1440</v>
      </c>
      <c r="S15" s="272">
        <f t="shared" si="0"/>
        <v>100</v>
      </c>
      <c r="T15" s="271" t="s">
        <v>1440</v>
      </c>
      <c r="U15" s="272">
        <f t="shared" si="1"/>
        <v>100</v>
      </c>
      <c r="V15" s="271" t="s">
        <v>1440</v>
      </c>
      <c r="W15" s="272">
        <f t="shared" si="2"/>
        <v>100</v>
      </c>
      <c r="X15" s="258"/>
      <c r="Y15" s="223" t="s">
        <v>1452</v>
      </c>
      <c r="Z15" s="244" t="str">
        <f t="shared" si="7"/>
        <v>产业集聚程度</v>
      </c>
      <c r="AA15" s="287">
        <f t="shared" si="3"/>
        <v>1</v>
      </c>
      <c r="AB15" s="287">
        <f t="shared" si="4"/>
        <v>1</v>
      </c>
      <c r="AC15" s="287">
        <f t="shared" si="5"/>
        <v>1</v>
      </c>
    </row>
    <row r="16" ht="15" spans="1:29">
      <c r="A16" s="70"/>
      <c r="B16" s="1361"/>
      <c r="C16" s="90"/>
      <c r="D16" s="91"/>
      <c r="E16" s="90"/>
      <c r="F16" s="1414"/>
      <c r="G16" s="90"/>
      <c r="H16" s="93"/>
      <c r="I16" s="90"/>
      <c r="J16" s="91"/>
      <c r="K16" s="1453"/>
      <c r="L16" s="1544"/>
      <c r="M16" s="1535"/>
      <c r="N16" s="1535"/>
      <c r="O16" s="1543"/>
      <c r="P16" s="224"/>
      <c r="Q16" s="169"/>
      <c r="R16" s="271"/>
      <c r="S16" s="272"/>
      <c r="T16" s="271"/>
      <c r="U16" s="272"/>
      <c r="V16" s="271"/>
      <c r="W16" s="272"/>
      <c r="X16" s="258"/>
      <c r="Y16" s="224"/>
      <c r="Z16" s="244"/>
      <c r="AA16" s="287">
        <v>1</v>
      </c>
      <c r="AB16" s="287">
        <v>1</v>
      </c>
      <c r="AC16" s="287">
        <v>1</v>
      </c>
    </row>
    <row r="17" ht="100.8" spans="1:29">
      <c r="A17" s="70"/>
      <c r="B17" s="1362" t="s">
        <v>1453</v>
      </c>
      <c r="C17" s="95" t="str">
        <f>估价对象房地状况!G4</f>
        <v>估价对象周边道路状况、公共交通通达情况、停车便捷程度，综合评价交通便捷度较好</v>
      </c>
      <c r="D17" s="93">
        <v>100</v>
      </c>
      <c r="E17" s="96"/>
      <c r="F17" s="1416">
        <f>SUMIF(72:72,E18,73:73)-SUMIF(72:72,C18,73:73)+100</f>
        <v>100</v>
      </c>
      <c r="G17" s="225"/>
      <c r="H17" s="97">
        <f>SUMIF(72:72,G18,73:73)-SUMIF(72:72,C18,73:73)+100</f>
        <v>100</v>
      </c>
      <c r="I17" s="96"/>
      <c r="J17" s="97">
        <f>SUMIF(72:72,I18,73:73)-SUMIF(72:72,C18,73:73)+100</f>
        <v>100</v>
      </c>
      <c r="K17" s="1452"/>
      <c r="L17" s="1544"/>
      <c r="M17" s="1535"/>
      <c r="N17" s="1535"/>
      <c r="O17" s="1543"/>
      <c r="P17" s="224"/>
      <c r="Q17" s="169" t="str">
        <f>B17</f>
        <v>交通便捷度</v>
      </c>
      <c r="R17" s="271" t="s">
        <v>1440</v>
      </c>
      <c r="S17" s="272">
        <f>F17</f>
        <v>100</v>
      </c>
      <c r="T17" s="271" t="s">
        <v>1440</v>
      </c>
      <c r="U17" s="272">
        <f>H17</f>
        <v>100</v>
      </c>
      <c r="V17" s="271" t="s">
        <v>1440</v>
      </c>
      <c r="W17" s="272">
        <f>J17</f>
        <v>100</v>
      </c>
      <c r="X17" s="258"/>
      <c r="Y17" s="224"/>
      <c r="Z17" s="244" t="str">
        <f>Q17</f>
        <v>交通便捷度</v>
      </c>
      <c r="AA17" s="287">
        <f t="shared" si="3"/>
        <v>1</v>
      </c>
      <c r="AB17" s="287">
        <f t="shared" si="4"/>
        <v>1</v>
      </c>
      <c r="AC17" s="287">
        <f t="shared" si="5"/>
        <v>1</v>
      </c>
    </row>
    <row r="18" ht="15" spans="1:29">
      <c r="A18" s="70"/>
      <c r="B18" s="118"/>
      <c r="C18" s="1363"/>
      <c r="D18" s="93"/>
      <c r="E18" s="1364"/>
      <c r="F18" s="1416"/>
      <c r="G18" s="1373"/>
      <c r="H18" s="91"/>
      <c r="I18" s="1364"/>
      <c r="J18" s="91"/>
      <c r="K18" s="1453"/>
      <c r="L18" s="1544"/>
      <c r="M18" s="1535"/>
      <c r="N18" s="1535"/>
      <c r="O18" s="1543"/>
      <c r="P18" s="224"/>
      <c r="Q18" s="169"/>
      <c r="R18" s="271"/>
      <c r="S18" s="272"/>
      <c r="T18" s="271"/>
      <c r="U18" s="272"/>
      <c r="V18" s="271"/>
      <c r="W18" s="272"/>
      <c r="X18" s="258"/>
      <c r="Y18" s="224"/>
      <c r="Z18" s="244"/>
      <c r="AA18" s="287">
        <v>1</v>
      </c>
      <c r="AB18" s="287">
        <v>1</v>
      </c>
      <c r="AC18" s="287">
        <v>1</v>
      </c>
    </row>
    <row r="19" ht="43.2" spans="1:29">
      <c r="A19" s="70"/>
      <c r="B19" s="1362" t="s">
        <v>1454</v>
      </c>
      <c r="C19" s="95" t="str">
        <f>估价对象房地状况!G5</f>
        <v>估价对象所在区域公共配套设施齐备情况</v>
      </c>
      <c r="D19" s="97">
        <v>100</v>
      </c>
      <c r="E19" s="1365"/>
      <c r="F19" s="1415">
        <f>SUMIF(74:74,E20,75:75)-SUMIF(74:74,C20,75:75)+100</f>
        <v>100</v>
      </c>
      <c r="G19" s="1374"/>
      <c r="H19" s="93">
        <f>SUMIF(74:74,G20,75:75)-SUMIF(74:74,C20,75:75)+100</f>
        <v>100</v>
      </c>
      <c r="I19" s="1365"/>
      <c r="J19" s="93">
        <f>SUMIF(74:74,I20,75:75)-SUMIF(74:74,C20,75:75)+100</f>
        <v>100</v>
      </c>
      <c r="K19" s="1452"/>
      <c r="L19" s="1544"/>
      <c r="M19" s="1535"/>
      <c r="N19" s="1535"/>
      <c r="O19" s="1543"/>
      <c r="P19" s="224"/>
      <c r="Q19" s="169" t="str">
        <f>B19</f>
        <v>公共配套设施</v>
      </c>
      <c r="R19" s="271" t="s">
        <v>1440</v>
      </c>
      <c r="S19" s="272">
        <f>F19</f>
        <v>100</v>
      </c>
      <c r="T19" s="271" t="s">
        <v>1440</v>
      </c>
      <c r="U19" s="272">
        <f>H19</f>
        <v>100</v>
      </c>
      <c r="V19" s="271" t="s">
        <v>1440</v>
      </c>
      <c r="W19" s="272">
        <f>J19</f>
        <v>100</v>
      </c>
      <c r="X19" s="258"/>
      <c r="Y19" s="224"/>
      <c r="Z19" s="244" t="str">
        <f>Q19</f>
        <v>公共配套设施</v>
      </c>
      <c r="AA19" s="287">
        <f t="shared" si="3"/>
        <v>1</v>
      </c>
      <c r="AB19" s="287">
        <f t="shared" si="4"/>
        <v>1</v>
      </c>
      <c r="AC19" s="287">
        <f t="shared" si="5"/>
        <v>1</v>
      </c>
    </row>
    <row r="20" ht="15" spans="1:29">
      <c r="A20" s="70"/>
      <c r="B20" s="118"/>
      <c r="C20" s="90"/>
      <c r="D20" s="91"/>
      <c r="E20" s="99"/>
      <c r="F20" s="1414"/>
      <c r="G20" s="1367"/>
      <c r="H20" s="91"/>
      <c r="I20" s="99"/>
      <c r="J20" s="91"/>
      <c r="K20" s="1453"/>
      <c r="L20" s="1544"/>
      <c r="M20" s="1535"/>
      <c r="N20" s="1535"/>
      <c r="O20" s="1543"/>
      <c r="P20" s="224"/>
      <c r="Q20" s="169"/>
      <c r="R20" s="271"/>
      <c r="S20" s="272"/>
      <c r="T20" s="271"/>
      <c r="U20" s="272"/>
      <c r="V20" s="271"/>
      <c r="W20" s="272"/>
      <c r="X20" s="258"/>
      <c r="Y20" s="224"/>
      <c r="Z20" s="244"/>
      <c r="AA20" s="287">
        <v>1</v>
      </c>
      <c r="AB20" s="287">
        <v>1</v>
      </c>
      <c r="AC20" s="287">
        <v>1</v>
      </c>
    </row>
    <row r="21" ht="43.2" spans="1:29">
      <c r="A21" s="70"/>
      <c r="B21" s="1366" t="s">
        <v>1455</v>
      </c>
      <c r="C21" s="95" t="str">
        <f>估价对象房地状况!G6</f>
        <v>估价对象所在区域基础设施水平</v>
      </c>
      <c r="D21" s="93">
        <v>100</v>
      </c>
      <c r="E21" s="1365"/>
      <c r="F21" s="1415">
        <f>SUMIF(76:76,E22,77:77)-SUMIF(76:76,C22,77:77)+100</f>
        <v>100</v>
      </c>
      <c r="G21" s="1374"/>
      <c r="H21" s="93">
        <f>SUMIF(76:76,G22,77:77)-SUMIF(76:76,C22,77:77)+100</f>
        <v>100</v>
      </c>
      <c r="I21" s="1365"/>
      <c r="J21" s="93">
        <f>SUMIF(76:76,I22,77:77)-SUMIF(76:76,C22,77:77)+100</f>
        <v>100</v>
      </c>
      <c r="K21" s="1452"/>
      <c r="L21" s="1544"/>
      <c r="M21" s="1535"/>
      <c r="N21" s="1535"/>
      <c r="O21" s="1543"/>
      <c r="P21" s="224"/>
      <c r="Q21" s="169" t="str">
        <f>B21</f>
        <v>基础设施水平</v>
      </c>
      <c r="R21" s="271" t="s">
        <v>1440</v>
      </c>
      <c r="S21" s="272">
        <f>F21</f>
        <v>100</v>
      </c>
      <c r="T21" s="271" t="s">
        <v>1440</v>
      </c>
      <c r="U21" s="272">
        <f>H21</f>
        <v>100</v>
      </c>
      <c r="V21" s="271" t="s">
        <v>1440</v>
      </c>
      <c r="W21" s="272">
        <f>J21</f>
        <v>100</v>
      </c>
      <c r="X21" s="258"/>
      <c r="Y21" s="224"/>
      <c r="Z21" s="244" t="str">
        <f>Q21</f>
        <v>基础设施水平</v>
      </c>
      <c r="AA21" s="287">
        <f t="shared" ref="AA21" si="8">D21/F21</f>
        <v>1</v>
      </c>
      <c r="AB21" s="287">
        <f t="shared" ref="AB21" si="9">D21/H21</f>
        <v>1</v>
      </c>
      <c r="AC21" s="287">
        <f t="shared" ref="AC21" si="10">D21/J21</f>
        <v>1</v>
      </c>
    </row>
    <row r="22" ht="15" spans="1:29">
      <c r="A22" s="70"/>
      <c r="B22" s="1366"/>
      <c r="C22" s="1363"/>
      <c r="D22" s="91"/>
      <c r="E22" s="90"/>
      <c r="F22" s="1414"/>
      <c r="G22" s="90"/>
      <c r="H22" s="91"/>
      <c r="I22" s="90"/>
      <c r="J22" s="91"/>
      <c r="K22" s="1454"/>
      <c r="L22" s="1544"/>
      <c r="M22" s="1535"/>
      <c r="N22" s="1535"/>
      <c r="O22" s="1543"/>
      <c r="P22" s="224"/>
      <c r="Q22" s="169"/>
      <c r="R22" s="271"/>
      <c r="S22" s="272"/>
      <c r="T22" s="271"/>
      <c r="U22" s="272"/>
      <c r="V22" s="271"/>
      <c r="W22" s="272"/>
      <c r="X22" s="258"/>
      <c r="Y22" s="224"/>
      <c r="Z22" s="244"/>
      <c r="AA22" s="287">
        <v>1</v>
      </c>
      <c r="AB22" s="287">
        <v>1</v>
      </c>
      <c r="AC22" s="287">
        <v>1</v>
      </c>
    </row>
    <row r="23" ht="86.4" spans="1:29">
      <c r="A23" s="70"/>
      <c r="B23" s="1362" t="s">
        <v>1534</v>
      </c>
      <c r="C23" s="95" t="str">
        <f>估价对象房地状况!G7</f>
        <v>该园区内是否有污染型企业，绿化情况，卫生条件，整体环境状况判断</v>
      </c>
      <c r="D23" s="93">
        <v>100</v>
      </c>
      <c r="E23" s="96"/>
      <c r="F23" s="1416">
        <f>SUMIF(78:78,E24,79:79)-SUMIF(78:78,C24,79:79)+100</f>
        <v>100</v>
      </c>
      <c r="G23" s="225"/>
      <c r="H23" s="93">
        <f>SUMIF(78:78,G24,79:79)-SUMIF(78:78,C24,79:79)+100</f>
        <v>100</v>
      </c>
      <c r="I23" s="96"/>
      <c r="J23" s="93">
        <f>SUMIF(78:78,I24,79:79)-SUMIF(78:78,C24,79:79)+100</f>
        <v>100</v>
      </c>
      <c r="K23" s="1452"/>
      <c r="L23" s="1544"/>
      <c r="M23" s="1535"/>
      <c r="N23" s="1535"/>
      <c r="O23" s="1543"/>
      <c r="P23" s="224"/>
      <c r="Q23" s="169" t="str">
        <f>B23</f>
        <v>环境质量</v>
      </c>
      <c r="R23" s="271" t="s">
        <v>1440</v>
      </c>
      <c r="S23" s="272">
        <f>F23</f>
        <v>100</v>
      </c>
      <c r="T23" s="271" t="s">
        <v>1440</v>
      </c>
      <c r="U23" s="272">
        <f>H23</f>
        <v>100</v>
      </c>
      <c r="V23" s="271" t="s">
        <v>1440</v>
      </c>
      <c r="W23" s="272">
        <f>J23</f>
        <v>100</v>
      </c>
      <c r="X23" s="258"/>
      <c r="Y23" s="224"/>
      <c r="Z23" s="244" t="str">
        <f>Q23</f>
        <v>环境质量</v>
      </c>
      <c r="AA23" s="287">
        <f t="shared" si="3"/>
        <v>1</v>
      </c>
      <c r="AB23" s="287">
        <f t="shared" si="4"/>
        <v>1</v>
      </c>
      <c r="AC23" s="287">
        <f t="shared" si="5"/>
        <v>1</v>
      </c>
    </row>
    <row r="24" ht="15" spans="1:29">
      <c r="A24" s="70"/>
      <c r="B24" s="1366"/>
      <c r="C24" s="90"/>
      <c r="D24" s="91"/>
      <c r="E24" s="99"/>
      <c r="F24" s="1414"/>
      <c r="G24" s="1367"/>
      <c r="H24" s="91"/>
      <c r="I24" s="99"/>
      <c r="J24" s="91"/>
      <c r="K24" s="1453"/>
      <c r="L24" s="1544"/>
      <c r="M24" s="1535"/>
      <c r="N24" s="1535"/>
      <c r="O24" s="1543"/>
      <c r="P24" s="224"/>
      <c r="Q24" s="169"/>
      <c r="R24" s="271"/>
      <c r="S24" s="272"/>
      <c r="T24" s="271"/>
      <c r="U24" s="272"/>
      <c r="V24" s="271"/>
      <c r="W24" s="272"/>
      <c r="X24" s="258"/>
      <c r="Y24" s="224"/>
      <c r="Z24" s="244"/>
      <c r="AA24" s="287">
        <v>1</v>
      </c>
      <c r="AB24" s="287">
        <v>1</v>
      </c>
      <c r="AC24" s="287">
        <v>1</v>
      </c>
    </row>
    <row r="25" ht="15" spans="1:29">
      <c r="A25" s="42"/>
      <c r="B25" s="1368">
        <v>111</v>
      </c>
      <c r="C25" s="78">
        <v>111</v>
      </c>
      <c r="D25" s="79">
        <v>100</v>
      </c>
      <c r="E25" s="78"/>
      <c r="F25" s="1417">
        <f>SUMIF(80:80,E25,81:81)-SUMIF(80:80,C25,81:81)+100</f>
        <v>100</v>
      </c>
      <c r="G25" s="78"/>
      <c r="H25" s="79">
        <f>SUMIF(80:80,G25,81:81)-SUMIF(80:80,C25,81:81)+100</f>
        <v>100</v>
      </c>
      <c r="I25" s="78"/>
      <c r="J25" s="79">
        <f>SUMIF(80:80,I25,81:81)-SUMIF(80:80,C25,81:81)+100</f>
        <v>100</v>
      </c>
      <c r="K25" s="227"/>
      <c r="L25" s="1544"/>
      <c r="M25" s="1535"/>
      <c r="N25" s="1535"/>
      <c r="O25" s="1543"/>
      <c r="P25" s="224"/>
      <c r="Q25" s="169">
        <f>B25</f>
        <v>111</v>
      </c>
      <c r="R25" s="271" t="s">
        <v>1440</v>
      </c>
      <c r="S25" s="272">
        <f>F25</f>
        <v>100</v>
      </c>
      <c r="T25" s="271" t="s">
        <v>1440</v>
      </c>
      <c r="U25" s="272">
        <f>H25</f>
        <v>100</v>
      </c>
      <c r="V25" s="271" t="s">
        <v>1440</v>
      </c>
      <c r="W25" s="272">
        <f>J25</f>
        <v>100</v>
      </c>
      <c r="X25" s="258"/>
      <c r="Y25" s="224"/>
      <c r="Z25" s="244">
        <f>Q25</f>
        <v>111</v>
      </c>
      <c r="AA25" s="287">
        <f t="shared" si="3"/>
        <v>1</v>
      </c>
      <c r="AB25" s="287">
        <f t="shared" si="4"/>
        <v>1</v>
      </c>
      <c r="AC25" s="287">
        <f t="shared" si="5"/>
        <v>1</v>
      </c>
    </row>
    <row r="26" ht="15" spans="1:29">
      <c r="A26" s="70"/>
      <c r="B26" s="1368">
        <v>111</v>
      </c>
      <c r="C26" s="78">
        <v>111</v>
      </c>
      <c r="D26" s="79">
        <v>100</v>
      </c>
      <c r="E26" s="78"/>
      <c r="F26" s="1417">
        <f>SUMIF(82:82,E26,83:83)-SUMIF(82:82,C26,83:83)+100</f>
        <v>100</v>
      </c>
      <c r="G26" s="78"/>
      <c r="H26" s="79">
        <f>SUMIF(82:82,G26,83:83)-SUMIF(82:82,C26,83:83)+100</f>
        <v>100</v>
      </c>
      <c r="I26" s="78"/>
      <c r="J26" s="79">
        <f>SUMIF(82:82,I26,83:83)-SUMIF(82:82,C26,83:83)+100</f>
        <v>100</v>
      </c>
      <c r="K26" s="227"/>
      <c r="L26" s="1544"/>
      <c r="M26" s="1535"/>
      <c r="N26" s="1535"/>
      <c r="O26" s="1543"/>
      <c r="P26" s="224"/>
      <c r="Q26" s="169">
        <f t="shared" ref="Q26:Q40" si="11">B26</f>
        <v>111</v>
      </c>
      <c r="R26" s="271" t="s">
        <v>1440</v>
      </c>
      <c r="S26" s="272">
        <f>F26</f>
        <v>100</v>
      </c>
      <c r="T26" s="271" t="s">
        <v>1440</v>
      </c>
      <c r="U26" s="272">
        <f>H26</f>
        <v>100</v>
      </c>
      <c r="V26" s="271" t="s">
        <v>1440</v>
      </c>
      <c r="W26" s="272">
        <f>J26</f>
        <v>100</v>
      </c>
      <c r="X26" s="258"/>
      <c r="Y26" s="224"/>
      <c r="Z26" s="244">
        <f>Q26</f>
        <v>111</v>
      </c>
      <c r="AA26" s="287">
        <f t="shared" si="3"/>
        <v>1</v>
      </c>
      <c r="AB26" s="287">
        <f t="shared" si="4"/>
        <v>1</v>
      </c>
      <c r="AC26" s="287">
        <f t="shared" si="5"/>
        <v>1</v>
      </c>
    </row>
    <row r="27" s="15" customFormat="1" ht="15" spans="1:29">
      <c r="A27" s="73"/>
      <c r="B27" s="1368">
        <v>111</v>
      </c>
      <c r="C27" s="78">
        <v>111</v>
      </c>
      <c r="D27" s="1530">
        <v>100</v>
      </c>
      <c r="E27" s="78"/>
      <c r="F27" s="1531">
        <f>SUMIF(84:84,E27,85:85)-SUMIF(84:84,C27,85:85)+100</f>
        <v>100</v>
      </c>
      <c r="G27" s="78"/>
      <c r="H27" s="1530">
        <f>SUMIF(84:84,G27,85:85)-SUMIF(84:84,C27,85:85)+100</f>
        <v>100</v>
      </c>
      <c r="I27" s="78"/>
      <c r="J27" s="1530">
        <f>SUMIF(84:84,I27,85:85)-SUMIF(84:84,C27,85:85)+100</f>
        <v>100</v>
      </c>
      <c r="K27" s="227"/>
      <c r="L27" s="1536"/>
      <c r="M27" s="1537"/>
      <c r="N27" s="1537"/>
      <c r="O27" s="1538"/>
      <c r="P27" s="224"/>
      <c r="Q27" s="270">
        <f t="shared" si="11"/>
        <v>111</v>
      </c>
      <c r="R27" s="266" t="s">
        <v>1440</v>
      </c>
      <c r="S27" s="267">
        <f>F27</f>
        <v>100</v>
      </c>
      <c r="T27" s="266" t="s">
        <v>1440</v>
      </c>
      <c r="U27" s="267">
        <f>H27</f>
        <v>100</v>
      </c>
      <c r="V27" s="266" t="s">
        <v>1440</v>
      </c>
      <c r="W27" s="267">
        <f>J27</f>
        <v>100</v>
      </c>
      <c r="X27" s="268"/>
      <c r="Y27" s="224"/>
      <c r="Z27" s="286">
        <f>Q27</f>
        <v>111</v>
      </c>
      <c r="AA27" s="287">
        <f t="shared" si="3"/>
        <v>1</v>
      </c>
      <c r="AB27" s="287">
        <f t="shared" si="4"/>
        <v>1</v>
      </c>
      <c r="AC27" s="287">
        <f t="shared" si="5"/>
        <v>1</v>
      </c>
    </row>
    <row r="28" ht="15.75" spans="1:29">
      <c r="A28" s="80"/>
      <c r="B28" s="1368">
        <v>111</v>
      </c>
      <c r="C28" s="82">
        <v>111</v>
      </c>
      <c r="D28" s="83">
        <v>100</v>
      </c>
      <c r="E28" s="78"/>
      <c r="F28" s="1430">
        <f>SUMIF(86:86,E28,87:87)-SUMIF(86:86,C28,87:87)+100</f>
        <v>100</v>
      </c>
      <c r="G28" s="1411"/>
      <c r="H28" s="83">
        <f>SUMIF(86:86,G28,87:87)-SUMIF(86:86,C28,87:87)+100</f>
        <v>100</v>
      </c>
      <c r="I28" s="1411"/>
      <c r="J28" s="83">
        <f>SUMIF(86:86,I28,87:87)-SUMIF(86:86,C28,87:87)+100</f>
        <v>100</v>
      </c>
      <c r="K28" s="227"/>
      <c r="L28" s="1544"/>
      <c r="M28" s="1535"/>
      <c r="N28" s="1535"/>
      <c r="O28" s="1543"/>
      <c r="P28" s="224"/>
      <c r="Q28" s="169">
        <f t="shared" si="11"/>
        <v>111</v>
      </c>
      <c r="R28" s="271" t="s">
        <v>1440</v>
      </c>
      <c r="S28" s="272">
        <f t="shared" ref="S28:S40" si="12">F28</f>
        <v>100</v>
      </c>
      <c r="T28" s="271" t="s">
        <v>1440</v>
      </c>
      <c r="U28" s="272">
        <f t="shared" ref="U28:U40" si="13">H28</f>
        <v>100</v>
      </c>
      <c r="V28" s="271" t="s">
        <v>1440</v>
      </c>
      <c r="W28" s="272">
        <f t="shared" ref="W28:W40" si="14">J28</f>
        <v>100</v>
      </c>
      <c r="X28" s="258"/>
      <c r="Y28" s="224"/>
      <c r="Z28" s="244">
        <f t="shared" ref="Z28:Z40" si="15">Q28</f>
        <v>111</v>
      </c>
      <c r="AA28" s="287">
        <f t="shared" si="3"/>
        <v>1</v>
      </c>
      <c r="AB28" s="287">
        <f t="shared" si="4"/>
        <v>1</v>
      </c>
      <c r="AC28" s="287">
        <f t="shared" si="5"/>
        <v>1</v>
      </c>
    </row>
    <row r="29" ht="30.6" spans="1:29">
      <c r="A29" s="1421" t="s">
        <v>1459</v>
      </c>
      <c r="B29" s="63" t="s">
        <v>1460</v>
      </c>
      <c r="C29" s="1422"/>
      <c r="D29" s="120">
        <v>100</v>
      </c>
      <c r="E29" s="1422"/>
      <c r="F29" s="1417">
        <f>SUMIF(88:88,E29,89:89)-SUMIF(88:88,C29,89:89)+100</f>
        <v>100</v>
      </c>
      <c r="G29" s="1422"/>
      <c r="H29" s="79">
        <f>SUMIF(88:88,G29,89:89)-SUMIF(88:88,C29,89:89)+100</f>
        <v>100</v>
      </c>
      <c r="I29" s="1422"/>
      <c r="J29" s="120">
        <f>SUMIF(88:88,I29,89:89)-SUMIF(88:88,C29,89:89)+100</f>
        <v>100</v>
      </c>
      <c r="K29" s="228"/>
      <c r="L29" s="1544"/>
      <c r="M29" s="1535"/>
      <c r="N29" s="1535"/>
      <c r="O29" s="1543"/>
      <c r="P29" s="229" t="s">
        <v>1461</v>
      </c>
      <c r="Q29" s="169" t="str">
        <f t="shared" si="11"/>
        <v>建筑类型</v>
      </c>
      <c r="R29" s="271" t="s">
        <v>1440</v>
      </c>
      <c r="S29" s="272">
        <f t="shared" si="12"/>
        <v>100</v>
      </c>
      <c r="T29" s="271" t="s">
        <v>1440</v>
      </c>
      <c r="U29" s="272">
        <f t="shared" si="13"/>
        <v>100</v>
      </c>
      <c r="V29" s="271" t="s">
        <v>1440</v>
      </c>
      <c r="W29" s="272">
        <f t="shared" si="14"/>
        <v>100</v>
      </c>
      <c r="X29" s="258"/>
      <c r="Y29" s="232" t="s">
        <v>1461</v>
      </c>
      <c r="Z29" s="244" t="str">
        <f t="shared" si="15"/>
        <v>建筑类型</v>
      </c>
      <c r="AA29" s="287">
        <f t="shared" si="3"/>
        <v>1</v>
      </c>
      <c r="AB29" s="287">
        <f t="shared" si="4"/>
        <v>1</v>
      </c>
      <c r="AC29" s="287">
        <f t="shared" si="5"/>
        <v>1</v>
      </c>
    </row>
    <row r="30" s="17" customFormat="1" ht="15" spans="1:29">
      <c r="A30" s="126"/>
      <c r="B30" s="67" t="s">
        <v>1462</v>
      </c>
      <c r="C30" s="1411"/>
      <c r="D30" s="69">
        <v>100</v>
      </c>
      <c r="E30" s="72"/>
      <c r="F30" s="1410" t="e">
        <f>LOOKUP(E30,91:91,92:92)-LOOKUP(C30,91:91,92:92)+100</f>
        <v>#N/A</v>
      </c>
      <c r="G30" s="71"/>
      <c r="H30" s="69" t="e">
        <f>LOOKUP(G30,91:91,92:92)-LOOKUP(C30,91:91,92:92)+100</f>
        <v>#N/A</v>
      </c>
      <c r="I30" s="71"/>
      <c r="J30" s="69" t="e">
        <f>LOOKUP(I30,91:91,92:92)-LOOKUP(C30,91:91,92:92)+100</f>
        <v>#N/A</v>
      </c>
      <c r="K30" s="227"/>
      <c r="L30" s="1542"/>
      <c r="M30" s="1545"/>
      <c r="N30" s="1545"/>
      <c r="O30" s="1546"/>
      <c r="P30" s="232"/>
      <c r="Q30" s="1456" t="str">
        <f t="shared" si="11"/>
        <v>项目建筑规模</v>
      </c>
      <c r="R30" s="273" t="s">
        <v>1440</v>
      </c>
      <c r="S30" s="274" t="e">
        <f t="shared" si="12"/>
        <v>#N/A</v>
      </c>
      <c r="T30" s="273" t="s">
        <v>1440</v>
      </c>
      <c r="U30" s="274" t="e">
        <f t="shared" si="13"/>
        <v>#N/A</v>
      </c>
      <c r="V30" s="273" t="s">
        <v>1440</v>
      </c>
      <c r="W30" s="274" t="e">
        <f t="shared" si="14"/>
        <v>#N/A</v>
      </c>
      <c r="X30" s="275"/>
      <c r="Y30" s="232"/>
      <c r="Z30" s="288" t="str">
        <f t="shared" si="15"/>
        <v>项目建筑规模</v>
      </c>
      <c r="AA30" s="287" t="e">
        <f t="shared" si="3"/>
        <v>#N/A</v>
      </c>
      <c r="AB30" s="287" t="e">
        <f t="shared" si="4"/>
        <v>#N/A</v>
      </c>
      <c r="AC30" s="287" t="e">
        <f t="shared" si="5"/>
        <v>#N/A</v>
      </c>
    </row>
    <row r="31" ht="15" spans="1:29">
      <c r="A31" s="121"/>
      <c r="B31" s="67" t="s">
        <v>1463</v>
      </c>
      <c r="C31" s="1427"/>
      <c r="D31" s="79">
        <v>100</v>
      </c>
      <c r="E31" s="1427"/>
      <c r="F31" s="1417">
        <f>SUMIF(93:93,E31,94:94)-SUMIF(93:93,C31,94:94)+100</f>
        <v>100</v>
      </c>
      <c r="G31" s="1427"/>
      <c r="H31" s="79">
        <f>SUMIF(93:93,G31,94:94)-SUMIF(93:93,C31,94:94)+100</f>
        <v>100</v>
      </c>
      <c r="I31" s="1427"/>
      <c r="J31" s="79">
        <f>SUMIF(93:93,I31,94:94)-SUMIF(93:93,C31,94:94)+100</f>
        <v>100</v>
      </c>
      <c r="K31" s="228"/>
      <c r="L31" s="1544"/>
      <c r="M31" s="1535"/>
      <c r="N31" s="1535"/>
      <c r="O31" s="1543"/>
      <c r="P31" s="232"/>
      <c r="Q31" s="169" t="str">
        <f t="shared" si="11"/>
        <v>建筑结构</v>
      </c>
      <c r="R31" s="271" t="s">
        <v>1440</v>
      </c>
      <c r="S31" s="272">
        <f t="shared" si="12"/>
        <v>100</v>
      </c>
      <c r="T31" s="271" t="s">
        <v>1440</v>
      </c>
      <c r="U31" s="272">
        <f t="shared" si="13"/>
        <v>100</v>
      </c>
      <c r="V31" s="271" t="s">
        <v>1440</v>
      </c>
      <c r="W31" s="272">
        <f t="shared" si="14"/>
        <v>100</v>
      </c>
      <c r="X31" s="258"/>
      <c r="Y31" s="232"/>
      <c r="Z31" s="244" t="str">
        <f t="shared" si="15"/>
        <v>建筑结构</v>
      </c>
      <c r="AA31" s="287">
        <f t="shared" si="3"/>
        <v>1</v>
      </c>
      <c r="AB31" s="287">
        <f t="shared" si="4"/>
        <v>1</v>
      </c>
      <c r="AC31" s="287">
        <f t="shared" si="5"/>
        <v>1</v>
      </c>
    </row>
    <row r="32" ht="15" spans="1:29">
      <c r="A32" s="121"/>
      <c r="B32" s="67" t="s">
        <v>1465</v>
      </c>
      <c r="C32" s="1427"/>
      <c r="D32" s="79">
        <v>100</v>
      </c>
      <c r="E32" s="1427"/>
      <c r="F32" s="1417">
        <f>SUMIF(95:95,E32,96:96)-SUMIF(95:95,C32,96:96)+100</f>
        <v>100</v>
      </c>
      <c r="G32" s="1427"/>
      <c r="H32" s="79">
        <f>SUMIF(95:95,G32,96:96)-SUMIF(95:95,C32,96:96)+100</f>
        <v>100</v>
      </c>
      <c r="I32" s="1427"/>
      <c r="J32" s="79">
        <f>SUMIF(95:95,I32,96:96)-SUMIF(95:95,C32,96:96)+100</f>
        <v>100</v>
      </c>
      <c r="K32" s="228"/>
      <c r="L32" s="1544"/>
      <c r="M32" s="1535"/>
      <c r="N32" s="1535"/>
      <c r="O32" s="1543"/>
      <c r="P32" s="232"/>
      <c r="Q32" s="169" t="str">
        <f t="shared" si="11"/>
        <v>公共部分装修</v>
      </c>
      <c r="R32" s="271" t="s">
        <v>1440</v>
      </c>
      <c r="S32" s="272">
        <f t="shared" si="12"/>
        <v>100</v>
      </c>
      <c r="T32" s="271" t="s">
        <v>1440</v>
      </c>
      <c r="U32" s="272">
        <f t="shared" si="13"/>
        <v>100</v>
      </c>
      <c r="V32" s="271" t="s">
        <v>1440</v>
      </c>
      <c r="W32" s="272">
        <f t="shared" si="14"/>
        <v>100</v>
      </c>
      <c r="X32" s="258"/>
      <c r="Y32" s="232"/>
      <c r="Z32" s="244" t="str">
        <f t="shared" si="15"/>
        <v>公共部分装修</v>
      </c>
      <c r="AA32" s="287">
        <f t="shared" si="3"/>
        <v>1</v>
      </c>
      <c r="AB32" s="287">
        <f t="shared" si="4"/>
        <v>1</v>
      </c>
      <c r="AC32" s="287">
        <f t="shared" si="5"/>
        <v>1</v>
      </c>
    </row>
    <row r="33" ht="15" spans="1:29">
      <c r="A33" s="121"/>
      <c r="B33" s="67" t="s">
        <v>565</v>
      </c>
      <c r="C33" s="1411"/>
      <c r="D33" s="79">
        <v>100</v>
      </c>
      <c r="E33" s="1424"/>
      <c r="F33" s="1417" t="e">
        <f>LOOKUP(E33,98:98,99:99)-LOOKUP(C33,98:98,99:99)+100</f>
        <v>#N/A</v>
      </c>
      <c r="G33" s="1424"/>
      <c r="H33" s="1417" t="e">
        <f>LOOKUP(G33,98:98,99:99)-LOOKUP(C33,98:98,99:99)+100</f>
        <v>#N/A</v>
      </c>
      <c r="I33" s="1424"/>
      <c r="J33" s="79" t="e">
        <f>LOOKUP(I33,98:98,99:99)-LOOKUP(C33,98:98,99:99)+100</f>
        <v>#N/A</v>
      </c>
      <c r="K33" s="228"/>
      <c r="L33" s="1544"/>
      <c r="M33" s="1535"/>
      <c r="N33" s="1535"/>
      <c r="O33" s="1543"/>
      <c r="P33" s="232"/>
      <c r="Q33" s="169" t="str">
        <f t="shared" si="11"/>
        <v>成新度</v>
      </c>
      <c r="R33" s="271" t="s">
        <v>1440</v>
      </c>
      <c r="S33" s="272" t="e">
        <f t="shared" si="12"/>
        <v>#N/A</v>
      </c>
      <c r="T33" s="271" t="s">
        <v>1440</v>
      </c>
      <c r="U33" s="272" t="e">
        <f t="shared" si="13"/>
        <v>#N/A</v>
      </c>
      <c r="V33" s="271" t="s">
        <v>1440</v>
      </c>
      <c r="W33" s="272" t="e">
        <f t="shared" si="14"/>
        <v>#N/A</v>
      </c>
      <c r="X33" s="258"/>
      <c r="Y33" s="232"/>
      <c r="Z33" s="244" t="str">
        <f t="shared" si="15"/>
        <v>成新度</v>
      </c>
      <c r="AA33" s="287" t="e">
        <f t="shared" si="3"/>
        <v>#N/A</v>
      </c>
      <c r="AB33" s="287" t="e">
        <f t="shared" si="4"/>
        <v>#N/A</v>
      </c>
      <c r="AC33" s="287" t="e">
        <f t="shared" si="5"/>
        <v>#N/A</v>
      </c>
    </row>
    <row r="34" s="15" customFormat="1" ht="15" spans="1:29">
      <c r="A34" s="123"/>
      <c r="B34" s="67" t="s">
        <v>1466</v>
      </c>
      <c r="C34" s="1427"/>
      <c r="D34" s="69">
        <v>100</v>
      </c>
      <c r="E34" s="1427"/>
      <c r="F34" s="1417">
        <f>SUMIF(100:100,E34,101:101)-SUMIF(100:100,C34,101:101)+100</f>
        <v>100</v>
      </c>
      <c r="G34" s="1427"/>
      <c r="H34" s="79">
        <f>SUMIF(100:100,G34,101:101)-SUMIF(100:100,C34,101:101)+100</f>
        <v>100</v>
      </c>
      <c r="I34" s="1427"/>
      <c r="J34" s="79">
        <f>SUMIF(100:100,I34,101:101)-SUMIF(100:100,C34,101:101)+100</f>
        <v>100</v>
      </c>
      <c r="K34" s="228"/>
      <c r="L34" s="1536"/>
      <c r="M34" s="1537"/>
      <c r="N34" s="1537"/>
      <c r="O34" s="1538"/>
      <c r="P34" s="232"/>
      <c r="Q34" s="270" t="str">
        <f t="shared" si="11"/>
        <v>物业管理</v>
      </c>
      <c r="R34" s="266" t="s">
        <v>1440</v>
      </c>
      <c r="S34" s="267">
        <f t="shared" si="12"/>
        <v>100</v>
      </c>
      <c r="T34" s="266" t="s">
        <v>1440</v>
      </c>
      <c r="U34" s="267">
        <f t="shared" si="13"/>
        <v>100</v>
      </c>
      <c r="V34" s="266" t="s">
        <v>1440</v>
      </c>
      <c r="W34" s="267">
        <f t="shared" si="14"/>
        <v>100</v>
      </c>
      <c r="X34" s="268"/>
      <c r="Y34" s="232"/>
      <c r="Z34" s="286" t="str">
        <f t="shared" si="15"/>
        <v>物业管理</v>
      </c>
      <c r="AA34" s="285">
        <f t="shared" si="3"/>
        <v>1</v>
      </c>
      <c r="AB34" s="285">
        <f t="shared" si="4"/>
        <v>1</v>
      </c>
      <c r="AC34" s="285">
        <f t="shared" si="5"/>
        <v>1</v>
      </c>
    </row>
    <row r="35" ht="15" spans="1:29">
      <c r="A35" s="121"/>
      <c r="B35" s="67" t="s">
        <v>1467</v>
      </c>
      <c r="C35" s="1427"/>
      <c r="D35" s="79">
        <v>100</v>
      </c>
      <c r="E35" s="1427"/>
      <c r="F35" s="1417">
        <f>SUMIF(102:102,E35,103:103)-SUMIF(102:102,C35,103:103)+100</f>
        <v>100</v>
      </c>
      <c r="G35" s="1427"/>
      <c r="H35" s="79">
        <f>SUMIF(102:102,G35,103:103)-SUMIF(102:102,C35,103:103)+100</f>
        <v>100</v>
      </c>
      <c r="I35" s="1427"/>
      <c r="J35" s="79">
        <f>SUMIF(102:102,I35,103:103)-SUMIF(102:102,C35,103:103)+100</f>
        <v>100</v>
      </c>
      <c r="K35" s="228"/>
      <c r="L35" s="1544"/>
      <c r="M35" s="1535"/>
      <c r="N35" s="1535"/>
      <c r="O35" s="1543"/>
      <c r="P35" s="232" t="s">
        <v>1461</v>
      </c>
      <c r="Q35" s="169" t="str">
        <f t="shared" si="11"/>
        <v>市政基础设施</v>
      </c>
      <c r="R35" s="271" t="s">
        <v>1440</v>
      </c>
      <c r="S35" s="272">
        <f t="shared" si="12"/>
        <v>100</v>
      </c>
      <c r="T35" s="271" t="s">
        <v>1440</v>
      </c>
      <c r="U35" s="272">
        <f t="shared" si="13"/>
        <v>100</v>
      </c>
      <c r="V35" s="271" t="s">
        <v>1440</v>
      </c>
      <c r="W35" s="272">
        <f t="shared" si="14"/>
        <v>100</v>
      </c>
      <c r="X35" s="258"/>
      <c r="Y35" s="232" t="s">
        <v>1461</v>
      </c>
      <c r="Z35" s="244" t="str">
        <f t="shared" si="15"/>
        <v>市政基础设施</v>
      </c>
      <c r="AA35" s="287">
        <f t="shared" si="3"/>
        <v>1</v>
      </c>
      <c r="AB35" s="287">
        <f t="shared" si="4"/>
        <v>1</v>
      </c>
      <c r="AC35" s="287">
        <f t="shared" si="5"/>
        <v>1</v>
      </c>
    </row>
    <row r="36" ht="15" spans="1:29">
      <c r="A36" s="121"/>
      <c r="B36" s="67" t="s">
        <v>1470</v>
      </c>
      <c r="C36" s="1427"/>
      <c r="D36" s="79">
        <v>100</v>
      </c>
      <c r="E36" s="1427"/>
      <c r="F36" s="1417">
        <f>SUMIF(104:104,E36,105:105)-SUMIF(104:104,C36,105:105)+100</f>
        <v>100</v>
      </c>
      <c r="G36" s="1427"/>
      <c r="H36" s="79">
        <f>SUMIF(104:104,G36,105:105)-SUMIF(104:104,C36,105:105)+100</f>
        <v>100</v>
      </c>
      <c r="I36" s="1427"/>
      <c r="J36" s="79">
        <f>SUMIF(104:104,I36,105:105)-SUMIF(104:104,C36,105:105)+100</f>
        <v>100</v>
      </c>
      <c r="K36" s="228"/>
      <c r="L36" s="1544"/>
      <c r="M36" s="1535"/>
      <c r="N36" s="1535"/>
      <c r="O36" s="1543"/>
      <c r="P36" s="232"/>
      <c r="Q36" s="169" t="str">
        <f t="shared" si="11"/>
        <v>内部装修</v>
      </c>
      <c r="R36" s="271" t="s">
        <v>1440</v>
      </c>
      <c r="S36" s="272">
        <f t="shared" si="12"/>
        <v>100</v>
      </c>
      <c r="T36" s="271" t="s">
        <v>1440</v>
      </c>
      <c r="U36" s="272">
        <f t="shared" si="13"/>
        <v>100</v>
      </c>
      <c r="V36" s="271" t="s">
        <v>1440</v>
      </c>
      <c r="W36" s="272">
        <f t="shared" si="14"/>
        <v>100</v>
      </c>
      <c r="X36" s="258"/>
      <c r="Y36" s="232"/>
      <c r="Z36" s="244" t="str">
        <f t="shared" si="15"/>
        <v>内部装修</v>
      </c>
      <c r="AA36" s="287">
        <f t="shared" si="3"/>
        <v>1</v>
      </c>
      <c r="AB36" s="287">
        <f t="shared" si="4"/>
        <v>1</v>
      </c>
      <c r="AC36" s="287">
        <f t="shared" si="5"/>
        <v>1</v>
      </c>
    </row>
    <row r="37" ht="15" spans="1:29">
      <c r="A37" s="121"/>
      <c r="B37" s="67" t="s">
        <v>1541</v>
      </c>
      <c r="C37" s="104"/>
      <c r="D37" s="79">
        <v>100</v>
      </c>
      <c r="E37" s="104"/>
      <c r="F37" s="1417">
        <f>SUMIF(106:106,E37,107:107)-SUMIF(106:106,C37,107:107)+100</f>
        <v>100</v>
      </c>
      <c r="G37" s="104"/>
      <c r="H37" s="79">
        <f>SUMIF(106:106,G37,107:107)-SUMIF(106:106,C37,107:107)+100</f>
        <v>100</v>
      </c>
      <c r="I37" s="104"/>
      <c r="J37" s="79">
        <f>SUMIF(106:106,I37,107:107)-SUMIF(106:106,C37,107:107)+100</f>
        <v>100</v>
      </c>
      <c r="K37" s="228"/>
      <c r="L37" s="1544"/>
      <c r="M37" s="1535"/>
      <c r="N37" s="1535"/>
      <c r="O37" s="1543"/>
      <c r="P37" s="232"/>
      <c r="Q37" s="169" t="str">
        <f t="shared" si="11"/>
        <v>内部装修状况</v>
      </c>
      <c r="R37" s="271" t="s">
        <v>1440</v>
      </c>
      <c r="S37" s="272">
        <f t="shared" si="12"/>
        <v>100</v>
      </c>
      <c r="T37" s="271" t="s">
        <v>1440</v>
      </c>
      <c r="U37" s="272">
        <f t="shared" si="13"/>
        <v>100</v>
      </c>
      <c r="V37" s="271" t="s">
        <v>1440</v>
      </c>
      <c r="W37" s="272">
        <f t="shared" si="14"/>
        <v>100</v>
      </c>
      <c r="X37" s="258"/>
      <c r="Y37" s="232"/>
      <c r="Z37" s="244" t="str">
        <f t="shared" si="15"/>
        <v>内部装修状况</v>
      </c>
      <c r="AA37" s="287">
        <f t="shared" si="3"/>
        <v>1</v>
      </c>
      <c r="AB37" s="287">
        <f t="shared" si="4"/>
        <v>1</v>
      </c>
      <c r="AC37" s="287">
        <f t="shared" si="5"/>
        <v>1</v>
      </c>
    </row>
    <row r="38" s="17" customFormat="1" ht="15" spans="1:29">
      <c r="A38" s="126"/>
      <c r="B38" s="1368">
        <v>111</v>
      </c>
      <c r="C38" s="1411"/>
      <c r="D38" s="79">
        <v>100</v>
      </c>
      <c r="E38" s="78"/>
      <c r="F38" s="1417">
        <f>SUMIF(108:108,E38,109:109)-SUMIF(108:108,C38,109:109)+100</f>
        <v>100</v>
      </c>
      <c r="G38" s="1411"/>
      <c r="H38" s="79">
        <f>SUMIF(108:108,G38,109:109)-SUMIF(108:108,C38,109:109)+100</f>
        <v>100</v>
      </c>
      <c r="I38" s="1411"/>
      <c r="J38" s="79">
        <f>SUMIF(108:108,I38,109:1038)-SUMIF(108:108,C38,109:109)+100</f>
        <v>100</v>
      </c>
      <c r="K38" s="227"/>
      <c r="L38" s="1542"/>
      <c r="M38" s="1545"/>
      <c r="N38" s="1545"/>
      <c r="O38" s="1546"/>
      <c r="P38" s="232"/>
      <c r="Q38" s="1456">
        <f t="shared" si="11"/>
        <v>111</v>
      </c>
      <c r="R38" s="273" t="s">
        <v>1440</v>
      </c>
      <c r="S38" s="274">
        <f t="shared" si="12"/>
        <v>100</v>
      </c>
      <c r="T38" s="273" t="s">
        <v>1440</v>
      </c>
      <c r="U38" s="274">
        <f t="shared" si="13"/>
        <v>100</v>
      </c>
      <c r="V38" s="273" t="s">
        <v>1440</v>
      </c>
      <c r="W38" s="274">
        <f t="shared" si="14"/>
        <v>100</v>
      </c>
      <c r="X38" s="275"/>
      <c r="Y38" s="232"/>
      <c r="Z38" s="288">
        <f t="shared" si="15"/>
        <v>111</v>
      </c>
      <c r="AA38" s="287">
        <f t="shared" si="3"/>
        <v>1</v>
      </c>
      <c r="AB38" s="287">
        <f t="shared" si="4"/>
        <v>1</v>
      </c>
      <c r="AC38" s="287">
        <f t="shared" si="5"/>
        <v>1</v>
      </c>
    </row>
    <row r="39" ht="15" spans="1:29">
      <c r="A39" s="121"/>
      <c r="B39" s="1368">
        <v>111</v>
      </c>
      <c r="C39" s="1411"/>
      <c r="D39" s="79">
        <v>100</v>
      </c>
      <c r="E39" s="78"/>
      <c r="F39" s="1417">
        <f>SUMIF(110:110,E39,111:111)-SUMIF(110:110,C39,111:111)+100</f>
        <v>100</v>
      </c>
      <c r="G39" s="1411"/>
      <c r="H39" s="79">
        <f>SUMIF(110:110,G39,111:111)-SUMIF(110:110,C39,111:111)+100</f>
        <v>100</v>
      </c>
      <c r="I39" s="1411"/>
      <c r="J39" s="79">
        <f>SUMIF(110:110,I39,111:111)-SUMIF(110:110,C39,111:111)+100</f>
        <v>100</v>
      </c>
      <c r="K39" s="227"/>
      <c r="L39" s="1544"/>
      <c r="M39" s="1535"/>
      <c r="N39" s="1535"/>
      <c r="O39" s="1543"/>
      <c r="P39" s="232"/>
      <c r="Q39" s="169">
        <f t="shared" si="11"/>
        <v>111</v>
      </c>
      <c r="R39" s="271" t="s">
        <v>1440</v>
      </c>
      <c r="S39" s="272">
        <f t="shared" si="12"/>
        <v>100</v>
      </c>
      <c r="T39" s="271" t="s">
        <v>1440</v>
      </c>
      <c r="U39" s="272">
        <f t="shared" si="13"/>
        <v>100</v>
      </c>
      <c r="V39" s="271" t="s">
        <v>1440</v>
      </c>
      <c r="W39" s="272">
        <f t="shared" si="14"/>
        <v>100</v>
      </c>
      <c r="X39" s="258"/>
      <c r="Y39" s="232"/>
      <c r="Z39" s="244">
        <f t="shared" si="15"/>
        <v>111</v>
      </c>
      <c r="AA39" s="287">
        <f t="shared" si="3"/>
        <v>1</v>
      </c>
      <c r="AB39" s="287">
        <f t="shared" si="4"/>
        <v>1</v>
      </c>
      <c r="AC39" s="287">
        <f t="shared" si="5"/>
        <v>1</v>
      </c>
    </row>
    <row r="40" ht="15.75" spans="1:29">
      <c r="A40" s="1429"/>
      <c r="B40" s="81">
        <v>111</v>
      </c>
      <c r="C40" s="82"/>
      <c r="D40" s="83">
        <v>100</v>
      </c>
      <c r="E40" s="78"/>
      <c r="F40" s="1430">
        <f>SUMIF(112:112,E40,113:113)-SUMIF(112:112,C40,113:113)+100</f>
        <v>100</v>
      </c>
      <c r="G40" s="1411"/>
      <c r="H40" s="83">
        <f>SUMIF(112:112,G40,113:113)-SUMIF(112:112,C40,113:113)+100</f>
        <v>100</v>
      </c>
      <c r="I40" s="1411"/>
      <c r="J40" s="83">
        <f>SUMIF(112:112,I40,113:113)-SUMIF(112:112,C40,113:113)+100</f>
        <v>100</v>
      </c>
      <c r="K40" s="227"/>
      <c r="L40" s="1544"/>
      <c r="M40" s="1535"/>
      <c r="N40" s="1535"/>
      <c r="O40" s="1543"/>
      <c r="P40" s="1547"/>
      <c r="Q40" s="169">
        <f t="shared" si="11"/>
        <v>111</v>
      </c>
      <c r="R40" s="271" t="s">
        <v>1440</v>
      </c>
      <c r="S40" s="272">
        <f t="shared" si="12"/>
        <v>100</v>
      </c>
      <c r="T40" s="271" t="s">
        <v>1440</v>
      </c>
      <c r="U40" s="272">
        <f t="shared" si="13"/>
        <v>100</v>
      </c>
      <c r="V40" s="271" t="s">
        <v>1440</v>
      </c>
      <c r="W40" s="272">
        <f t="shared" si="14"/>
        <v>100</v>
      </c>
      <c r="X40" s="258"/>
      <c r="Y40" s="1547"/>
      <c r="Z40" s="244">
        <f t="shared" si="15"/>
        <v>111</v>
      </c>
      <c r="AA40" s="287">
        <f t="shared" si="3"/>
        <v>1</v>
      </c>
      <c r="AB40" s="287">
        <f t="shared" si="4"/>
        <v>1</v>
      </c>
      <c r="AC40" s="287">
        <f t="shared" si="5"/>
        <v>1</v>
      </c>
    </row>
    <row r="41" ht="14.4" spans="1:29">
      <c r="A41" s="128" t="s">
        <v>1472</v>
      </c>
      <c r="B41" s="1431"/>
      <c r="C41" s="1432" t="s">
        <v>124</v>
      </c>
      <c r="D41" s="1433"/>
      <c r="E41" s="1434"/>
      <c r="F41" s="1435"/>
      <c r="G41" s="1436"/>
      <c r="H41" s="1437"/>
      <c r="I41" s="1434"/>
      <c r="J41" s="1437"/>
      <c r="K41" s="235"/>
      <c r="L41" s="1548"/>
      <c r="M41" s="188"/>
      <c r="N41" s="1535"/>
      <c r="O41" s="188"/>
      <c r="P41" s="169" t="str">
        <f>A41</f>
        <v>成交单价（元/平方米）</v>
      </c>
      <c r="Q41" s="169"/>
      <c r="R41" s="287">
        <f>E41</f>
        <v>0</v>
      </c>
      <c r="S41" s="287"/>
      <c r="T41" s="287">
        <f>G41</f>
        <v>0</v>
      </c>
      <c r="U41" s="287"/>
      <c r="V41" s="287">
        <f>I41</f>
        <v>0</v>
      </c>
      <c r="W41" s="287"/>
      <c r="X41" s="193"/>
      <c r="Y41" s="289"/>
      <c r="Z41" s="193"/>
      <c r="AA41" s="193"/>
      <c r="AB41" s="193"/>
      <c r="AC41" s="193"/>
    </row>
    <row r="42" ht="15.15" spans="1:29">
      <c r="A42" s="136" t="s">
        <v>1473</v>
      </c>
      <c r="B42" s="1438"/>
      <c r="C42" s="1439" t="e">
        <f>R43</f>
        <v>#DIV/0!</v>
      </c>
      <c r="D42" s="139" t="s">
        <v>1474</v>
      </c>
      <c r="E42" s="1440" t="e">
        <f>R42</f>
        <v>#DIV/0!</v>
      </c>
      <c r="F42" s="140"/>
      <c r="G42" s="1439" t="e">
        <f>T42</f>
        <v>#DIV/0!</v>
      </c>
      <c r="H42" s="140"/>
      <c r="I42" s="1440" t="e">
        <f>V42</f>
        <v>#DIV/0!</v>
      </c>
      <c r="J42" s="140"/>
      <c r="K42" s="237">
        <f>F42+H42+J42</f>
        <v>0</v>
      </c>
      <c r="L42" s="1548"/>
      <c r="M42" s="188"/>
      <c r="N42" s="1535"/>
      <c r="O42" s="188"/>
      <c r="P42" s="169" t="str">
        <f>A42</f>
        <v>比较价值（元/平方米）</v>
      </c>
      <c r="Q42" s="169"/>
      <c r="R42" s="287" t="e">
        <f>IF(F1="售价",ROUND(PRODUCT(R41,AA7:AA40),0),ROUND(PRODUCT(R41,AA7:AA40),1))</f>
        <v>#DIV/0!</v>
      </c>
      <c r="S42" s="287"/>
      <c r="T42" s="287" t="e">
        <f>IF(F1="售价",ROUND(PRODUCT(T41,AB7:AB40),0),ROUND(PRODUCT(T41,AB7:AB40),1))</f>
        <v>#DIV/0!</v>
      </c>
      <c r="U42" s="287"/>
      <c r="V42" s="287" t="e">
        <f>IF(F1="售价",ROUND(PRODUCT(V41,AC7:AC40),0),ROUND(PRODUCT(V41,AC7:AC40),1))</f>
        <v>#DIV/0!</v>
      </c>
      <c r="W42" s="287"/>
      <c r="X42" s="193"/>
      <c r="Y42" s="193"/>
      <c r="Z42" s="193"/>
      <c r="AA42" s="193"/>
      <c r="AB42" s="193"/>
      <c r="AC42" s="193"/>
    </row>
    <row r="43" ht="15.15" spans="1:29">
      <c r="A43" s="142" t="s">
        <v>1475</v>
      </c>
      <c r="B43" s="143"/>
      <c r="C43" s="1441" t="e">
        <f>R43</f>
        <v>#DIV/0!</v>
      </c>
      <c r="D43" s="1441"/>
      <c r="E43" s="1441"/>
      <c r="F43" s="1441"/>
      <c r="G43" s="1441"/>
      <c r="H43" s="1441"/>
      <c r="I43" s="1441"/>
      <c r="J43" s="1441"/>
      <c r="K43" s="238"/>
      <c r="L43" s="1548"/>
      <c r="M43" s="188"/>
      <c r="N43" s="188"/>
      <c r="O43" s="188"/>
      <c r="P43" s="239" t="str">
        <f>A43</f>
        <v>估价对象XX用房的比较价值（楼面单价，元/平方米）</v>
      </c>
      <c r="Q43" s="277"/>
      <c r="R43" s="1563" t="e">
        <f>IF(F1="售价",ROUND(IF(D42="简单平均",AVERAGE(R42:V42),R42*F42+T42*H42+V42*J42),0),ROUND(IF(D42="简单平均",AVERAGE(R42:V42),R42*F42+T42*H42+V42*J42),1))</f>
        <v>#DIV/0!</v>
      </c>
      <c r="S43" s="1563"/>
      <c r="T43" s="1563"/>
      <c r="U43" s="1563"/>
      <c r="V43" s="1563"/>
      <c r="W43" s="1563"/>
      <c r="X43" s="193"/>
      <c r="Y43" s="193"/>
      <c r="Z43" s="193"/>
      <c r="AA43" s="193"/>
      <c r="AB43" s="193"/>
      <c r="AC43" s="193"/>
    </row>
    <row r="44" spans="1:15">
      <c r="A44" s="145"/>
      <c r="B44" s="145"/>
      <c r="C44" s="145"/>
      <c r="D44" s="145"/>
      <c r="E44" s="145"/>
      <c r="F44" s="145"/>
      <c r="G44" s="146"/>
      <c r="H44" s="145"/>
      <c r="I44" s="145"/>
      <c r="J44" s="145"/>
      <c r="K44" s="240"/>
      <c r="L44" s="250"/>
      <c r="M44" s="188"/>
      <c r="N44" s="188"/>
      <c r="O44" s="188"/>
    </row>
    <row r="45" spans="1:15">
      <c r="A45" s="145"/>
      <c r="B45" s="145"/>
      <c r="C45" s="145"/>
      <c r="D45" s="145"/>
      <c r="E45" s="145"/>
      <c r="F45" s="145"/>
      <c r="G45" s="145"/>
      <c r="H45" s="145"/>
      <c r="I45" s="145"/>
      <c r="J45" s="145"/>
      <c r="K45" s="240"/>
      <c r="L45" s="250"/>
      <c r="M45" s="188"/>
      <c r="N45" s="188"/>
      <c r="O45" s="188"/>
    </row>
    <row r="46" ht="13.5" customHeight="1" spans="1:15">
      <c r="A46" s="145"/>
      <c r="B46" s="145"/>
      <c r="C46" s="147" t="s">
        <v>1476</v>
      </c>
      <c r="D46" s="148"/>
      <c r="E46" s="149" t="e">
        <f>IF(E41&lt;E42,E42/E41-1,E41/E42-1)</f>
        <v>#DIV/0!</v>
      </c>
      <c r="F46" s="150" t="e">
        <f>IF(OR(E46&gt;=0.3,E46&lt;=-0.3),"超过30%","")</f>
        <v>#DIV/0!</v>
      </c>
      <c r="G46" s="149" t="e">
        <f>IF(G41&lt;G42,G42/G41-1,G41/G42-1)</f>
        <v>#DIV/0!</v>
      </c>
      <c r="H46" s="150" t="e">
        <f>IF(OR(G46&gt;=0.3,G46&lt;=-0.3),"超过30%","")</f>
        <v>#DIV/0!</v>
      </c>
      <c r="I46" s="149" t="e">
        <f>IF(I41&lt;I42,I42/I41-1,I41/I42-1)</f>
        <v>#DIV/0!</v>
      </c>
      <c r="J46" s="150" t="e">
        <f>IF(OR(I46&gt;=0.3,I46&lt;=-0.3),"超过30%","")</f>
        <v>#DIV/0!</v>
      </c>
      <c r="K46" s="240"/>
      <c r="L46" s="250"/>
      <c r="M46" s="188"/>
      <c r="N46" s="188"/>
      <c r="O46" s="188"/>
    </row>
    <row r="47" ht="13.5" customHeight="1" spans="1:15">
      <c r="A47" s="145"/>
      <c r="B47" s="145"/>
      <c r="C47" s="147" t="s">
        <v>1477</v>
      </c>
      <c r="D47" s="151"/>
      <c r="E47" s="149" t="e">
        <f>IF(E42&lt;G42,G42/E42-1,E42/G42-1)</f>
        <v>#DIV/0!</v>
      </c>
      <c r="F47" s="150" t="e">
        <f>IF(OR(E47&gt;=0.2,E47&lt;=-0.2),"超过20%","")</f>
        <v>#DIV/0!</v>
      </c>
      <c r="G47" s="149" t="e">
        <f>IF(G42&lt;I42,I42/G42-1,G42/I42-1)</f>
        <v>#DIV/0!</v>
      </c>
      <c r="H47" s="150" t="e">
        <f>IF(OR(G47&gt;=0.2,G47&lt;=-0.2),"超过20%","")</f>
        <v>#DIV/0!</v>
      </c>
      <c r="I47" s="149" t="e">
        <f>IF(I42&lt;E42,E42/I42-1,I42/E42-1)</f>
        <v>#DIV/0!</v>
      </c>
      <c r="J47" s="150" t="e">
        <f>IF(OR(I47&gt;=0.2,I47&lt;=-0.2),"超过20%","")</f>
        <v>#DIV/0!</v>
      </c>
      <c r="K47" s="240"/>
      <c r="L47" s="250"/>
      <c r="M47" s="188"/>
      <c r="N47" s="188"/>
      <c r="O47" s="188"/>
    </row>
    <row r="48" s="18" customFormat="1" ht="13.5" customHeight="1" spans="1:15">
      <c r="A48" s="152"/>
      <c r="B48" s="152"/>
      <c r="C48" s="147" t="s">
        <v>1478</v>
      </c>
      <c r="D48" s="151"/>
      <c r="E48" s="149" t="e">
        <f>IF(E41&lt;G41,G41/E41-1,E41/G41-1)</f>
        <v>#DIV/0!</v>
      </c>
      <c r="F48" s="150" t="e">
        <f>IF(OR(E48&gt;=0.3,E48&lt;=-0.3),"超过30%","")</f>
        <v>#DIV/0!</v>
      </c>
      <c r="G48" s="149" t="e">
        <f>IF(G41&lt;I41,I41/G41-1,G41/I41-1)</f>
        <v>#DIV/0!</v>
      </c>
      <c r="H48" s="150" t="e">
        <f>IF(OR(G48&gt;=0.3,G48&lt;=-0.3),"超过30%","")</f>
        <v>#DIV/0!</v>
      </c>
      <c r="I48" s="149" t="e">
        <f>IF(I41&lt;E41,E41/I41-1,I41/E41-1)</f>
        <v>#DIV/0!</v>
      </c>
      <c r="J48" s="150" t="e">
        <f>IF(OR(I48&gt;=0.3,I48&lt;=-0.3),"超过30%","")</f>
        <v>#DIV/0!</v>
      </c>
      <c r="K48" s="242"/>
      <c r="L48" s="1549"/>
      <c r="M48" s="1550"/>
      <c r="N48" s="1550"/>
      <c r="O48" s="1550"/>
    </row>
    <row r="49" s="18" customFormat="1" spans="1:15">
      <c r="A49" s="152"/>
      <c r="B49" s="153"/>
      <c r="C49" s="1442"/>
      <c r="D49" s="152"/>
      <c r="E49" s="152"/>
      <c r="F49" s="152"/>
      <c r="G49" s="152"/>
      <c r="H49" s="152"/>
      <c r="I49" s="152"/>
      <c r="J49" s="152"/>
      <c r="K49" s="242"/>
      <c r="L49" s="1549"/>
      <c r="M49" s="1550"/>
      <c r="N49" s="1550"/>
      <c r="O49" s="1550"/>
    </row>
    <row r="50" spans="1:15">
      <c r="A50" s="145"/>
      <c r="B50" s="153"/>
      <c r="C50" s="1442"/>
      <c r="D50" s="145"/>
      <c r="E50" s="145"/>
      <c r="F50" s="145"/>
      <c r="G50" s="145"/>
      <c r="H50" s="145"/>
      <c r="I50" s="145"/>
      <c r="J50" s="145"/>
      <c r="K50" s="240"/>
      <c r="L50" s="250"/>
      <c r="M50" s="188"/>
      <c r="N50" s="188"/>
      <c r="O50" s="188"/>
    </row>
    <row r="51" ht="21.15" spans="1:17">
      <c r="A51" s="192" t="s">
        <v>1479</v>
      </c>
      <c r="B51" s="193"/>
      <c r="C51" s="194"/>
      <c r="D51" s="194"/>
      <c r="E51" s="194"/>
      <c r="F51" s="195"/>
      <c r="G51" s="195"/>
      <c r="H51" s="194"/>
      <c r="I51" s="194"/>
      <c r="J51" s="194"/>
      <c r="K51" s="1386"/>
      <c r="L51" s="1387"/>
      <c r="M51" s="253"/>
      <c r="N51" s="253"/>
      <c r="O51" s="253"/>
      <c r="P51" s="1551"/>
      <c r="Q51" s="1553"/>
    </row>
    <row r="52" s="20" customFormat="1" ht="14.4" spans="1:16">
      <c r="A52" s="1443" t="s">
        <v>1438</v>
      </c>
      <c r="B52" s="1444"/>
      <c r="C52" s="1445" t="str">
        <f>YEAR(C7)&amp;"-"&amp;MONTH(C7)</f>
        <v>2022-8</v>
      </c>
      <c r="D52" s="1446">
        <f>EDATE(C52,-1)</f>
        <v>44743</v>
      </c>
      <c r="E52" s="1446">
        <f t="shared" ref="E52:O52" si="16">EDATE(D52,-1)</f>
        <v>44713</v>
      </c>
      <c r="F52" s="1446">
        <f t="shared" si="16"/>
        <v>44682</v>
      </c>
      <c r="G52" s="1446">
        <f t="shared" si="16"/>
        <v>44652</v>
      </c>
      <c r="H52" s="1446">
        <f t="shared" si="16"/>
        <v>44621</v>
      </c>
      <c r="I52" s="1446">
        <f t="shared" si="16"/>
        <v>44593</v>
      </c>
      <c r="J52" s="1446">
        <f t="shared" si="16"/>
        <v>44562</v>
      </c>
      <c r="K52" s="1446">
        <f t="shared" si="16"/>
        <v>44531</v>
      </c>
      <c r="L52" s="1446">
        <f t="shared" si="16"/>
        <v>44501</v>
      </c>
      <c r="M52" s="1446">
        <f t="shared" si="16"/>
        <v>44470</v>
      </c>
      <c r="N52" s="1446">
        <f t="shared" si="16"/>
        <v>44440</v>
      </c>
      <c r="O52" s="1446">
        <f t="shared" si="16"/>
        <v>44409</v>
      </c>
      <c r="P52" s="1552"/>
    </row>
    <row r="53" s="15" customFormat="1" spans="1:16">
      <c r="A53" s="1447"/>
      <c r="B53" s="302"/>
      <c r="C53" s="1448">
        <v>100</v>
      </c>
      <c r="D53" s="306"/>
      <c r="E53" s="306"/>
      <c r="F53" s="306"/>
      <c r="G53" s="306"/>
      <c r="H53" s="306"/>
      <c r="I53" s="306"/>
      <c r="J53" s="306"/>
      <c r="K53" s="306"/>
      <c r="L53" s="306"/>
      <c r="M53" s="1455"/>
      <c r="N53" s="306"/>
      <c r="O53" s="354"/>
      <c r="P53" s="1553"/>
    </row>
    <row r="54" s="15" customFormat="1" ht="15.15" spans="1:17">
      <c r="A54" s="297" t="s">
        <v>1480</v>
      </c>
      <c r="B54" s="298"/>
      <c r="C54" s="299"/>
      <c r="D54" s="300"/>
      <c r="E54" s="300"/>
      <c r="F54" s="300"/>
      <c r="G54" s="300"/>
      <c r="H54" s="300"/>
      <c r="I54" s="300"/>
      <c r="J54" s="300"/>
      <c r="K54" s="300"/>
      <c r="L54" s="300"/>
      <c r="M54" s="348"/>
      <c r="N54" s="1554"/>
      <c r="O54" s="1555"/>
      <c r="P54" s="1553"/>
      <c r="Q54" s="1553"/>
    </row>
    <row r="55" s="15" customFormat="1" ht="14.4" spans="1:17">
      <c r="A55" s="301" t="s">
        <v>1441</v>
      </c>
      <c r="B55" s="302"/>
      <c r="C55" s="303" t="s">
        <v>1442</v>
      </c>
      <c r="D55" s="304"/>
      <c r="E55" s="304"/>
      <c r="F55" s="304"/>
      <c r="G55" s="304"/>
      <c r="H55" s="304"/>
      <c r="I55" s="304"/>
      <c r="J55" s="304"/>
      <c r="K55" s="304"/>
      <c r="L55" s="350"/>
      <c r="M55" s="351"/>
      <c r="N55" s="1556"/>
      <c r="O55" s="1556"/>
      <c r="P55" s="1557"/>
      <c r="Q55" s="1553"/>
    </row>
    <row r="56" s="15" customFormat="1" ht="14.55" spans="1:17">
      <c r="A56" s="301"/>
      <c r="B56" s="302"/>
      <c r="C56" s="305">
        <v>100</v>
      </c>
      <c r="D56" s="306"/>
      <c r="E56" s="306"/>
      <c r="F56" s="306"/>
      <c r="G56" s="306"/>
      <c r="H56" s="306"/>
      <c r="I56" s="306"/>
      <c r="J56" s="306"/>
      <c r="K56" s="306"/>
      <c r="L56" s="306"/>
      <c r="M56" s="354"/>
      <c r="N56" s="1556"/>
      <c r="O56" s="1556"/>
      <c r="P56" s="1553"/>
      <c r="Q56" s="1553"/>
    </row>
    <row r="57" ht="14.4" spans="1:17">
      <c r="A57" s="307" t="s">
        <v>1481</v>
      </c>
      <c r="B57" s="308" t="s">
        <v>1445</v>
      </c>
      <c r="C57" s="330">
        <f>C9</f>
        <v>0</v>
      </c>
      <c r="D57" s="233"/>
      <c r="E57" s="233"/>
      <c r="F57" s="233"/>
      <c r="G57" s="233"/>
      <c r="H57" s="233"/>
      <c r="I57" s="233"/>
      <c r="J57" s="233"/>
      <c r="K57" s="355"/>
      <c r="L57" s="356"/>
      <c r="M57" s="357"/>
      <c r="N57" s="1558"/>
      <c r="O57" s="1558"/>
      <c r="P57" s="1559"/>
      <c r="Q57" s="1553"/>
    </row>
    <row r="58" ht="14.55" spans="1:17">
      <c r="A58" s="309"/>
      <c r="B58" s="310"/>
      <c r="C58" s="311">
        <v>100</v>
      </c>
      <c r="D58" s="311"/>
      <c r="E58" s="311"/>
      <c r="F58" s="311"/>
      <c r="G58" s="311"/>
      <c r="H58" s="311"/>
      <c r="I58" s="311"/>
      <c r="J58" s="311"/>
      <c r="K58" s="311"/>
      <c r="L58" s="311"/>
      <c r="M58" s="360"/>
      <c r="N58" s="1560"/>
      <c r="O58" s="1560"/>
      <c r="P58" s="1559"/>
      <c r="Q58" s="1553"/>
    </row>
    <row r="59" ht="29.55" spans="1:17">
      <c r="A59" s="309"/>
      <c r="B59" s="312" t="s">
        <v>1448</v>
      </c>
      <c r="C59" s="313" t="s">
        <v>1482</v>
      </c>
      <c r="D59" s="313" t="s">
        <v>1483</v>
      </c>
      <c r="E59" s="313" t="s">
        <v>1484</v>
      </c>
      <c r="F59" s="313" t="s">
        <v>1485</v>
      </c>
      <c r="G59" s="313" t="s">
        <v>1486</v>
      </c>
      <c r="H59" s="313" t="s">
        <v>1487</v>
      </c>
      <c r="I59" s="313" t="s">
        <v>1488</v>
      </c>
      <c r="J59" s="313"/>
      <c r="K59" s="362"/>
      <c r="L59" s="363"/>
      <c r="M59" s="364"/>
      <c r="N59" s="1558"/>
      <c r="O59" s="1558"/>
      <c r="P59" s="1559"/>
      <c r="Q59" s="1553"/>
    </row>
    <row r="60" ht="14.55" spans="1:17">
      <c r="A60" s="309"/>
      <c r="B60" s="314"/>
      <c r="C60" s="315" t="s">
        <v>1530</v>
      </c>
      <c r="D60" s="315" t="s">
        <v>1530</v>
      </c>
      <c r="E60" s="315">
        <v>100</v>
      </c>
      <c r="F60" s="315">
        <f>E60-$K10</f>
        <v>100</v>
      </c>
      <c r="G60" s="315">
        <f>F60-$K10</f>
        <v>100</v>
      </c>
      <c r="H60" s="315">
        <f>G60-$K10</f>
        <v>100</v>
      </c>
      <c r="I60" s="315">
        <f>H60-$K10</f>
        <v>100</v>
      </c>
      <c r="J60" s="315"/>
      <c r="K60" s="315"/>
      <c r="L60" s="315"/>
      <c r="M60" s="365"/>
      <c r="N60" s="1560"/>
      <c r="O60" s="1560"/>
      <c r="P60" s="1559"/>
      <c r="Q60" s="1553"/>
    </row>
    <row r="61" ht="15.15" spans="1:17">
      <c r="A61" s="309"/>
      <c r="B61" s="316" t="s">
        <v>1449</v>
      </c>
      <c r="C61" s="317" t="str">
        <f>C62&amp;"（含）"&amp;"-"&amp;D62</f>
        <v>（含）-</v>
      </c>
      <c r="D61" s="317" t="str">
        <f t="shared" ref="D61:L61" si="17">D62&amp;"（含）"&amp;"-"&amp;E62</f>
        <v>（含）-</v>
      </c>
      <c r="E61" s="317" t="str">
        <f t="shared" si="17"/>
        <v>（含）-</v>
      </c>
      <c r="F61" s="317" t="str">
        <f t="shared" si="17"/>
        <v>（含）-</v>
      </c>
      <c r="G61" s="317" t="str">
        <f t="shared" si="17"/>
        <v>（含）-</v>
      </c>
      <c r="H61" s="317" t="str">
        <f t="shared" si="17"/>
        <v>（含）-</v>
      </c>
      <c r="I61" s="317" t="str">
        <f t="shared" si="17"/>
        <v>（含）-</v>
      </c>
      <c r="J61" s="317" t="str">
        <f t="shared" si="17"/>
        <v>（含）-</v>
      </c>
      <c r="K61" s="317" t="str">
        <f t="shared" si="17"/>
        <v>（含）-</v>
      </c>
      <c r="L61" s="317" t="str">
        <f t="shared" si="17"/>
        <v>（含）-</v>
      </c>
      <c r="M61" s="91" t="str">
        <f>M62&amp;"（含）"&amp;"-"&amp;P62</f>
        <v>（含）-</v>
      </c>
      <c r="N61" s="1560"/>
      <c r="O61" s="1560"/>
      <c r="P61" s="1559"/>
      <c r="Q61" s="1553"/>
    </row>
    <row r="62" spans="1:17">
      <c r="A62" s="309"/>
      <c r="B62" s="318"/>
      <c r="C62" s="76"/>
      <c r="D62" s="76"/>
      <c r="E62" s="76"/>
      <c r="F62" s="76"/>
      <c r="G62" s="76"/>
      <c r="H62" s="76"/>
      <c r="I62" s="76"/>
      <c r="J62" s="76"/>
      <c r="K62" s="366"/>
      <c r="L62" s="367"/>
      <c r="M62" s="368"/>
      <c r="N62" s="1558"/>
      <c r="O62" s="1558"/>
      <c r="P62" s="1559"/>
      <c r="Q62" s="1553"/>
    </row>
    <row r="63" ht="14.55" spans="1:17">
      <c r="A63" s="309"/>
      <c r="B63" s="310"/>
      <c r="C63" s="315">
        <v>100</v>
      </c>
      <c r="D63" s="315">
        <f t="shared" ref="D63:M63" si="18">C63-$K11</f>
        <v>100</v>
      </c>
      <c r="E63" s="315">
        <f t="shared" si="18"/>
        <v>100</v>
      </c>
      <c r="F63" s="315">
        <f t="shared" si="18"/>
        <v>100</v>
      </c>
      <c r="G63" s="315">
        <f t="shared" si="18"/>
        <v>100</v>
      </c>
      <c r="H63" s="315">
        <f t="shared" si="18"/>
        <v>100</v>
      </c>
      <c r="I63" s="315">
        <f t="shared" si="18"/>
        <v>100</v>
      </c>
      <c r="J63" s="315">
        <f t="shared" si="18"/>
        <v>100</v>
      </c>
      <c r="K63" s="315">
        <f t="shared" si="18"/>
        <v>100</v>
      </c>
      <c r="L63" s="315">
        <f t="shared" si="18"/>
        <v>100</v>
      </c>
      <c r="M63" s="365">
        <f t="shared" si="18"/>
        <v>100</v>
      </c>
      <c r="N63" s="1560"/>
      <c r="O63" s="1560"/>
      <c r="P63" s="1559"/>
      <c r="Q63" s="1553"/>
    </row>
    <row r="64" s="17" customFormat="1" ht="14.55" spans="1:17">
      <c r="A64" s="319"/>
      <c r="B64" s="312">
        <f>B12</f>
        <v>111</v>
      </c>
      <c r="C64" s="320"/>
      <c r="D64" s="320"/>
      <c r="E64" s="320"/>
      <c r="F64" s="320"/>
      <c r="G64" s="320"/>
      <c r="H64" s="321"/>
      <c r="I64" s="321"/>
      <c r="J64" s="321"/>
      <c r="K64" s="321"/>
      <c r="L64" s="369"/>
      <c r="M64" s="370"/>
      <c r="N64" s="1561"/>
      <c r="O64" s="1561"/>
      <c r="P64" s="1562"/>
      <c r="Q64" s="1564"/>
    </row>
    <row r="65" s="17" customFormat="1" ht="14.55" spans="1:17">
      <c r="A65" s="319"/>
      <c r="B65" s="314"/>
      <c r="C65" s="322"/>
      <c r="D65" s="311"/>
      <c r="E65" s="311"/>
      <c r="F65" s="311"/>
      <c r="G65" s="311"/>
      <c r="H65" s="311"/>
      <c r="I65" s="311"/>
      <c r="J65" s="311"/>
      <c r="K65" s="311"/>
      <c r="L65" s="311"/>
      <c r="M65" s="360"/>
      <c r="N65" s="1560"/>
      <c r="O65" s="1560"/>
      <c r="P65" s="1562"/>
      <c r="Q65" s="1564"/>
    </row>
    <row r="66" s="17" customFormat="1" ht="14.55" spans="1:17">
      <c r="A66" s="319"/>
      <c r="B66" s="312">
        <f>B13</f>
        <v>111</v>
      </c>
      <c r="C66" s="320"/>
      <c r="D66" s="320"/>
      <c r="E66" s="320"/>
      <c r="F66" s="320"/>
      <c r="G66" s="320"/>
      <c r="H66" s="321"/>
      <c r="I66" s="321"/>
      <c r="J66" s="321"/>
      <c r="K66" s="321"/>
      <c r="L66" s="369"/>
      <c r="M66" s="370"/>
      <c r="N66" s="1561"/>
      <c r="O66" s="1561"/>
      <c r="P66" s="1566"/>
      <c r="Q66" s="1570"/>
    </row>
    <row r="67" s="17" customFormat="1" ht="14.55" spans="1:17">
      <c r="A67" s="319"/>
      <c r="B67" s="314"/>
      <c r="C67" s="322"/>
      <c r="D67" s="311"/>
      <c r="E67" s="311"/>
      <c r="F67" s="311"/>
      <c r="G67" s="322"/>
      <c r="H67" s="323"/>
      <c r="I67" s="323"/>
      <c r="J67" s="323"/>
      <c r="K67" s="323"/>
      <c r="L67" s="323"/>
      <c r="M67" s="373"/>
      <c r="N67" s="1561"/>
      <c r="O67" s="1561"/>
      <c r="P67" s="1562"/>
      <c r="Q67" s="1564"/>
    </row>
    <row r="68" s="17" customFormat="1" ht="14.55" spans="1:17">
      <c r="A68" s="319"/>
      <c r="B68" s="316">
        <f>B14</f>
        <v>111</v>
      </c>
      <c r="C68" s="304"/>
      <c r="D68" s="304"/>
      <c r="E68" s="304"/>
      <c r="F68" s="304"/>
      <c r="G68" s="304"/>
      <c r="H68" s="324"/>
      <c r="I68" s="324"/>
      <c r="J68" s="324"/>
      <c r="K68" s="324"/>
      <c r="L68" s="374"/>
      <c r="M68" s="375"/>
      <c r="N68" s="1561"/>
      <c r="O68" s="1561"/>
      <c r="P68" s="1567"/>
      <c r="Q68" s="1564"/>
    </row>
    <row r="69" s="17" customFormat="1" ht="14.55" spans="1:17">
      <c r="A69" s="325"/>
      <c r="B69" s="326"/>
      <c r="C69" s="327"/>
      <c r="D69" s="327"/>
      <c r="E69" s="327"/>
      <c r="F69" s="327"/>
      <c r="G69" s="327"/>
      <c r="H69" s="328"/>
      <c r="I69" s="328"/>
      <c r="J69" s="328"/>
      <c r="K69" s="328"/>
      <c r="L69" s="328"/>
      <c r="M69" s="377"/>
      <c r="N69" s="1561"/>
      <c r="O69" s="1561"/>
      <c r="P69" s="1562"/>
      <c r="Q69" s="1564"/>
    </row>
    <row r="70" ht="14.4" spans="1:17">
      <c r="A70" s="307" t="s">
        <v>1450</v>
      </c>
      <c r="B70" s="308" t="s">
        <v>1540</v>
      </c>
      <c r="C70" s="329" t="s">
        <v>1489</v>
      </c>
      <c r="D70" s="329" t="s">
        <v>1490</v>
      </c>
      <c r="E70" s="329" t="s">
        <v>1491</v>
      </c>
      <c r="F70" s="329" t="s">
        <v>1492</v>
      </c>
      <c r="G70" s="329" t="s">
        <v>1493</v>
      </c>
      <c r="H70" s="330"/>
      <c r="I70" s="330"/>
      <c r="J70" s="330"/>
      <c r="K70" s="378"/>
      <c r="L70" s="379"/>
      <c r="M70" s="380"/>
      <c r="N70" s="1558"/>
      <c r="O70" s="1558"/>
      <c r="P70" s="1568"/>
      <c r="Q70" s="1553"/>
    </row>
    <row r="71" ht="14.55" spans="1:17">
      <c r="A71" s="309"/>
      <c r="B71" s="314"/>
      <c r="C71" s="315">
        <v>100</v>
      </c>
      <c r="D71" s="315">
        <f>C71-$K15</f>
        <v>100</v>
      </c>
      <c r="E71" s="315">
        <f>D71-$K15</f>
        <v>100</v>
      </c>
      <c r="F71" s="315">
        <f>E71-$K15</f>
        <v>100</v>
      </c>
      <c r="G71" s="315">
        <f>F71-$K15</f>
        <v>100</v>
      </c>
      <c r="H71" s="315"/>
      <c r="I71" s="315"/>
      <c r="J71" s="315"/>
      <c r="K71" s="315"/>
      <c r="L71" s="315"/>
      <c r="M71" s="365"/>
      <c r="N71" s="1560"/>
      <c r="O71" s="1560"/>
      <c r="P71" s="1559"/>
      <c r="Q71" s="1553"/>
    </row>
    <row r="72" ht="15.15" spans="1:17">
      <c r="A72" s="309"/>
      <c r="B72" s="312" t="s">
        <v>1453</v>
      </c>
      <c r="C72" s="331" t="s">
        <v>1489</v>
      </c>
      <c r="D72" s="331" t="s">
        <v>1490</v>
      </c>
      <c r="E72" s="331" t="s">
        <v>1491</v>
      </c>
      <c r="F72" s="331" t="s">
        <v>1492</v>
      </c>
      <c r="G72" s="331" t="s">
        <v>1493</v>
      </c>
      <c r="H72" s="313"/>
      <c r="I72" s="313"/>
      <c r="J72" s="313"/>
      <c r="K72" s="362"/>
      <c r="L72" s="363"/>
      <c r="M72" s="364"/>
      <c r="N72" s="1558"/>
      <c r="O72" s="1558"/>
      <c r="P72" s="1559"/>
      <c r="Q72" s="1553"/>
    </row>
    <row r="73" ht="14.55" spans="1:17">
      <c r="A73" s="309"/>
      <c r="B73" s="314"/>
      <c r="C73" s="315">
        <v>100</v>
      </c>
      <c r="D73" s="315">
        <f>C73-$K17</f>
        <v>100</v>
      </c>
      <c r="E73" s="315">
        <f>D73-$K17</f>
        <v>100</v>
      </c>
      <c r="F73" s="315">
        <f>E73-$K17</f>
        <v>100</v>
      </c>
      <c r="G73" s="315">
        <f>F73-$K17</f>
        <v>100</v>
      </c>
      <c r="H73" s="315"/>
      <c r="I73" s="315"/>
      <c r="J73" s="315"/>
      <c r="K73" s="315"/>
      <c r="L73" s="315"/>
      <c r="M73" s="365"/>
      <c r="N73" s="1560"/>
      <c r="O73" s="1560"/>
      <c r="P73" s="1559"/>
      <c r="Q73" s="1553"/>
    </row>
    <row r="74" ht="15.15" spans="1:17">
      <c r="A74" s="309"/>
      <c r="B74" s="312" t="s">
        <v>1454</v>
      </c>
      <c r="C74" s="331" t="s">
        <v>1489</v>
      </c>
      <c r="D74" s="331" t="s">
        <v>1490</v>
      </c>
      <c r="E74" s="331" t="s">
        <v>1491</v>
      </c>
      <c r="F74" s="331" t="s">
        <v>1492</v>
      </c>
      <c r="G74" s="331" t="s">
        <v>1493</v>
      </c>
      <c r="H74" s="313"/>
      <c r="I74" s="313"/>
      <c r="J74" s="313"/>
      <c r="K74" s="362"/>
      <c r="L74" s="363"/>
      <c r="M74" s="364"/>
      <c r="N74" s="1558"/>
      <c r="O74" s="1558"/>
      <c r="P74" s="1559"/>
      <c r="Q74" s="1553"/>
    </row>
    <row r="75" ht="14.55" spans="1:17">
      <c r="A75" s="309"/>
      <c r="B75" s="314"/>
      <c r="C75" s="315">
        <v>100</v>
      </c>
      <c r="D75" s="315">
        <f>C75-$K19</f>
        <v>100</v>
      </c>
      <c r="E75" s="315">
        <f>D75-$K19</f>
        <v>100</v>
      </c>
      <c r="F75" s="315">
        <f>E75-$K19</f>
        <v>100</v>
      </c>
      <c r="G75" s="315">
        <f>F75-$K19</f>
        <v>100</v>
      </c>
      <c r="H75" s="315"/>
      <c r="I75" s="315"/>
      <c r="J75" s="315"/>
      <c r="K75" s="315"/>
      <c r="L75" s="315"/>
      <c r="M75" s="365"/>
      <c r="N75" s="1560"/>
      <c r="O75" s="1560"/>
      <c r="P75" s="1559"/>
      <c r="Q75" s="1553"/>
    </row>
    <row r="76" ht="15.15" spans="1:17">
      <c r="A76" s="309"/>
      <c r="B76" s="316" t="s">
        <v>1455</v>
      </c>
      <c r="C76" s="336" t="s">
        <v>1494</v>
      </c>
      <c r="D76" s="336" t="s">
        <v>1495</v>
      </c>
      <c r="E76" s="336" t="s">
        <v>1496</v>
      </c>
      <c r="F76" s="336" t="s">
        <v>1497</v>
      </c>
      <c r="G76" s="336" t="s">
        <v>1498</v>
      </c>
      <c r="H76" s="313"/>
      <c r="I76" s="313"/>
      <c r="J76" s="313"/>
      <c r="K76" s="313"/>
      <c r="L76" s="313"/>
      <c r="M76" s="1461"/>
      <c r="N76" s="1560"/>
      <c r="O76" s="1560"/>
      <c r="P76" s="1559"/>
      <c r="Q76" s="1553"/>
    </row>
    <row r="77" ht="14.55" spans="1:17">
      <c r="A77" s="309"/>
      <c r="B77" s="316"/>
      <c r="C77" s="315">
        <v>100</v>
      </c>
      <c r="D77" s="315">
        <f>C77-$K21</f>
        <v>100</v>
      </c>
      <c r="E77" s="315">
        <f>D77-$K21</f>
        <v>100</v>
      </c>
      <c r="F77" s="315">
        <f>E77-$K21</f>
        <v>100</v>
      </c>
      <c r="G77" s="315">
        <f>F77-$K21</f>
        <v>100</v>
      </c>
      <c r="H77" s="336"/>
      <c r="I77" s="336"/>
      <c r="J77" s="336"/>
      <c r="K77" s="336"/>
      <c r="L77" s="336"/>
      <c r="M77" s="93"/>
      <c r="N77" s="1560"/>
      <c r="O77" s="1560"/>
      <c r="P77" s="1559"/>
      <c r="Q77" s="1553"/>
    </row>
    <row r="78" ht="15.15" spans="1:17">
      <c r="A78" s="309"/>
      <c r="B78" s="312" t="s">
        <v>1534</v>
      </c>
      <c r="C78" s="331" t="s">
        <v>1489</v>
      </c>
      <c r="D78" s="331" t="s">
        <v>1490</v>
      </c>
      <c r="E78" s="331" t="s">
        <v>1491</v>
      </c>
      <c r="F78" s="331" t="s">
        <v>1492</v>
      </c>
      <c r="G78" s="331" t="s">
        <v>1493</v>
      </c>
      <c r="H78" s="313"/>
      <c r="I78" s="313"/>
      <c r="J78" s="313"/>
      <c r="K78" s="362"/>
      <c r="L78" s="363"/>
      <c r="M78" s="364"/>
      <c r="N78" s="1558"/>
      <c r="O78" s="1558"/>
      <c r="P78" s="1559"/>
      <c r="Q78" s="1553"/>
    </row>
    <row r="79" ht="14.55" spans="1:17">
      <c r="A79" s="309"/>
      <c r="B79" s="314"/>
      <c r="C79" s="315">
        <v>100</v>
      </c>
      <c r="D79" s="315">
        <f>C79-$K23</f>
        <v>100</v>
      </c>
      <c r="E79" s="315">
        <f>D79-$K23</f>
        <v>100</v>
      </c>
      <c r="F79" s="315">
        <f>E79-$K23</f>
        <v>100</v>
      </c>
      <c r="G79" s="315">
        <f>F79-$K23</f>
        <v>100</v>
      </c>
      <c r="H79" s="315"/>
      <c r="I79" s="315"/>
      <c r="J79" s="315"/>
      <c r="K79" s="315"/>
      <c r="L79" s="315"/>
      <c r="M79" s="365"/>
      <c r="N79" s="1560"/>
      <c r="O79" s="1560"/>
      <c r="P79" s="1559"/>
      <c r="Q79" s="1553"/>
    </row>
    <row r="80" s="15" customFormat="1" ht="14.55" spans="1:17">
      <c r="A80" s="332"/>
      <c r="B80" s="312">
        <f>B25</f>
        <v>111</v>
      </c>
      <c r="C80" s="320"/>
      <c r="D80" s="320"/>
      <c r="E80" s="320"/>
      <c r="F80" s="320"/>
      <c r="G80" s="320"/>
      <c r="H80" s="320"/>
      <c r="I80" s="320"/>
      <c r="J80" s="320"/>
      <c r="K80" s="320"/>
      <c r="L80" s="1462"/>
      <c r="M80" s="1463"/>
      <c r="N80" s="1556"/>
      <c r="O80" s="1556"/>
      <c r="P80" s="1559"/>
      <c r="Q80" s="1553"/>
    </row>
    <row r="81" s="15" customFormat="1" ht="14.55" spans="1:17">
      <c r="A81" s="332"/>
      <c r="B81" s="314"/>
      <c r="C81" s="322"/>
      <c r="D81" s="311"/>
      <c r="E81" s="311"/>
      <c r="F81" s="311"/>
      <c r="G81" s="311"/>
      <c r="H81" s="311"/>
      <c r="I81" s="311"/>
      <c r="J81" s="311"/>
      <c r="K81" s="311"/>
      <c r="L81" s="311"/>
      <c r="M81" s="360"/>
      <c r="N81" s="1560"/>
      <c r="O81" s="1560"/>
      <c r="P81" s="1559"/>
      <c r="Q81" s="1553"/>
    </row>
    <row r="82" s="15" customFormat="1" ht="14.55" spans="1:17">
      <c r="A82" s="332"/>
      <c r="B82" s="312">
        <f>B26</f>
        <v>111</v>
      </c>
      <c r="C82" s="320"/>
      <c r="D82" s="320"/>
      <c r="E82" s="320"/>
      <c r="F82" s="320"/>
      <c r="G82" s="320"/>
      <c r="H82" s="320"/>
      <c r="I82" s="320"/>
      <c r="J82" s="320"/>
      <c r="K82" s="320"/>
      <c r="L82" s="1462"/>
      <c r="M82" s="1463"/>
      <c r="N82" s="1556"/>
      <c r="O82" s="1556"/>
      <c r="P82" s="1559"/>
      <c r="Q82" s="1553"/>
    </row>
    <row r="83" s="15" customFormat="1" ht="14.55" spans="1:17">
      <c r="A83" s="332"/>
      <c r="B83" s="314"/>
      <c r="C83" s="322"/>
      <c r="D83" s="311"/>
      <c r="E83" s="311"/>
      <c r="F83" s="311"/>
      <c r="G83" s="311"/>
      <c r="H83" s="311"/>
      <c r="I83" s="311"/>
      <c r="J83" s="311"/>
      <c r="K83" s="311"/>
      <c r="L83" s="311"/>
      <c r="M83" s="360"/>
      <c r="N83" s="1560"/>
      <c r="O83" s="1560"/>
      <c r="P83" s="1559"/>
      <c r="Q83" s="1553"/>
    </row>
    <row r="84" s="17" customFormat="1" ht="14.55" spans="1:17">
      <c r="A84" s="319"/>
      <c r="B84" s="312">
        <f>B27</f>
        <v>111</v>
      </c>
      <c r="C84" s="320"/>
      <c r="D84" s="320"/>
      <c r="E84" s="320"/>
      <c r="F84" s="320"/>
      <c r="G84" s="320"/>
      <c r="H84" s="320"/>
      <c r="I84" s="320"/>
      <c r="J84" s="320"/>
      <c r="K84" s="320"/>
      <c r="L84" s="1462"/>
      <c r="M84" s="1463"/>
      <c r="N84" s="1561"/>
      <c r="O84" s="1561"/>
      <c r="P84" s="1562"/>
      <c r="Q84" s="1564"/>
    </row>
    <row r="85" s="17" customFormat="1" ht="14.55" spans="1:17">
      <c r="A85" s="319"/>
      <c r="B85" s="314"/>
      <c r="C85" s="322"/>
      <c r="D85" s="311"/>
      <c r="E85" s="311"/>
      <c r="F85" s="311"/>
      <c r="G85" s="311"/>
      <c r="H85" s="311"/>
      <c r="I85" s="311"/>
      <c r="J85" s="311"/>
      <c r="K85" s="311"/>
      <c r="L85" s="311"/>
      <c r="M85" s="360"/>
      <c r="N85" s="1561"/>
      <c r="O85" s="1561"/>
      <c r="P85" s="1562"/>
      <c r="Q85" s="1564"/>
    </row>
    <row r="86" ht="14.55" spans="1:17">
      <c r="A86" s="309"/>
      <c r="B86" s="316">
        <f>B28</f>
        <v>111</v>
      </c>
      <c r="C86" s="304"/>
      <c r="D86" s="304"/>
      <c r="E86" s="304"/>
      <c r="F86" s="304"/>
      <c r="G86" s="339"/>
      <c r="H86" s="339"/>
      <c r="I86" s="339"/>
      <c r="J86" s="339"/>
      <c r="K86" s="391"/>
      <c r="L86" s="392"/>
      <c r="M86" s="393"/>
      <c r="N86" s="1558"/>
      <c r="O86" s="1558"/>
      <c r="P86" s="1559"/>
      <c r="Q86" s="1553"/>
    </row>
    <row r="87" ht="14.55" spans="1:17">
      <c r="A87" s="1565"/>
      <c r="B87" s="326"/>
      <c r="C87" s="327"/>
      <c r="D87" s="327"/>
      <c r="E87" s="327"/>
      <c r="F87" s="327"/>
      <c r="G87" s="340"/>
      <c r="H87" s="340"/>
      <c r="I87" s="340"/>
      <c r="J87" s="340"/>
      <c r="K87" s="340"/>
      <c r="L87" s="340"/>
      <c r="M87" s="394"/>
      <c r="N87" s="1560"/>
      <c r="O87" s="1560"/>
      <c r="P87" s="1559"/>
      <c r="Q87" s="1553"/>
    </row>
    <row r="88" ht="14.4" spans="1:17">
      <c r="A88" s="307" t="s">
        <v>1459</v>
      </c>
      <c r="B88" s="308" t="s">
        <v>1460</v>
      </c>
      <c r="C88" s="233"/>
      <c r="D88" s="233"/>
      <c r="E88" s="233"/>
      <c r="F88" s="233"/>
      <c r="G88" s="233"/>
      <c r="H88" s="233"/>
      <c r="I88" s="233"/>
      <c r="J88" s="233"/>
      <c r="K88" s="355"/>
      <c r="L88" s="356"/>
      <c r="M88" s="357"/>
      <c r="N88" s="1558"/>
      <c r="O88" s="1558"/>
      <c r="P88" s="1559"/>
      <c r="Q88" s="1553"/>
    </row>
    <row r="89" ht="14.55" spans="1:17">
      <c r="A89" s="309"/>
      <c r="B89" s="314"/>
      <c r="C89" s="315">
        <v>100</v>
      </c>
      <c r="D89" s="315">
        <f t="shared" ref="D89:M89" si="19">C89-$K29</f>
        <v>100</v>
      </c>
      <c r="E89" s="315">
        <f t="shared" si="19"/>
        <v>100</v>
      </c>
      <c r="F89" s="315">
        <f t="shared" si="19"/>
        <v>100</v>
      </c>
      <c r="G89" s="315">
        <f t="shared" si="19"/>
        <v>100</v>
      </c>
      <c r="H89" s="315">
        <f t="shared" si="19"/>
        <v>100</v>
      </c>
      <c r="I89" s="315">
        <f t="shared" si="19"/>
        <v>100</v>
      </c>
      <c r="J89" s="315">
        <f t="shared" si="19"/>
        <v>100</v>
      </c>
      <c r="K89" s="315">
        <f t="shared" si="19"/>
        <v>100</v>
      </c>
      <c r="L89" s="315">
        <f t="shared" si="19"/>
        <v>100</v>
      </c>
      <c r="M89" s="365">
        <f t="shared" si="19"/>
        <v>100</v>
      </c>
      <c r="N89" s="1560"/>
      <c r="O89" s="1560"/>
      <c r="P89" s="1559"/>
      <c r="Q89" s="1553"/>
    </row>
    <row r="90" ht="15.15" spans="1:17">
      <c r="A90" s="309"/>
      <c r="B90" s="312" t="s">
        <v>1462</v>
      </c>
      <c r="C90" s="331" t="str">
        <f>C91&amp;"(含)"&amp;"-"&amp;D91</f>
        <v>(含)-</v>
      </c>
      <c r="D90" s="331" t="str">
        <f t="shared" ref="D90:L90" si="20">D91&amp;"(含)"&amp;"-"&amp;E91</f>
        <v>(含)-</v>
      </c>
      <c r="E90" s="331" t="str">
        <f t="shared" si="20"/>
        <v>(含)-</v>
      </c>
      <c r="F90" s="331" t="str">
        <f t="shared" si="20"/>
        <v>(含)-</v>
      </c>
      <c r="G90" s="331" t="str">
        <f t="shared" si="20"/>
        <v>(含)-</v>
      </c>
      <c r="H90" s="331" t="str">
        <f t="shared" si="20"/>
        <v>(含)-</v>
      </c>
      <c r="I90" s="331" t="str">
        <f t="shared" si="20"/>
        <v>(含)-</v>
      </c>
      <c r="J90" s="331" t="str">
        <f t="shared" si="20"/>
        <v>(含)-</v>
      </c>
      <c r="K90" s="331" t="str">
        <f t="shared" si="20"/>
        <v>(含)-</v>
      </c>
      <c r="L90" s="331" t="str">
        <f t="shared" si="20"/>
        <v>(含)-</v>
      </c>
      <c r="M90" s="383" t="str">
        <f>M91&amp;"(含)"&amp;"-"&amp;P91</f>
        <v>(含)-</v>
      </c>
      <c r="N90" s="1556"/>
      <c r="O90" s="1556"/>
      <c r="P90" s="1559"/>
      <c r="Q90" s="1553"/>
    </row>
    <row r="91" s="17" customFormat="1" spans="1:17">
      <c r="A91" s="341"/>
      <c r="B91" s="342"/>
      <c r="C91" s="296"/>
      <c r="D91" s="296"/>
      <c r="E91" s="296"/>
      <c r="F91" s="296"/>
      <c r="G91" s="296"/>
      <c r="H91" s="296"/>
      <c r="I91" s="296"/>
      <c r="J91" s="395"/>
      <c r="K91" s="395"/>
      <c r="L91" s="396"/>
      <c r="M91" s="397"/>
      <c r="N91" s="1561"/>
      <c r="O91" s="1561"/>
      <c r="P91" s="1562"/>
      <c r="Q91" s="1564"/>
    </row>
    <row r="92" s="17" customFormat="1" ht="14.55" spans="1:17">
      <c r="A92" s="319"/>
      <c r="B92" s="314"/>
      <c r="C92" s="322"/>
      <c r="D92" s="311"/>
      <c r="E92" s="311"/>
      <c r="F92" s="311"/>
      <c r="G92" s="311"/>
      <c r="H92" s="311"/>
      <c r="I92" s="311"/>
      <c r="J92" s="311"/>
      <c r="K92" s="311"/>
      <c r="L92" s="311"/>
      <c r="M92" s="360"/>
      <c r="N92" s="1560"/>
      <c r="O92" s="1560"/>
      <c r="P92" s="1562"/>
      <c r="Q92" s="1564"/>
    </row>
    <row r="93" ht="15.15" spans="1:17">
      <c r="A93" s="344"/>
      <c r="B93" s="312" t="s">
        <v>1463</v>
      </c>
      <c r="C93" s="320"/>
      <c r="D93" s="320"/>
      <c r="E93" s="337"/>
      <c r="F93" s="337"/>
      <c r="G93" s="337"/>
      <c r="H93" s="337"/>
      <c r="I93" s="337"/>
      <c r="J93" s="337"/>
      <c r="K93" s="388"/>
      <c r="L93" s="389"/>
      <c r="M93" s="390"/>
      <c r="N93" s="1558"/>
      <c r="O93" s="1558"/>
      <c r="P93" s="1559"/>
      <c r="Q93" s="1553"/>
    </row>
    <row r="94" ht="14.55" spans="1:17">
      <c r="A94" s="309"/>
      <c r="B94" s="314"/>
      <c r="C94" s="315">
        <v>100</v>
      </c>
      <c r="D94" s="315">
        <f t="shared" ref="D94:M94" si="21">C94-$K31</f>
        <v>100</v>
      </c>
      <c r="E94" s="315">
        <f t="shared" si="21"/>
        <v>100</v>
      </c>
      <c r="F94" s="315">
        <f t="shared" si="21"/>
        <v>100</v>
      </c>
      <c r="G94" s="315">
        <f t="shared" si="21"/>
        <v>100</v>
      </c>
      <c r="H94" s="315">
        <f t="shared" si="21"/>
        <v>100</v>
      </c>
      <c r="I94" s="315">
        <f t="shared" si="21"/>
        <v>100</v>
      </c>
      <c r="J94" s="315">
        <f t="shared" si="21"/>
        <v>100</v>
      </c>
      <c r="K94" s="315">
        <f t="shared" si="21"/>
        <v>100</v>
      </c>
      <c r="L94" s="315">
        <f t="shared" si="21"/>
        <v>100</v>
      </c>
      <c r="M94" s="365">
        <f t="shared" si="21"/>
        <v>100</v>
      </c>
      <c r="N94" s="1560"/>
      <c r="O94" s="1560"/>
      <c r="P94" s="1559"/>
      <c r="Q94" s="1553"/>
    </row>
    <row r="95" ht="15.15" spans="1:17">
      <c r="A95" s="344"/>
      <c r="B95" s="312" t="s">
        <v>1465</v>
      </c>
      <c r="C95" s="320"/>
      <c r="D95" s="320"/>
      <c r="E95" s="320"/>
      <c r="F95" s="337"/>
      <c r="G95" s="337"/>
      <c r="H95" s="337"/>
      <c r="I95" s="337"/>
      <c r="J95" s="337"/>
      <c r="K95" s="388"/>
      <c r="L95" s="389"/>
      <c r="M95" s="390"/>
      <c r="N95" s="1558"/>
      <c r="O95" s="1558"/>
      <c r="P95" s="1559"/>
      <c r="Q95" s="1553"/>
    </row>
    <row r="96" ht="14.55" spans="1:17">
      <c r="A96" s="309"/>
      <c r="B96" s="314"/>
      <c r="C96" s="315">
        <v>100</v>
      </c>
      <c r="D96" s="315">
        <f t="shared" ref="D96:M96" si="22">C96-$K32</f>
        <v>100</v>
      </c>
      <c r="E96" s="315">
        <f t="shared" si="22"/>
        <v>100</v>
      </c>
      <c r="F96" s="315">
        <f t="shared" si="22"/>
        <v>100</v>
      </c>
      <c r="G96" s="315">
        <f t="shared" si="22"/>
        <v>100</v>
      </c>
      <c r="H96" s="315">
        <f t="shared" si="22"/>
        <v>100</v>
      </c>
      <c r="I96" s="315">
        <f t="shared" si="22"/>
        <v>100</v>
      </c>
      <c r="J96" s="315">
        <f t="shared" si="22"/>
        <v>100</v>
      </c>
      <c r="K96" s="315">
        <f t="shared" si="22"/>
        <v>100</v>
      </c>
      <c r="L96" s="315">
        <f t="shared" si="22"/>
        <v>100</v>
      </c>
      <c r="M96" s="365">
        <f t="shared" si="22"/>
        <v>100</v>
      </c>
      <c r="N96" s="1560"/>
      <c r="O96" s="1560"/>
      <c r="P96" s="1559"/>
      <c r="Q96" s="1553"/>
    </row>
    <row r="97" ht="15.15" spans="1:17">
      <c r="A97" s="344"/>
      <c r="B97" s="312" t="s">
        <v>565</v>
      </c>
      <c r="C97" s="331" t="str">
        <f>C98&amp;"(含)"&amp;"-"&amp;D98</f>
        <v>0.5(含)-0.6</v>
      </c>
      <c r="D97" s="331" t="str">
        <f>D98&amp;"(含)"&amp;"-"&amp;E98</f>
        <v>0.6(含)-0.7</v>
      </c>
      <c r="E97" s="331" t="str">
        <f>E98&amp;"(含)"&amp;"-"&amp;F98</f>
        <v>0.7(含)-0.8</v>
      </c>
      <c r="F97" s="331" t="str">
        <f>F98&amp;"(含)"&amp;"-"&amp;G98</f>
        <v>0.8(含)-0.9</v>
      </c>
      <c r="G97" s="331" t="str">
        <f>G98&amp;"(含)"&amp;"-"&amp;ROUND(H98,0)&amp;"(含)"</f>
        <v>0.9(含)-1(含)</v>
      </c>
      <c r="H97" s="331"/>
      <c r="I97" s="337"/>
      <c r="J97" s="337"/>
      <c r="K97" s="388"/>
      <c r="L97" s="389"/>
      <c r="M97" s="390"/>
      <c r="N97" s="1558"/>
      <c r="O97" s="1558"/>
      <c r="P97" s="1559"/>
      <c r="Q97" s="1553"/>
    </row>
    <row r="98" spans="1:17">
      <c r="A98" s="344"/>
      <c r="B98" s="316"/>
      <c r="C98" s="295">
        <v>0.5</v>
      </c>
      <c r="D98" s="295">
        <v>0.6</v>
      </c>
      <c r="E98" s="295">
        <v>0.7</v>
      </c>
      <c r="F98" s="295">
        <v>0.8</v>
      </c>
      <c r="G98" s="295">
        <v>0.9</v>
      </c>
      <c r="H98" s="295">
        <v>1.0001</v>
      </c>
      <c r="I98" s="1523"/>
      <c r="J98" s="1523"/>
      <c r="K98" s="1524"/>
      <c r="L98" s="1525"/>
      <c r="M98" s="1526"/>
      <c r="N98" s="1558"/>
      <c r="O98" s="1558"/>
      <c r="P98" s="1559"/>
      <c r="Q98" s="1553"/>
    </row>
    <row r="99" ht="14.55" spans="1:17">
      <c r="A99" s="309"/>
      <c r="B99" s="314"/>
      <c r="C99" s="333">
        <v>100</v>
      </c>
      <c r="D99" s="315">
        <f>C99+$K33</f>
        <v>100</v>
      </c>
      <c r="E99" s="315">
        <f t="shared" ref="E99:M99" si="23">D99+$K33</f>
        <v>100</v>
      </c>
      <c r="F99" s="315">
        <f t="shared" si="23"/>
        <v>100</v>
      </c>
      <c r="G99" s="315">
        <f t="shared" si="23"/>
        <v>100</v>
      </c>
      <c r="H99" s="315">
        <f t="shared" si="23"/>
        <v>100</v>
      </c>
      <c r="I99" s="315">
        <f t="shared" si="23"/>
        <v>100</v>
      </c>
      <c r="J99" s="315">
        <f t="shared" si="23"/>
        <v>100</v>
      </c>
      <c r="K99" s="315">
        <f t="shared" si="23"/>
        <v>100</v>
      </c>
      <c r="L99" s="315">
        <f t="shared" si="23"/>
        <v>100</v>
      </c>
      <c r="M99" s="315">
        <f t="shared" si="23"/>
        <v>100</v>
      </c>
      <c r="N99" s="1560"/>
      <c r="O99" s="1560"/>
      <c r="P99" s="1559"/>
      <c r="Q99" s="1553"/>
    </row>
    <row r="100" s="17" customFormat="1" ht="15.15" spans="1:17">
      <c r="A100" s="341"/>
      <c r="B100" s="312" t="s">
        <v>1466</v>
      </c>
      <c r="C100" s="320"/>
      <c r="D100" s="320"/>
      <c r="E100" s="320"/>
      <c r="F100" s="320"/>
      <c r="G100" s="320"/>
      <c r="H100" s="337"/>
      <c r="I100" s="337"/>
      <c r="J100" s="337"/>
      <c r="K100" s="388"/>
      <c r="L100" s="389"/>
      <c r="M100" s="390"/>
      <c r="N100" s="1561"/>
      <c r="O100" s="1561"/>
      <c r="P100" s="1562"/>
      <c r="Q100" s="1564"/>
    </row>
    <row r="101" s="17" customFormat="1" ht="14.55" spans="1:17">
      <c r="A101" s="319"/>
      <c r="B101" s="314"/>
      <c r="C101" s="315">
        <v>100</v>
      </c>
      <c r="D101" s="315">
        <f>C101-$K34</f>
        <v>100</v>
      </c>
      <c r="E101" s="315">
        <f t="shared" ref="E101:M101" si="24">D101-$K34</f>
        <v>100</v>
      </c>
      <c r="F101" s="315">
        <f t="shared" si="24"/>
        <v>100</v>
      </c>
      <c r="G101" s="315">
        <f t="shared" si="24"/>
        <v>100</v>
      </c>
      <c r="H101" s="315">
        <f t="shared" si="24"/>
        <v>100</v>
      </c>
      <c r="I101" s="315">
        <f t="shared" si="24"/>
        <v>100</v>
      </c>
      <c r="J101" s="315">
        <f t="shared" si="24"/>
        <v>100</v>
      </c>
      <c r="K101" s="315">
        <f t="shared" si="24"/>
        <v>100</v>
      </c>
      <c r="L101" s="315">
        <f t="shared" si="24"/>
        <v>100</v>
      </c>
      <c r="M101" s="315">
        <f t="shared" si="24"/>
        <v>100</v>
      </c>
      <c r="N101" s="1561"/>
      <c r="O101" s="1561"/>
      <c r="P101" s="1562"/>
      <c r="Q101" s="1564"/>
    </row>
    <row r="102" ht="15.15" spans="1:17">
      <c r="A102" s="344"/>
      <c r="B102" s="312" t="s">
        <v>1467</v>
      </c>
      <c r="C102" s="320"/>
      <c r="D102" s="320"/>
      <c r="E102" s="320"/>
      <c r="F102" s="320"/>
      <c r="G102" s="320"/>
      <c r="H102" s="337"/>
      <c r="I102" s="337"/>
      <c r="J102" s="337"/>
      <c r="K102" s="388"/>
      <c r="L102" s="389"/>
      <c r="M102" s="390"/>
      <c r="N102" s="1558"/>
      <c r="O102" s="1558"/>
      <c r="P102" s="1559"/>
      <c r="Q102" s="1553"/>
    </row>
    <row r="103" ht="14.55" spans="1:17">
      <c r="A103" s="309"/>
      <c r="B103" s="314"/>
      <c r="C103" s="315">
        <v>100</v>
      </c>
      <c r="D103" s="315">
        <f t="shared" ref="D103:M103" si="25">C103-$K35</f>
        <v>100</v>
      </c>
      <c r="E103" s="315">
        <f t="shared" si="25"/>
        <v>100</v>
      </c>
      <c r="F103" s="315">
        <f t="shared" si="25"/>
        <v>100</v>
      </c>
      <c r="G103" s="315">
        <f t="shared" si="25"/>
        <v>100</v>
      </c>
      <c r="H103" s="315">
        <f t="shared" si="25"/>
        <v>100</v>
      </c>
      <c r="I103" s="315">
        <f t="shared" si="25"/>
        <v>100</v>
      </c>
      <c r="J103" s="315">
        <f t="shared" si="25"/>
        <v>100</v>
      </c>
      <c r="K103" s="315">
        <f t="shared" si="25"/>
        <v>100</v>
      </c>
      <c r="L103" s="315">
        <f t="shared" si="25"/>
        <v>100</v>
      </c>
      <c r="M103" s="365">
        <f t="shared" si="25"/>
        <v>100</v>
      </c>
      <c r="N103" s="1560"/>
      <c r="O103" s="1560"/>
      <c r="P103" s="1559"/>
      <c r="Q103" s="1553"/>
    </row>
    <row r="104" ht="15.15" spans="1:17">
      <c r="A104" s="344"/>
      <c r="B104" s="312" t="s">
        <v>1470</v>
      </c>
      <c r="C104" s="320"/>
      <c r="D104" s="320"/>
      <c r="E104" s="320"/>
      <c r="F104" s="320"/>
      <c r="G104" s="320"/>
      <c r="H104" s="337"/>
      <c r="I104" s="337"/>
      <c r="J104" s="337"/>
      <c r="K104" s="388"/>
      <c r="L104" s="389"/>
      <c r="M104" s="390"/>
      <c r="N104" s="1558"/>
      <c r="O104" s="1558"/>
      <c r="P104" s="1559"/>
      <c r="Q104" s="1553"/>
    </row>
    <row r="105" ht="14.55" spans="1:17">
      <c r="A105" s="309"/>
      <c r="B105" s="314"/>
      <c r="C105" s="315">
        <v>100</v>
      </c>
      <c r="D105" s="315">
        <f>C105-$K36</f>
        <v>100</v>
      </c>
      <c r="E105" s="315">
        <f>D105-$K36</f>
        <v>100</v>
      </c>
      <c r="F105" s="315">
        <f>E105-$K36</f>
        <v>100</v>
      </c>
      <c r="G105" s="315">
        <f>F105-$K36</f>
        <v>100</v>
      </c>
      <c r="H105" s="315"/>
      <c r="I105" s="315"/>
      <c r="J105" s="315"/>
      <c r="K105" s="315"/>
      <c r="L105" s="315"/>
      <c r="M105" s="365"/>
      <c r="N105" s="1560"/>
      <c r="O105" s="1560"/>
      <c r="P105" s="1559"/>
      <c r="Q105" s="1553"/>
    </row>
    <row r="106" ht="29.55" spans="1:17">
      <c r="A106" s="344"/>
      <c r="B106" s="1459" t="s">
        <v>1542</v>
      </c>
      <c r="C106" s="331" t="s">
        <v>1489</v>
      </c>
      <c r="D106" s="331" t="s">
        <v>1490</v>
      </c>
      <c r="E106" s="331" t="s">
        <v>1491</v>
      </c>
      <c r="F106" s="331" t="s">
        <v>1492</v>
      </c>
      <c r="G106" s="331" t="s">
        <v>1493</v>
      </c>
      <c r="H106" s="313"/>
      <c r="I106" s="313"/>
      <c r="J106" s="313"/>
      <c r="K106" s="362"/>
      <c r="L106" s="363"/>
      <c r="M106" s="364"/>
      <c r="N106" s="1560"/>
      <c r="O106" s="1560"/>
      <c r="P106" s="1569"/>
      <c r="Q106" s="1571"/>
    </row>
    <row r="107" ht="14.55" spans="1:17">
      <c r="A107" s="309"/>
      <c r="B107" s="314"/>
      <c r="C107" s="333">
        <v>100</v>
      </c>
      <c r="D107" s="315">
        <f t="shared" ref="D107:M107" si="26">C107-$K37</f>
        <v>100</v>
      </c>
      <c r="E107" s="315">
        <f t="shared" si="26"/>
        <v>100</v>
      </c>
      <c r="F107" s="315">
        <f t="shared" si="26"/>
        <v>100</v>
      </c>
      <c r="G107" s="315">
        <f t="shared" si="26"/>
        <v>100</v>
      </c>
      <c r="H107" s="315">
        <f t="shared" si="26"/>
        <v>100</v>
      </c>
      <c r="I107" s="315">
        <f t="shared" si="26"/>
        <v>100</v>
      </c>
      <c r="J107" s="315">
        <f t="shared" si="26"/>
        <v>100</v>
      </c>
      <c r="K107" s="315">
        <f t="shared" si="26"/>
        <v>100</v>
      </c>
      <c r="L107" s="315">
        <f t="shared" si="26"/>
        <v>100</v>
      </c>
      <c r="M107" s="315">
        <f t="shared" si="26"/>
        <v>100</v>
      </c>
      <c r="N107" s="1560"/>
      <c r="O107" s="1560"/>
      <c r="P107" s="1559"/>
      <c r="Q107" s="1553"/>
    </row>
    <row r="108" s="17" customFormat="1" ht="14.55" spans="1:17">
      <c r="A108" s="341"/>
      <c r="B108" s="312">
        <f>B38</f>
        <v>111</v>
      </c>
      <c r="C108" s="320"/>
      <c r="D108" s="320"/>
      <c r="E108" s="320"/>
      <c r="F108" s="320"/>
      <c r="G108" s="320"/>
      <c r="H108" s="321"/>
      <c r="I108" s="321"/>
      <c r="J108" s="321"/>
      <c r="K108" s="321"/>
      <c r="L108" s="369"/>
      <c r="M108" s="370"/>
      <c r="N108" s="1561"/>
      <c r="O108" s="1561"/>
      <c r="P108" s="1562"/>
      <c r="Q108" s="1564"/>
    </row>
    <row r="109" s="17" customFormat="1" ht="14.55" spans="1:17">
      <c r="A109" s="319"/>
      <c r="B109" s="310"/>
      <c r="C109" s="322"/>
      <c r="D109" s="311"/>
      <c r="E109" s="311"/>
      <c r="F109" s="311"/>
      <c r="G109" s="322"/>
      <c r="H109" s="323"/>
      <c r="I109" s="323"/>
      <c r="J109" s="323"/>
      <c r="K109" s="323"/>
      <c r="L109" s="323"/>
      <c r="M109" s="373"/>
      <c r="N109" s="1561"/>
      <c r="O109" s="1561"/>
      <c r="P109" s="1562"/>
      <c r="Q109" s="1564"/>
    </row>
    <row r="110" ht="14.55" spans="1:17">
      <c r="A110" s="344"/>
      <c r="B110" s="312">
        <f>B39</f>
        <v>111</v>
      </c>
      <c r="C110" s="320"/>
      <c r="D110" s="320"/>
      <c r="E110" s="320"/>
      <c r="F110" s="320"/>
      <c r="G110" s="320"/>
      <c r="H110" s="321"/>
      <c r="I110" s="321"/>
      <c r="J110" s="321"/>
      <c r="K110" s="321"/>
      <c r="L110" s="369"/>
      <c r="M110" s="370"/>
      <c r="N110" s="1558"/>
      <c r="O110" s="1558"/>
      <c r="P110" s="1559"/>
      <c r="Q110" s="1553"/>
    </row>
    <row r="111" ht="14.55" spans="1:17">
      <c r="A111" s="309"/>
      <c r="B111" s="314"/>
      <c r="C111" s="322"/>
      <c r="D111" s="311"/>
      <c r="E111" s="311"/>
      <c r="F111" s="311"/>
      <c r="G111" s="322"/>
      <c r="H111" s="323"/>
      <c r="I111" s="323"/>
      <c r="J111" s="323"/>
      <c r="K111" s="323"/>
      <c r="L111" s="323"/>
      <c r="M111" s="373"/>
      <c r="N111" s="1560"/>
      <c r="O111" s="1560"/>
      <c r="P111" s="1559"/>
      <c r="Q111" s="1553"/>
    </row>
    <row r="112" ht="14.55" spans="1:17">
      <c r="A112" s="344"/>
      <c r="B112" s="316">
        <f>B40</f>
        <v>111</v>
      </c>
      <c r="C112" s="304"/>
      <c r="D112" s="304"/>
      <c r="E112" s="304"/>
      <c r="F112" s="304"/>
      <c r="G112" s="339"/>
      <c r="H112" s="339"/>
      <c r="I112" s="339"/>
      <c r="J112" s="339"/>
      <c r="K112" s="304"/>
      <c r="L112" s="350"/>
      <c r="M112" s="393"/>
      <c r="N112" s="1558"/>
      <c r="O112" s="1558"/>
      <c r="P112" s="1559"/>
      <c r="Q112" s="1553"/>
    </row>
    <row r="113" ht="14.55" spans="1:17">
      <c r="A113" s="1565"/>
      <c r="B113" s="326"/>
      <c r="C113" s="327"/>
      <c r="D113" s="327"/>
      <c r="E113" s="327"/>
      <c r="F113" s="327"/>
      <c r="G113" s="340"/>
      <c r="H113" s="340"/>
      <c r="I113" s="340"/>
      <c r="J113" s="340"/>
      <c r="K113" s="340"/>
      <c r="L113" s="340"/>
      <c r="M113" s="394"/>
      <c r="N113" s="1560"/>
      <c r="O113" s="1560"/>
      <c r="P113" s="1559"/>
      <c r="Q113" s="155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0 E10 G10 I10">
      <formula1>土地年限区间</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3.8"/>
  <cols>
    <col min="1" max="1" width="84" style="917" customWidth="1"/>
    <col min="2" max="16384" width="9" style="917"/>
  </cols>
  <sheetData>
    <row r="1" ht="22.2" spans="1:1">
      <c r="A1" s="3480" t="s">
        <v>82</v>
      </c>
    </row>
    <row r="2" spans="1:1">
      <c r="A2" s="3481"/>
    </row>
    <row r="3" ht="17.4" spans="1:1">
      <c r="A3" s="3482" t="str">
        <f>项目基本情况!B5&amp;"："</f>
        <v>：</v>
      </c>
    </row>
    <row r="4" ht="17.4" spans="1:1">
      <c r="A4" s="3483" t="str">
        <f>"受贵公司委托，我公司对"&amp;项目基本情况!S1&amp;"进行了预评估。"</f>
        <v>受贵公司委托，我公司对北京市进行了预评估。</v>
      </c>
    </row>
    <row r="5" ht="17.4" spans="1:1">
      <c r="A5" s="3484" t="s">
        <v>83</v>
      </c>
    </row>
    <row r="6" ht="17.4" spans="1:1">
      <c r="A6" s="3485" t="s">
        <v>84</v>
      </c>
    </row>
    <row r="7" ht="52.2" spans="1:1">
      <c r="A7" s="348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估价对象为北京市房地产，为所有。根据《国有土地使用证》[]，估价对象（分摊）出让国有建设用地使用权面积为15415.9平方米，建筑面积为18907.05平方米。</v>
      </c>
    </row>
    <row r="8" ht="52.2" spans="1:1">
      <c r="A8" s="3486" t="s">
        <v>85</v>
      </c>
    </row>
    <row r="9" ht="17.4" spans="1:1">
      <c r="A9" s="3485" t="s">
        <v>86</v>
      </c>
    </row>
    <row r="10" ht="52.2" spans="1:1">
      <c r="A10" s="348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估价对象为北京市房地产,属开发建设的，该项目尚在开发建设中。根据《国有土地使用证》[]，估价对象（分摊）出让国有建设用地使用权面积为15415.9平方米，规划建筑面积为18907.05平方米。</v>
      </c>
    </row>
    <row r="11" ht="69.6" spans="1:1">
      <c r="A11" s="3486" t="s">
        <v>87</v>
      </c>
    </row>
    <row r="12" ht="17.4" spans="1:1">
      <c r="A12" s="3484" t="s">
        <v>88</v>
      </c>
    </row>
    <row r="13" ht="38.25" customHeight="1" spans="1:1">
      <c r="A13" s="3487" t="str">
        <f>IF(项目基本情况!B8="抵押",IF(项目基本情况!B5=项目基本情况!B6,定义!C51,定义!B51),定义!D51)</f>
        <v>为估价委托人了解估价对象房地产市场价值提供参考依据。</v>
      </c>
    </row>
    <row r="14" ht="17.4" spans="1:1">
      <c r="A14" s="3488" t="s">
        <v>89</v>
      </c>
    </row>
    <row r="15" ht="17.4" spans="1:1">
      <c r="A15" s="3489" t="str">
        <f>TEXT(项目基本情况!D3,"yyyy年m月d日;;")&amp;IF(项目基本情况!D3=项目基本情况!B3,"（评估专业人员实地查勘之日）","")</f>
        <v>2022年8月29日</v>
      </c>
    </row>
    <row r="16" ht="17.4" spans="1:1">
      <c r="A16" s="3488" t="s">
        <v>90</v>
      </c>
    </row>
    <row r="17" ht="69.6" spans="1:1">
      <c r="A17" s="3483" t="s">
        <v>91</v>
      </c>
    </row>
    <row r="18" ht="69.6" spans="1:1">
      <c r="A18" s="3483"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8月29日，估价对象规划用途为，土地取得方式为出让，出让国有建设用地使用权剩余土地使用年限为，假定未设立法定优先受偿款下的房地产市场价值。</v>
      </c>
    </row>
    <row r="19" ht="157.5" customHeight="1" spans="1:1">
      <c r="A19" s="3483"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87" spans="1:1">
      <c r="A20" s="348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ht="52.2" spans="1:1">
      <c r="A21" s="348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2" spans="1:1">
      <c r="A22" s="3483"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4" spans="1:1">
      <c r="A23" s="3488" t="s">
        <v>92</v>
      </c>
    </row>
    <row r="24" ht="17.4" spans="1:1">
      <c r="A24" s="3435" t="str">
        <f>"本次评估采用的主估价方法为"&amp;结果表!K4&amp;"和"&amp;结果表!L4&amp;"。"</f>
        <v>本次评估采用的主估价方法为成本法和假设开发法。</v>
      </c>
    </row>
    <row r="25" ht="17.4" spans="1:1">
      <c r="A25" s="3435"/>
    </row>
    <row r="26" ht="17.4" spans="1:1">
      <c r="A26" s="3490" t="s">
        <v>93</v>
      </c>
    </row>
    <row r="27" spans="1:1">
      <c r="A27" s="1717"/>
    </row>
    <row r="28" spans="1:1">
      <c r="A28" s="1717"/>
    </row>
    <row r="29" spans="1:1">
      <c r="A29" s="1717"/>
    </row>
    <row r="30" spans="1:1">
      <c r="A30" s="1717"/>
    </row>
    <row r="31" spans="1:1">
      <c r="A31" s="1717"/>
    </row>
    <row r="32" spans="1:1">
      <c r="A32" s="1717"/>
    </row>
    <row r="33" spans="1:1">
      <c r="A33" s="1717"/>
    </row>
    <row r="34" spans="1:1">
      <c r="A34" s="1717"/>
    </row>
    <row r="35" spans="1:1">
      <c r="A35" s="1717"/>
    </row>
    <row r="36" spans="1:1">
      <c r="A36" s="1717"/>
    </row>
    <row r="37" spans="1:1">
      <c r="A37" s="1717"/>
    </row>
    <row r="38" spans="1:1">
      <c r="A38" s="1717"/>
    </row>
    <row r="39" spans="1:1">
      <c r="A39" s="1717"/>
    </row>
    <row r="40" spans="1:1">
      <c r="A40" s="1717"/>
    </row>
    <row r="41" spans="1:1">
      <c r="A41" s="1717"/>
    </row>
    <row r="42" spans="1:1">
      <c r="A42" s="1717"/>
    </row>
    <row r="43" spans="1:1">
      <c r="A43" s="1717"/>
    </row>
    <row r="44" spans="1:1">
      <c r="A44" s="1717"/>
    </row>
    <row r="45" spans="1:1">
      <c r="A45" s="1717"/>
    </row>
    <row r="46" spans="1:1">
      <c r="A46" s="1717"/>
    </row>
    <row r="47" spans="1:1">
      <c r="A47" s="1717"/>
    </row>
    <row r="48" spans="1:1">
      <c r="A48" s="1717"/>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topLeftCell="A5" workbookViewId="0">
      <selection activeCell="F33" sqref="F33"/>
    </sheetView>
  </sheetViews>
  <sheetFormatPr defaultColWidth="9" defaultRowHeight="13.8"/>
  <cols>
    <col min="1" max="1" width="10.4444444444444" style="21" customWidth="1"/>
    <col min="2" max="2" width="15.7777777777778" style="21" customWidth="1"/>
    <col min="3" max="3" width="14.3333333333333" style="21" customWidth="1"/>
    <col min="4" max="4" width="12.2222222222222" style="21" customWidth="1"/>
    <col min="5" max="5" width="14.3333333333333" style="21" customWidth="1"/>
    <col min="6" max="6" width="12.2222222222222" style="21" customWidth="1"/>
    <col min="7" max="7" width="14.4444444444444" style="21" customWidth="1"/>
    <col min="8" max="8" width="12.2222222222222" style="21" customWidth="1"/>
    <col min="9" max="9" width="15.4444444444444" style="21" customWidth="1"/>
    <col min="10" max="10" width="12.2222222222222" style="21" customWidth="1"/>
    <col min="11" max="11" width="12.2222222222222" style="22" customWidth="1"/>
    <col min="12" max="12" width="12.2222222222222" style="23" customWidth="1"/>
    <col min="13" max="15" width="12.2222222222222" style="21" customWidth="1"/>
    <col min="16" max="16" width="4.77777777777778" style="1471" customWidth="1"/>
    <col min="17" max="17" width="19.4444444444444" style="21" customWidth="1"/>
    <col min="18" max="22" width="6.11111111111111" style="21" customWidth="1"/>
    <col min="23" max="23" width="5.77777777777778" style="21" customWidth="1"/>
    <col min="24" max="24" width="4.22222222222222" style="21" customWidth="1"/>
    <col min="25" max="25" width="3.44444444444444" style="21" customWidth="1"/>
    <col min="26" max="26" width="19.7777777777778" style="21" customWidth="1"/>
    <col min="27" max="28" width="9.33333333333333" style="21" customWidth="1"/>
    <col min="29" max="16384" width="9" style="21"/>
  </cols>
  <sheetData>
    <row r="1" s="1391" customFormat="1" ht="28.5" customHeight="1" spans="1:29">
      <c r="A1" s="1392" t="s">
        <v>1543</v>
      </c>
      <c r="B1" s="1393"/>
      <c r="C1" s="1394" t="s">
        <v>1421</v>
      </c>
      <c r="D1" s="1395"/>
      <c r="E1" s="1472"/>
      <c r="F1" s="1397"/>
      <c r="G1" s="1473" t="s">
        <v>1423</v>
      </c>
      <c r="H1" s="1472"/>
      <c r="I1" s="1472"/>
      <c r="J1" s="1472"/>
      <c r="K1" s="1502"/>
      <c r="L1" s="1503"/>
      <c r="M1" s="1504"/>
      <c r="N1" s="1504"/>
      <c r="O1" s="1504"/>
      <c r="P1" s="1505"/>
      <c r="Q1" s="1394"/>
      <c r="R1" s="1394"/>
      <c r="S1" s="1394"/>
      <c r="T1" s="1394"/>
      <c r="U1" s="1394"/>
      <c r="V1" s="1394"/>
      <c r="W1" s="1394"/>
      <c r="X1" s="1394"/>
      <c r="Y1" s="1394"/>
      <c r="Z1" s="1394"/>
      <c r="AA1" s="1394"/>
      <c r="AB1" s="1394"/>
      <c r="AC1" s="1458"/>
    </row>
    <row r="2" s="14" customFormat="1" ht="28.5" customHeight="1" spans="1:29">
      <c r="A2" s="1399" t="s">
        <v>937</v>
      </c>
      <c r="B2" s="1400" t="e">
        <f ca="1">IF(C2="——",IF(B37="元/平方米",ROUND(C39*D3/10000,0),ROUND(F3*C39/10000,0)),IF(B37="元/平方米",ROUND(C39*D3/10000,0),ROUND(F3*C39/10000,0))-D2)</f>
        <v>#DIV/0!</v>
      </c>
      <c r="C2" s="1401"/>
      <c r="D2" s="1352" t="e">
        <f ca="1">SUMIF(INDIRECT("'"&amp;F2&amp;"'"&amp;"!A:A"),"承租人权益价值",INDIRECT("'"&amp;F2&amp;"'"&amp;"!c:c"))</f>
        <v>#REF!</v>
      </c>
      <c r="E2" s="1402" t="s">
        <v>938</v>
      </c>
      <c r="F2" s="1403"/>
      <c r="G2" s="31"/>
      <c r="H2" s="31"/>
      <c r="I2" s="31"/>
      <c r="J2" s="31"/>
      <c r="K2" s="200"/>
      <c r="L2" s="201"/>
      <c r="M2" s="202"/>
      <c r="N2" s="202"/>
      <c r="O2" s="202"/>
      <c r="P2" s="1506"/>
      <c r="Q2" s="199"/>
      <c r="R2" s="199"/>
      <c r="S2" s="199"/>
      <c r="T2" s="199"/>
      <c r="U2" s="199"/>
      <c r="V2" s="199"/>
      <c r="W2" s="199"/>
      <c r="X2" s="199"/>
      <c r="Y2" s="199"/>
      <c r="Z2" s="199"/>
      <c r="AA2" s="199"/>
      <c r="AB2" s="199"/>
      <c r="AC2" s="280"/>
    </row>
    <row r="3" s="14" customFormat="1" ht="28.5" customHeight="1" spans="1:29">
      <c r="A3" s="33" t="s">
        <v>939</v>
      </c>
      <c r="B3" s="34" t="e">
        <f ca="1">IF(AND(C2="——",B37="元/平方米"),C39,ROUND(B2*10000/D3,0))</f>
        <v>#DIV/0!</v>
      </c>
      <c r="C3" s="1404" t="s">
        <v>1424</v>
      </c>
      <c r="D3" s="1405">
        <f>SUMIF('数据-汇总表'!$C19:$C33,D1,'数据-汇总表'!$E19:$E33)</f>
        <v>0</v>
      </c>
      <c r="E3" s="1404" t="s">
        <v>1544</v>
      </c>
      <c r="F3" s="1405">
        <f>SUMIF('数据-取费表'!A5:A15,D1,'数据-取费表'!AH5:AH15)</f>
        <v>0</v>
      </c>
      <c r="G3" s="31"/>
      <c r="H3" s="31"/>
      <c r="I3" s="31"/>
      <c r="J3" s="31"/>
      <c r="K3" s="200"/>
      <c r="L3" s="201"/>
      <c r="M3" s="202"/>
      <c r="N3" s="202"/>
      <c r="O3" s="202"/>
      <c r="P3" s="1506"/>
      <c r="Q3" s="199"/>
      <c r="R3" s="199"/>
      <c r="S3" s="199"/>
      <c r="T3" s="199"/>
      <c r="U3" s="199"/>
      <c r="V3" s="199"/>
      <c r="W3" s="199"/>
      <c r="X3" s="199"/>
      <c r="Y3" s="199"/>
      <c r="Z3" s="199"/>
      <c r="AA3" s="199"/>
      <c r="AB3" s="281"/>
      <c r="AC3" s="282"/>
    </row>
    <row r="4" ht="14.4" spans="1:29">
      <c r="A4" s="36" t="s">
        <v>1425</v>
      </c>
      <c r="B4" s="37"/>
      <c r="C4" s="38" t="s">
        <v>1426</v>
      </c>
      <c r="D4" s="39"/>
      <c r="E4" s="40" t="s">
        <v>1427</v>
      </c>
      <c r="F4" s="41"/>
      <c r="G4" s="38" t="s">
        <v>1428</v>
      </c>
      <c r="H4" s="39"/>
      <c r="I4" s="38" t="s">
        <v>1429</v>
      </c>
      <c r="J4" s="39"/>
      <c r="K4" s="203" t="s">
        <v>1430</v>
      </c>
      <c r="L4" s="204"/>
      <c r="M4" s="205"/>
      <c r="N4" s="205"/>
      <c r="O4" s="205"/>
      <c r="P4" s="206" t="s">
        <v>1431</v>
      </c>
      <c r="Q4" s="255"/>
      <c r="R4" s="256" t="s">
        <v>1427</v>
      </c>
      <c r="S4" s="257"/>
      <c r="T4" s="256" t="s">
        <v>1428</v>
      </c>
      <c r="U4" s="257"/>
      <c r="V4" s="244" t="s">
        <v>1429</v>
      </c>
      <c r="W4" s="244"/>
      <c r="X4" s="258"/>
      <c r="Y4" s="256" t="s">
        <v>1431</v>
      </c>
      <c r="Z4" s="257"/>
      <c r="AA4" s="283" t="s">
        <v>1427</v>
      </c>
      <c r="AB4" s="258" t="s">
        <v>1428</v>
      </c>
      <c r="AC4" s="283" t="s">
        <v>1429</v>
      </c>
    </row>
    <row r="5" spans="1:29">
      <c r="A5" s="42"/>
      <c r="B5" s="43"/>
      <c r="C5" s="44" t="s">
        <v>1432</v>
      </c>
      <c r="D5" s="45"/>
      <c r="E5" s="46" t="s">
        <v>1433</v>
      </c>
      <c r="F5" s="47"/>
      <c r="G5" s="44" t="s">
        <v>1434</v>
      </c>
      <c r="H5" s="45"/>
      <c r="I5" s="44" t="s">
        <v>1435</v>
      </c>
      <c r="J5" s="45"/>
      <c r="K5" s="203"/>
      <c r="L5" s="204"/>
      <c r="M5" s="205"/>
      <c r="N5" s="205"/>
      <c r="O5" s="205"/>
      <c r="P5" s="207"/>
      <c r="Q5" s="259"/>
      <c r="R5" s="260"/>
      <c r="S5" s="261"/>
      <c r="T5" s="260"/>
      <c r="U5" s="261"/>
      <c r="V5" s="244"/>
      <c r="W5" s="244"/>
      <c r="X5" s="258"/>
      <c r="Y5" s="260"/>
      <c r="Z5" s="261"/>
      <c r="AA5" s="258"/>
      <c r="AB5" s="258"/>
      <c r="AC5" s="258"/>
    </row>
    <row r="6" ht="15.15" spans="1:29">
      <c r="A6" s="48"/>
      <c r="B6" s="49"/>
      <c r="C6" s="1353" t="s">
        <v>1436</v>
      </c>
      <c r="D6" s="1354"/>
      <c r="E6" s="1355" t="s">
        <v>1436</v>
      </c>
      <c r="F6" s="1356"/>
      <c r="G6" s="1353" t="s">
        <v>1436</v>
      </c>
      <c r="H6" s="1354"/>
      <c r="I6" s="1353" t="s">
        <v>1436</v>
      </c>
      <c r="J6" s="1354"/>
      <c r="K6" s="203" t="s">
        <v>1437</v>
      </c>
      <c r="L6" s="204"/>
      <c r="M6" s="205"/>
      <c r="N6" s="205"/>
      <c r="O6" s="205"/>
      <c r="P6" s="208"/>
      <c r="Q6" s="262"/>
      <c r="R6" s="260"/>
      <c r="S6" s="261"/>
      <c r="T6" s="263"/>
      <c r="U6" s="264"/>
      <c r="V6" s="244"/>
      <c r="W6" s="244"/>
      <c r="X6" s="258"/>
      <c r="Y6" s="263"/>
      <c r="Z6" s="264"/>
      <c r="AA6" s="284"/>
      <c r="AB6" s="284"/>
      <c r="AC6" s="284"/>
    </row>
    <row r="7" s="15" customFormat="1" ht="15.15" spans="1:29">
      <c r="A7" s="54" t="s">
        <v>1438</v>
      </c>
      <c r="B7" s="55"/>
      <c r="C7" s="56">
        <f>'数据-取费表'!B2</f>
        <v>44802</v>
      </c>
      <c r="D7" s="57">
        <v>100</v>
      </c>
      <c r="E7" s="58"/>
      <c r="F7" s="59">
        <f>SUMIF(48:48,YEAR(E7)&amp;"-"&amp;MONTH(E7),49:49)</f>
        <v>0</v>
      </c>
      <c r="G7" s="58"/>
      <c r="H7" s="57">
        <f>SUMIF(48:48,YEAR(G7)&amp;"-"&amp;MONTH(G7),49:49)</f>
        <v>0</v>
      </c>
      <c r="I7" s="58"/>
      <c r="J7" s="57">
        <f>SUMIF(48:48,YEAR(I7)&amp;"-"&amp;MONTH(I7),49:49)</f>
        <v>0</v>
      </c>
      <c r="K7" s="209"/>
      <c r="L7" s="210"/>
      <c r="M7" s="211"/>
      <c r="N7" s="211"/>
      <c r="O7" s="211"/>
      <c r="P7" s="212" t="s">
        <v>1439</v>
      </c>
      <c r="Q7" s="265"/>
      <c r="R7" s="266" t="s">
        <v>1440</v>
      </c>
      <c r="S7" s="267">
        <f t="shared" ref="S7:S14" si="0">F7</f>
        <v>0</v>
      </c>
      <c r="T7" s="266" t="s">
        <v>1440</v>
      </c>
      <c r="U7" s="267">
        <f t="shared" ref="U7:U14" si="1">H7</f>
        <v>0</v>
      </c>
      <c r="V7" s="266" t="s">
        <v>1440</v>
      </c>
      <c r="W7" s="267">
        <f t="shared" ref="W7:W14" si="2">J7</f>
        <v>0</v>
      </c>
      <c r="X7" s="268"/>
      <c r="Y7" s="212" t="s">
        <v>1439</v>
      </c>
      <c r="Z7" s="269"/>
      <c r="AA7" s="285" t="e">
        <f>D7/F7</f>
        <v>#DIV/0!</v>
      </c>
      <c r="AB7" s="285" t="e">
        <f>D7/H7</f>
        <v>#DIV/0!</v>
      </c>
      <c r="AC7" s="285" t="e">
        <f>D7/J7</f>
        <v>#DIV/0!</v>
      </c>
    </row>
    <row r="8" s="15" customFormat="1" ht="15.15" spans="1:29">
      <c r="A8" s="54" t="s">
        <v>1441</v>
      </c>
      <c r="B8" s="55"/>
      <c r="C8" s="61" t="s">
        <v>1442</v>
      </c>
      <c r="D8" s="57">
        <v>100</v>
      </c>
      <c r="E8" s="61"/>
      <c r="F8" s="59">
        <f>SUMIF(51:51,E8,52:52)-SUMIF(51:51,C8,52:52)+100</f>
        <v>0</v>
      </c>
      <c r="G8" s="61"/>
      <c r="H8" s="57">
        <f>SUMIF(51:51,G8,52:52)-SUMIF(51:51,C8,52:52)+100</f>
        <v>0</v>
      </c>
      <c r="I8" s="61"/>
      <c r="J8" s="57">
        <f>SUMIF(51:51,I8,52:52)-SUMIF(51:51,C8,52:52)+100</f>
        <v>0</v>
      </c>
      <c r="K8" s="209"/>
      <c r="L8" s="210"/>
      <c r="M8" s="211"/>
      <c r="N8" s="211"/>
      <c r="O8" s="211"/>
      <c r="P8" s="212" t="s">
        <v>1443</v>
      </c>
      <c r="Q8" s="269"/>
      <c r="R8" s="266" t="s">
        <v>1440</v>
      </c>
      <c r="S8" s="267">
        <f t="shared" si="0"/>
        <v>0</v>
      </c>
      <c r="T8" s="266" t="s">
        <v>1440</v>
      </c>
      <c r="U8" s="267">
        <f t="shared" si="1"/>
        <v>0</v>
      </c>
      <c r="V8" s="266" t="s">
        <v>1440</v>
      </c>
      <c r="W8" s="267">
        <f t="shared" si="2"/>
        <v>0</v>
      </c>
      <c r="X8" s="268"/>
      <c r="Y8" s="212" t="s">
        <v>1443</v>
      </c>
      <c r="Z8" s="269"/>
      <c r="AA8" s="285" t="e">
        <f t="shared" ref="AA8:AA36" si="3">D8/F8</f>
        <v>#DIV/0!</v>
      </c>
      <c r="AB8" s="285" t="e">
        <f t="shared" ref="AB8:AB36" si="4">D8/H8</f>
        <v>#DIV/0!</v>
      </c>
      <c r="AC8" s="285" t="e">
        <f t="shared" ref="AC8:AC36" si="5">D8/J8</f>
        <v>#DIV/0!</v>
      </c>
    </row>
    <row r="9" s="15" customFormat="1" ht="14.4" spans="1:29">
      <c r="A9" s="1474" t="s">
        <v>1444</v>
      </c>
      <c r="B9" s="1475" t="s">
        <v>1445</v>
      </c>
      <c r="C9" s="1406"/>
      <c r="D9" s="65">
        <v>100</v>
      </c>
      <c r="E9" s="1407"/>
      <c r="F9" s="65">
        <f>SUMIF(53:53,E9,54:54)-SUMIF(53:53,C9,54:54)+100</f>
        <v>100</v>
      </c>
      <c r="G9" s="1476"/>
      <c r="H9" s="65">
        <f>SUMIF(53:53,G9,54:54)-SUMIF(53:53,C9,54:54)+100</f>
        <v>100</v>
      </c>
      <c r="I9" s="1476"/>
      <c r="J9" s="65">
        <f>SUMIF(53:53,I9,54:54)-SUMIF(53:53,C9,54:54)+100</f>
        <v>100</v>
      </c>
      <c r="K9" s="209"/>
      <c r="L9" s="210"/>
      <c r="M9" s="211"/>
      <c r="N9" s="211"/>
      <c r="O9" s="211"/>
      <c r="P9" s="169" t="s">
        <v>1446</v>
      </c>
      <c r="Q9" s="270" t="str">
        <f t="shared" ref="Q9:Q14" si="6">B9</f>
        <v>用途</v>
      </c>
      <c r="R9" s="266" t="s">
        <v>1440</v>
      </c>
      <c r="S9" s="267">
        <f t="shared" si="0"/>
        <v>100</v>
      </c>
      <c r="T9" s="266" t="s">
        <v>1440</v>
      </c>
      <c r="U9" s="267">
        <f t="shared" si="1"/>
        <v>100</v>
      </c>
      <c r="V9" s="266" t="s">
        <v>1440</v>
      </c>
      <c r="W9" s="267">
        <f t="shared" si="2"/>
        <v>100</v>
      </c>
      <c r="X9" s="268"/>
      <c r="Y9" s="270" t="s">
        <v>1447</v>
      </c>
      <c r="Z9" s="286" t="str">
        <f t="shared" ref="Z9:Z14" si="7">Q9</f>
        <v>用途</v>
      </c>
      <c r="AA9" s="285">
        <f t="shared" si="3"/>
        <v>1</v>
      </c>
      <c r="AB9" s="285">
        <f t="shared" si="4"/>
        <v>1</v>
      </c>
      <c r="AC9" s="285">
        <f t="shared" si="5"/>
        <v>1</v>
      </c>
    </row>
    <row r="10" s="16" customFormat="1" ht="28.8" spans="1:29">
      <c r="A10" s="1477"/>
      <c r="B10" s="1478" t="s">
        <v>1448</v>
      </c>
      <c r="C10" s="1409"/>
      <c r="D10" s="69">
        <v>100</v>
      </c>
      <c r="E10" s="1409"/>
      <c r="F10" s="69">
        <f>SUMIF(55:55,E10,56:56)-SUMIF(55:55,C10,56:56)+100</f>
        <v>100</v>
      </c>
      <c r="G10" s="1479"/>
      <c r="H10" s="69">
        <f>SUMIF(55:55,G10,56:56)-SUMIF(55:55,C10,56:56)+100</f>
        <v>100</v>
      </c>
      <c r="I10" s="1409"/>
      <c r="J10" s="69">
        <f>SUMIF(55:55,I10,56:56)-SUMIF(55:55,C10,56:56)+100</f>
        <v>100</v>
      </c>
      <c r="K10" s="228"/>
      <c r="L10" s="215"/>
      <c r="M10" s="216"/>
      <c r="N10" s="216"/>
      <c r="O10" s="216"/>
      <c r="P10" s="169"/>
      <c r="Q10" s="270" t="str">
        <f t="shared" si="6"/>
        <v>土地使用年限（年）</v>
      </c>
      <c r="R10" s="266" t="s">
        <v>1440</v>
      </c>
      <c r="S10" s="267">
        <f t="shared" si="0"/>
        <v>100</v>
      </c>
      <c r="T10" s="266" t="s">
        <v>1440</v>
      </c>
      <c r="U10" s="267">
        <f t="shared" si="1"/>
        <v>100</v>
      </c>
      <c r="V10" s="266" t="s">
        <v>1440</v>
      </c>
      <c r="W10" s="267">
        <f t="shared" si="2"/>
        <v>100</v>
      </c>
      <c r="X10" s="268"/>
      <c r="Y10" s="270"/>
      <c r="Z10" s="286" t="str">
        <f t="shared" si="7"/>
        <v>土地使用年限（年）</v>
      </c>
      <c r="AA10" s="285">
        <f t="shared" si="3"/>
        <v>1</v>
      </c>
      <c r="AB10" s="285">
        <f t="shared" si="4"/>
        <v>1</v>
      </c>
      <c r="AC10" s="285">
        <f t="shared" si="5"/>
        <v>1</v>
      </c>
    </row>
    <row r="11" ht="15" spans="1:29">
      <c r="A11" s="1480"/>
      <c r="B11" s="1481">
        <v>111</v>
      </c>
      <c r="C11" s="68"/>
      <c r="D11" s="69">
        <v>100</v>
      </c>
      <c r="E11" s="68"/>
      <c r="F11" s="69">
        <f>SUMIF(57:57,E11,58:58)-SUMIF(57:57,C11,58:58)+100</f>
        <v>100</v>
      </c>
      <c r="G11" s="68"/>
      <c r="H11" s="69">
        <f>SUMIF(57:57,G11,58:58)-SUMIF(57:57,C11,58:58)+100</f>
        <v>100</v>
      </c>
      <c r="I11" s="68"/>
      <c r="J11" s="69">
        <f>SUMIF(57:57,I11,58:58)-SUMIF(57:57,C11,58:58)+100</f>
        <v>100</v>
      </c>
      <c r="K11" s="227"/>
      <c r="L11" s="219"/>
      <c r="M11" s="205"/>
      <c r="N11" s="205"/>
      <c r="O11" s="205"/>
      <c r="P11" s="169"/>
      <c r="Q11" s="270">
        <f t="shared" si="6"/>
        <v>111</v>
      </c>
      <c r="R11" s="266" t="s">
        <v>1440</v>
      </c>
      <c r="S11" s="267">
        <f t="shared" si="0"/>
        <v>100</v>
      </c>
      <c r="T11" s="266" t="s">
        <v>1440</v>
      </c>
      <c r="U11" s="267">
        <f t="shared" si="1"/>
        <v>100</v>
      </c>
      <c r="V11" s="266" t="s">
        <v>1440</v>
      </c>
      <c r="W11" s="267">
        <f t="shared" si="2"/>
        <v>100</v>
      </c>
      <c r="X11" s="268"/>
      <c r="Y11" s="270"/>
      <c r="Z11" s="286">
        <f t="shared" si="7"/>
        <v>111</v>
      </c>
      <c r="AA11" s="285">
        <f t="shared" si="3"/>
        <v>1</v>
      </c>
      <c r="AB11" s="285">
        <f t="shared" si="4"/>
        <v>1</v>
      </c>
      <c r="AC11" s="285">
        <f t="shared" si="5"/>
        <v>1</v>
      </c>
    </row>
    <row r="12" s="15" customFormat="1" ht="15" spans="1:29">
      <c r="A12" s="1482"/>
      <c r="B12" s="1481">
        <v>111</v>
      </c>
      <c r="C12" s="68"/>
      <c r="D12" s="75">
        <v>100</v>
      </c>
      <c r="E12" s="68"/>
      <c r="F12" s="69">
        <f>SUMIF(59:59,E12,60:60)-SUMIF(59:59,C12,60:60)+100</f>
        <v>100</v>
      </c>
      <c r="G12" s="68"/>
      <c r="H12" s="69">
        <f>SUMIF(59:59,G12,60:60)-SUMIF(59:59,C12,60:60)+100</f>
        <v>100</v>
      </c>
      <c r="I12" s="68"/>
      <c r="J12" s="69">
        <f>SUMIF(59:59,I12,60:60)-SUMIF(59:59,C12,60:60)+100</f>
        <v>100</v>
      </c>
      <c r="K12" s="227"/>
      <c r="L12" s="210"/>
      <c r="M12" s="211"/>
      <c r="N12" s="211"/>
      <c r="O12" s="211"/>
      <c r="P12" s="169"/>
      <c r="Q12" s="270">
        <f t="shared" si="6"/>
        <v>111</v>
      </c>
      <c r="R12" s="266" t="s">
        <v>1440</v>
      </c>
      <c r="S12" s="267">
        <f t="shared" si="0"/>
        <v>100</v>
      </c>
      <c r="T12" s="266" t="s">
        <v>1440</v>
      </c>
      <c r="U12" s="267">
        <f t="shared" si="1"/>
        <v>100</v>
      </c>
      <c r="V12" s="266" t="s">
        <v>1440</v>
      </c>
      <c r="W12" s="267">
        <f t="shared" si="2"/>
        <v>100</v>
      </c>
      <c r="X12" s="268"/>
      <c r="Y12" s="270"/>
      <c r="Z12" s="286">
        <f t="shared" si="7"/>
        <v>111</v>
      </c>
      <c r="AA12" s="285">
        <f t="shared" si="3"/>
        <v>1</v>
      </c>
      <c r="AB12" s="285">
        <f t="shared" si="4"/>
        <v>1</v>
      </c>
      <c r="AC12" s="285">
        <f t="shared" si="5"/>
        <v>1</v>
      </c>
    </row>
    <row r="13" ht="15.75" spans="1:29">
      <c r="A13" s="1483"/>
      <c r="B13" s="1481">
        <v>111</v>
      </c>
      <c r="C13" s="78"/>
      <c r="D13" s="79">
        <v>100</v>
      </c>
      <c r="E13" s="68"/>
      <c r="F13" s="69">
        <f>SUMIF(61:61,E13,62:62)-SUMIF(61:61,C13,62:62)+100</f>
        <v>100</v>
      </c>
      <c r="G13" s="68"/>
      <c r="H13" s="79">
        <f>SUMIF(61:61,G13,62:62)-SUMIF(61:61,C13,62:62)+100</f>
        <v>100</v>
      </c>
      <c r="I13" s="68"/>
      <c r="J13" s="79">
        <f>SUMIF(61:61,I13,62:62)-SUMIF(61:61,C13,62:62)+100</f>
        <v>100</v>
      </c>
      <c r="K13" s="227"/>
      <c r="L13" s="221"/>
      <c r="M13" s="205"/>
      <c r="N13" s="205"/>
      <c r="O13" s="205"/>
      <c r="P13" s="169"/>
      <c r="Q13" s="270">
        <f t="shared" si="6"/>
        <v>111</v>
      </c>
      <c r="R13" s="266" t="s">
        <v>1440</v>
      </c>
      <c r="S13" s="267">
        <f t="shared" si="0"/>
        <v>100</v>
      </c>
      <c r="T13" s="266" t="s">
        <v>1440</v>
      </c>
      <c r="U13" s="267">
        <f t="shared" si="1"/>
        <v>100</v>
      </c>
      <c r="V13" s="266" t="s">
        <v>1440</v>
      </c>
      <c r="W13" s="267">
        <f t="shared" si="2"/>
        <v>100</v>
      </c>
      <c r="X13" s="268"/>
      <c r="Y13" s="270"/>
      <c r="Z13" s="286">
        <f t="shared" si="7"/>
        <v>111</v>
      </c>
      <c r="AA13" s="285">
        <f t="shared" si="3"/>
        <v>1</v>
      </c>
      <c r="AB13" s="285">
        <f t="shared" si="4"/>
        <v>1</v>
      </c>
      <c r="AC13" s="285">
        <f t="shared" si="5"/>
        <v>1</v>
      </c>
    </row>
    <row r="14" ht="100.8" spans="1:29">
      <c r="A14" s="36" t="s">
        <v>1450</v>
      </c>
      <c r="B14" s="85" t="s">
        <v>1453</v>
      </c>
      <c r="C14" s="86" t="str">
        <f>IF(B1="工业",估价对象房地状况!G4,估价对象房地状况!C6)</f>
        <v>估价对象周边道路状况、公共交通通达情况、停车便捷程度，综合评价交通便捷度较好</v>
      </c>
      <c r="D14" s="87">
        <v>100</v>
      </c>
      <c r="E14" s="88"/>
      <c r="F14" s="1413">
        <f>SUMIF(63:63,E15,64:64)-SUMIF(63:63,C15,64:64)+100</f>
        <v>100</v>
      </c>
      <c r="G14" s="222"/>
      <c r="H14" s="87">
        <f>SUMIF(63:63,G15,64:64)-SUMIF(63:63,C15,64:64)+100</f>
        <v>100</v>
      </c>
      <c r="I14" s="88"/>
      <c r="J14" s="87">
        <f>SUMIF(63:63,I15,64:64)-SUMIF(63:63,C15,64:64)+100</f>
        <v>100</v>
      </c>
      <c r="K14" s="1452"/>
      <c r="L14" s="221"/>
      <c r="M14" s="205"/>
      <c r="N14" s="205"/>
      <c r="O14" s="205"/>
      <c r="P14" s="223" t="s">
        <v>1452</v>
      </c>
      <c r="Q14" s="169" t="str">
        <f t="shared" si="6"/>
        <v>交通便捷度</v>
      </c>
      <c r="R14" s="271" t="s">
        <v>1440</v>
      </c>
      <c r="S14" s="272">
        <f t="shared" si="0"/>
        <v>100</v>
      </c>
      <c r="T14" s="271" t="s">
        <v>1440</v>
      </c>
      <c r="U14" s="272">
        <f t="shared" si="1"/>
        <v>100</v>
      </c>
      <c r="V14" s="271" t="s">
        <v>1440</v>
      </c>
      <c r="W14" s="272">
        <f t="shared" si="2"/>
        <v>100</v>
      </c>
      <c r="X14" s="258"/>
      <c r="Y14" s="223" t="s">
        <v>1452</v>
      </c>
      <c r="Z14" s="244" t="str">
        <f t="shared" si="7"/>
        <v>交通便捷度</v>
      </c>
      <c r="AA14" s="287">
        <f t="shared" si="3"/>
        <v>1</v>
      </c>
      <c r="AB14" s="287">
        <f t="shared" si="4"/>
        <v>1</v>
      </c>
      <c r="AC14" s="287">
        <f t="shared" si="5"/>
        <v>1</v>
      </c>
    </row>
    <row r="15" ht="15" spans="1:29">
      <c r="A15" s="42"/>
      <c r="B15" s="1484"/>
      <c r="C15" s="90"/>
      <c r="D15" s="91"/>
      <c r="E15" s="90"/>
      <c r="F15" s="1414"/>
      <c r="G15" s="90"/>
      <c r="H15" s="93"/>
      <c r="I15" s="90"/>
      <c r="J15" s="91"/>
      <c r="K15" s="1453"/>
      <c r="L15" s="221"/>
      <c r="M15" s="205"/>
      <c r="N15" s="205"/>
      <c r="O15" s="205"/>
      <c r="P15" s="224"/>
      <c r="Q15" s="169"/>
      <c r="R15" s="271"/>
      <c r="S15" s="272"/>
      <c r="T15" s="271"/>
      <c r="U15" s="272"/>
      <c r="V15" s="271"/>
      <c r="W15" s="272"/>
      <c r="X15" s="258"/>
      <c r="Y15" s="224"/>
      <c r="Z15" s="244"/>
      <c r="AA15" s="287">
        <v>1</v>
      </c>
      <c r="AB15" s="287">
        <v>1</v>
      </c>
      <c r="AC15" s="287">
        <v>1</v>
      </c>
    </row>
    <row r="16" ht="43.2" spans="1:29">
      <c r="A16" s="42"/>
      <c r="B16" s="94" t="s">
        <v>1454</v>
      </c>
      <c r="C16" s="95" t="str">
        <f>IF(B1="工业",估价对象房地状况!G5,估价对象房地状况!C7)</f>
        <v>估价对象所在区域公共配套设施齐备情况</v>
      </c>
      <c r="D16" s="97">
        <v>100</v>
      </c>
      <c r="E16" s="1365"/>
      <c r="F16" s="1415">
        <f>SUMIF(65:65,E17,66:66)-SUMIF(65:65,C17,66:66)+100</f>
        <v>100</v>
      </c>
      <c r="G16" s="1374"/>
      <c r="H16" s="97">
        <f>SUMIF(65:65,G17,66:66)-SUMIF(65:65,C17,66:66)+100</f>
        <v>100</v>
      </c>
      <c r="I16" s="1365"/>
      <c r="J16" s="97">
        <f>SUMIF(65:65,I17,66:66)-SUMIF(65:65,C17,66:66)+100</f>
        <v>100</v>
      </c>
      <c r="K16" s="1452"/>
      <c r="L16" s="221"/>
      <c r="M16" s="205"/>
      <c r="N16" s="205"/>
      <c r="O16" s="205"/>
      <c r="P16" s="224"/>
      <c r="Q16" s="169" t="str">
        <f>B16</f>
        <v>公共配套设施</v>
      </c>
      <c r="R16" s="271" t="s">
        <v>1440</v>
      </c>
      <c r="S16" s="272">
        <f>F16</f>
        <v>100</v>
      </c>
      <c r="T16" s="271" t="s">
        <v>1440</v>
      </c>
      <c r="U16" s="272">
        <f>H16</f>
        <v>100</v>
      </c>
      <c r="V16" s="271" t="s">
        <v>1440</v>
      </c>
      <c r="W16" s="272">
        <f>J16</f>
        <v>100</v>
      </c>
      <c r="X16" s="258"/>
      <c r="Y16" s="224"/>
      <c r="Z16" s="244" t="str">
        <f>Q16</f>
        <v>公共配套设施</v>
      </c>
      <c r="AA16" s="287">
        <f t="shared" si="3"/>
        <v>1</v>
      </c>
      <c r="AB16" s="287">
        <f t="shared" si="4"/>
        <v>1</v>
      </c>
      <c r="AC16" s="287">
        <f t="shared" si="5"/>
        <v>1</v>
      </c>
    </row>
    <row r="17" ht="15" spans="1:29">
      <c r="A17" s="42"/>
      <c r="B17" s="98"/>
      <c r="C17" s="1363"/>
      <c r="D17" s="91"/>
      <c r="E17" s="90"/>
      <c r="F17" s="1414"/>
      <c r="G17" s="90"/>
      <c r="H17" s="91"/>
      <c r="I17" s="90"/>
      <c r="J17" s="91"/>
      <c r="K17" s="1453"/>
      <c r="L17" s="221"/>
      <c r="M17" s="205"/>
      <c r="N17" s="205"/>
      <c r="O17" s="205"/>
      <c r="P17" s="224"/>
      <c r="Q17" s="169"/>
      <c r="R17" s="271"/>
      <c r="S17" s="272"/>
      <c r="T17" s="271"/>
      <c r="U17" s="272"/>
      <c r="V17" s="271"/>
      <c r="W17" s="272"/>
      <c r="X17" s="258"/>
      <c r="Y17" s="224"/>
      <c r="Z17" s="244"/>
      <c r="AA17" s="287">
        <v>1</v>
      </c>
      <c r="AB17" s="287">
        <v>1</v>
      </c>
      <c r="AC17" s="287">
        <v>1</v>
      </c>
    </row>
    <row r="18" ht="43.2" spans="1:29">
      <c r="A18" s="42"/>
      <c r="B18" s="101" t="s">
        <v>1455</v>
      </c>
      <c r="C18" s="95" t="str">
        <f>IF(B1="工业",估价对象房地状况!G6,估价对象房地状况!C8)</f>
        <v>估价对象所在区域基础设施水平</v>
      </c>
      <c r="D18" s="93">
        <v>100</v>
      </c>
      <c r="E18" s="96"/>
      <c r="F18" s="1415">
        <f>SUMIF(67:67,E19,68:68)-SUMIF(67:67,C19,68:68)+100</f>
        <v>100</v>
      </c>
      <c r="G18" s="225"/>
      <c r="H18" s="97">
        <f>SUMIF(67:67,G19,68:68)-SUMIF(67:67,C19,68:68)+100</f>
        <v>100</v>
      </c>
      <c r="I18" s="96"/>
      <c r="J18" s="97">
        <f>SUMIF(67:67,I19,68:68)-SUMIF(67:67,C19,68:68)+100</f>
        <v>100</v>
      </c>
      <c r="K18" s="1452"/>
      <c r="L18" s="221"/>
      <c r="M18" s="205"/>
      <c r="N18" s="205"/>
      <c r="O18" s="205"/>
      <c r="P18" s="224"/>
      <c r="Q18" s="169" t="str">
        <f>B18</f>
        <v>基础设施水平</v>
      </c>
      <c r="R18" s="271" t="s">
        <v>1440</v>
      </c>
      <c r="S18" s="272">
        <f>F18</f>
        <v>100</v>
      </c>
      <c r="T18" s="271" t="s">
        <v>1440</v>
      </c>
      <c r="U18" s="272">
        <f>H18</f>
        <v>100</v>
      </c>
      <c r="V18" s="271" t="s">
        <v>1440</v>
      </c>
      <c r="W18" s="272">
        <f>J18</f>
        <v>100</v>
      </c>
      <c r="X18" s="258"/>
      <c r="Y18" s="224"/>
      <c r="Z18" s="244" t="str">
        <f>Q18</f>
        <v>基础设施水平</v>
      </c>
      <c r="AA18" s="287">
        <f t="shared" ref="AA18" si="8">D18/F18</f>
        <v>1</v>
      </c>
      <c r="AB18" s="287">
        <f t="shared" ref="AB18" si="9">D18/H18</f>
        <v>1</v>
      </c>
      <c r="AC18" s="287">
        <f t="shared" ref="AC18" si="10">D18/J18</f>
        <v>1</v>
      </c>
    </row>
    <row r="19" ht="15" spans="1:29">
      <c r="A19" s="42"/>
      <c r="B19" s="101"/>
      <c r="C19" s="1363"/>
      <c r="D19" s="93"/>
      <c r="E19" s="1363"/>
      <c r="F19" s="1416"/>
      <c r="G19" s="1363"/>
      <c r="H19" s="91"/>
      <c r="I19" s="90"/>
      <c r="J19" s="91"/>
      <c r="K19" s="1454"/>
      <c r="L19" s="221"/>
      <c r="M19" s="205"/>
      <c r="N19" s="205"/>
      <c r="O19" s="205"/>
      <c r="P19" s="224"/>
      <c r="Q19" s="169"/>
      <c r="R19" s="271"/>
      <c r="S19" s="272"/>
      <c r="T19" s="271"/>
      <c r="U19" s="272"/>
      <c r="V19" s="271"/>
      <c r="W19" s="272"/>
      <c r="X19" s="258"/>
      <c r="Y19" s="224"/>
      <c r="Z19" s="244"/>
      <c r="AA19" s="287">
        <v>1</v>
      </c>
      <c r="AB19" s="287">
        <v>1</v>
      </c>
      <c r="AC19" s="287">
        <v>1</v>
      </c>
    </row>
    <row r="20" ht="57.6" spans="1:29">
      <c r="A20" s="42"/>
      <c r="B20" s="94" t="s">
        <v>1456</v>
      </c>
      <c r="C20" s="95" t="str">
        <f>IF(B1="工业",估价对象房地状况!G7,估价对象房地状况!C9)</f>
        <v>区域自然环境：；人文环境；综合评价环境状况一般</v>
      </c>
      <c r="D20" s="97">
        <v>100</v>
      </c>
      <c r="E20" s="1365"/>
      <c r="F20" s="1415">
        <f>SUMIF(69:69,E21,70:70)-SUMIF(69:69,C21,70:70)+100</f>
        <v>100</v>
      </c>
      <c r="G20" s="1374"/>
      <c r="H20" s="93">
        <f>SUMIF(69:69,G21,70:70)-SUMIF(69:69,C21,70:70)+100</f>
        <v>100</v>
      </c>
      <c r="I20" s="96"/>
      <c r="J20" s="93">
        <f>SUMIF(69:69,I21,70:70)-SUMIF(69:69,C21,70:70)+100</f>
        <v>100</v>
      </c>
      <c r="K20" s="1452"/>
      <c r="L20" s="221"/>
      <c r="M20" s="205"/>
      <c r="N20" s="205"/>
      <c r="O20" s="205"/>
      <c r="P20" s="224"/>
      <c r="Q20" s="169" t="str">
        <f>B20</f>
        <v>自然及人文环境</v>
      </c>
      <c r="R20" s="271" t="s">
        <v>1440</v>
      </c>
      <c r="S20" s="272">
        <f>F20</f>
        <v>100</v>
      </c>
      <c r="T20" s="271" t="s">
        <v>1440</v>
      </c>
      <c r="U20" s="272">
        <f>H20</f>
        <v>100</v>
      </c>
      <c r="V20" s="271" t="s">
        <v>1440</v>
      </c>
      <c r="W20" s="272">
        <f>J20</f>
        <v>100</v>
      </c>
      <c r="X20" s="258"/>
      <c r="Y20" s="224"/>
      <c r="Z20" s="244" t="str">
        <f>Q20</f>
        <v>自然及人文环境</v>
      </c>
      <c r="AA20" s="287">
        <f t="shared" si="3"/>
        <v>1</v>
      </c>
      <c r="AB20" s="287">
        <f t="shared" si="4"/>
        <v>1</v>
      </c>
      <c r="AC20" s="287">
        <f t="shared" si="5"/>
        <v>1</v>
      </c>
    </row>
    <row r="21" ht="15" spans="1:29">
      <c r="A21" s="42"/>
      <c r="B21" s="98"/>
      <c r="C21" s="90"/>
      <c r="D21" s="91"/>
      <c r="E21" s="90"/>
      <c r="F21" s="1414"/>
      <c r="G21" s="90"/>
      <c r="H21" s="91"/>
      <c r="I21" s="90"/>
      <c r="J21" s="91"/>
      <c r="K21" s="1453"/>
      <c r="L21" s="221"/>
      <c r="M21" s="205"/>
      <c r="N21" s="205"/>
      <c r="O21" s="205"/>
      <c r="P21" s="224"/>
      <c r="Q21" s="169"/>
      <c r="R21" s="271"/>
      <c r="S21" s="272"/>
      <c r="T21" s="271"/>
      <c r="U21" s="272"/>
      <c r="V21" s="271"/>
      <c r="W21" s="272"/>
      <c r="X21" s="258"/>
      <c r="Y21" s="224"/>
      <c r="Z21" s="244"/>
      <c r="AA21" s="287">
        <v>1</v>
      </c>
      <c r="AB21" s="287">
        <v>1</v>
      </c>
      <c r="AC21" s="287">
        <v>1</v>
      </c>
    </row>
    <row r="22" ht="15" spans="1:29">
      <c r="A22" s="42"/>
      <c r="B22" s="94" t="s">
        <v>1524</v>
      </c>
      <c r="C22" s="104"/>
      <c r="D22" s="93">
        <v>100</v>
      </c>
      <c r="E22" s="104"/>
      <c r="F22" s="1417">
        <f>SUMIF(71:71,E22,72:72)-SUMIF(71:71,C22,72:72)+100</f>
        <v>100</v>
      </c>
      <c r="G22" s="104"/>
      <c r="H22" s="79">
        <f>SUMIF(71:71,G22,72:72)-SUMIF(71:71,C22,72:72)+100</f>
        <v>100</v>
      </c>
      <c r="I22" s="104"/>
      <c r="J22" s="79">
        <f>SUMIF(71:71,I22,72:72)-SUMIF(71:71,C22,72:72)+100</f>
        <v>100</v>
      </c>
      <c r="K22" s="228"/>
      <c r="L22" s="221"/>
      <c r="M22" s="205"/>
      <c r="N22" s="205"/>
      <c r="O22" s="205"/>
      <c r="P22" s="224"/>
      <c r="Q22" s="169" t="str">
        <f>B22</f>
        <v>楼层</v>
      </c>
      <c r="R22" s="271" t="s">
        <v>1440</v>
      </c>
      <c r="S22" s="272">
        <f>F22</f>
        <v>100</v>
      </c>
      <c r="T22" s="271" t="s">
        <v>1440</v>
      </c>
      <c r="U22" s="272">
        <f>H22</f>
        <v>100</v>
      </c>
      <c r="V22" s="271" t="s">
        <v>1440</v>
      </c>
      <c r="W22" s="272">
        <f>J22</f>
        <v>100</v>
      </c>
      <c r="X22" s="258"/>
      <c r="Y22" s="224"/>
      <c r="Z22" s="244" t="str">
        <f>Q22</f>
        <v>楼层</v>
      </c>
      <c r="AA22" s="287">
        <f t="shared" si="3"/>
        <v>1</v>
      </c>
      <c r="AB22" s="287">
        <f t="shared" si="4"/>
        <v>1</v>
      </c>
      <c r="AC22" s="287">
        <f t="shared" si="5"/>
        <v>1</v>
      </c>
    </row>
    <row r="23" ht="15" spans="1:29">
      <c r="A23" s="42"/>
      <c r="B23" s="1485">
        <v>111</v>
      </c>
      <c r="C23" s="68"/>
      <c r="D23" s="79">
        <v>100</v>
      </c>
      <c r="E23" s="68"/>
      <c r="F23" s="1417">
        <f>SUMIF(73:73,E23,74:74)-SUMIF(73:73,C23,74:74)+100</f>
        <v>100</v>
      </c>
      <c r="G23" s="68"/>
      <c r="H23" s="79">
        <f>SUMIF(73:73,G23,74:74)-SUMIF(73:73,C23,74:74)+100</f>
        <v>100</v>
      </c>
      <c r="I23" s="68"/>
      <c r="J23" s="79">
        <f>SUMIF(73:73,I23,74:74)-SUMIF(73:73,C23,74:74)+100</f>
        <v>100</v>
      </c>
      <c r="K23" s="227"/>
      <c r="L23" s="221"/>
      <c r="M23" s="205"/>
      <c r="N23" s="205"/>
      <c r="O23" s="205"/>
      <c r="P23" s="224"/>
      <c r="Q23" s="169">
        <f>B23</f>
        <v>111</v>
      </c>
      <c r="R23" s="271" t="s">
        <v>1440</v>
      </c>
      <c r="S23" s="272">
        <f>F23</f>
        <v>100</v>
      </c>
      <c r="T23" s="271" t="s">
        <v>1440</v>
      </c>
      <c r="U23" s="272">
        <f>H23</f>
        <v>100</v>
      </c>
      <c r="V23" s="271" t="s">
        <v>1440</v>
      </c>
      <c r="W23" s="272">
        <f>J23</f>
        <v>100</v>
      </c>
      <c r="X23" s="258"/>
      <c r="Y23" s="224"/>
      <c r="Z23" s="244">
        <f>Q23</f>
        <v>111</v>
      </c>
      <c r="AA23" s="287">
        <f t="shared" si="3"/>
        <v>1</v>
      </c>
      <c r="AB23" s="287">
        <f t="shared" si="4"/>
        <v>1</v>
      </c>
      <c r="AC23" s="287">
        <f t="shared" si="5"/>
        <v>1</v>
      </c>
    </row>
    <row r="24" ht="15" spans="1:29">
      <c r="A24" s="42"/>
      <c r="B24" s="1485">
        <v>111</v>
      </c>
      <c r="C24" s="68"/>
      <c r="D24" s="79">
        <v>100</v>
      </c>
      <c r="E24" s="68"/>
      <c r="F24" s="1417">
        <f>SUMIF(75:75,E24,76:76)-SUMIF(75:75,C24,76:76)+100</f>
        <v>100</v>
      </c>
      <c r="G24" s="68"/>
      <c r="H24" s="79">
        <f>SUMIF(75:75,G24,76:76)-SUMIF(75:75,C24,76:76)+100</f>
        <v>100</v>
      </c>
      <c r="I24" s="68"/>
      <c r="J24" s="79">
        <f>SUMIF(75:75,I24,76:76)-SUMIF(75:75,C24,76:76)+100</f>
        <v>100</v>
      </c>
      <c r="K24" s="227"/>
      <c r="L24" s="221"/>
      <c r="M24" s="205"/>
      <c r="N24" s="205"/>
      <c r="O24" s="205"/>
      <c r="P24" s="224"/>
      <c r="Q24" s="169">
        <f t="shared" ref="Q24:Q36" si="11">B24</f>
        <v>111</v>
      </c>
      <c r="R24" s="271" t="s">
        <v>1440</v>
      </c>
      <c r="S24" s="272">
        <f>F24</f>
        <v>100</v>
      </c>
      <c r="T24" s="271" t="s">
        <v>1440</v>
      </c>
      <c r="U24" s="272">
        <f>H24</f>
        <v>100</v>
      </c>
      <c r="V24" s="271" t="s">
        <v>1440</v>
      </c>
      <c r="W24" s="272">
        <f>J24</f>
        <v>100</v>
      </c>
      <c r="X24" s="258"/>
      <c r="Y24" s="224"/>
      <c r="Z24" s="244">
        <f>Q24</f>
        <v>111</v>
      </c>
      <c r="AA24" s="287">
        <f t="shared" si="3"/>
        <v>1</v>
      </c>
      <c r="AB24" s="287">
        <f t="shared" si="4"/>
        <v>1</v>
      </c>
      <c r="AC24" s="287">
        <f t="shared" si="5"/>
        <v>1</v>
      </c>
    </row>
    <row r="25" s="15" customFormat="1" ht="15.75" spans="1:29">
      <c r="A25" s="100"/>
      <c r="B25" s="1486">
        <v>111</v>
      </c>
      <c r="C25" s="82"/>
      <c r="D25" s="1487">
        <v>100</v>
      </c>
      <c r="E25" s="1488"/>
      <c r="F25" s="1489">
        <f>SUMIF(77:77,E25,78:78)-SUMIF(77:77,C25,78:78)+100</f>
        <v>100</v>
      </c>
      <c r="G25" s="1488"/>
      <c r="H25" s="1487">
        <f>SUMIF(77:77,G25,78:78)-SUMIF(77:77,C25,78:78)+100</f>
        <v>100</v>
      </c>
      <c r="I25" s="1488"/>
      <c r="J25" s="1487">
        <f>SUMIF(77:77,I25,78:78)-SUMIF(77:77,C25,78:78)+100</f>
        <v>100</v>
      </c>
      <c r="K25" s="227"/>
      <c r="L25" s="210"/>
      <c r="M25" s="211"/>
      <c r="N25" s="211"/>
      <c r="O25" s="211"/>
      <c r="P25" s="224"/>
      <c r="Q25" s="270">
        <f t="shared" si="11"/>
        <v>111</v>
      </c>
      <c r="R25" s="266" t="s">
        <v>1440</v>
      </c>
      <c r="S25" s="267">
        <f>F25</f>
        <v>100</v>
      </c>
      <c r="T25" s="266" t="s">
        <v>1440</v>
      </c>
      <c r="U25" s="267">
        <f>H25</f>
        <v>100</v>
      </c>
      <c r="V25" s="266" t="s">
        <v>1440</v>
      </c>
      <c r="W25" s="267">
        <f>J25</f>
        <v>100</v>
      </c>
      <c r="X25" s="268"/>
      <c r="Y25" s="224"/>
      <c r="Z25" s="286">
        <f>Q25</f>
        <v>111</v>
      </c>
      <c r="AA25" s="287">
        <f t="shared" si="3"/>
        <v>1</v>
      </c>
      <c r="AB25" s="287">
        <f t="shared" si="4"/>
        <v>1</v>
      </c>
      <c r="AC25" s="287">
        <f t="shared" si="5"/>
        <v>1</v>
      </c>
    </row>
    <row r="26" ht="30.6" spans="1:29">
      <c r="A26" s="1490" t="s">
        <v>1459</v>
      </c>
      <c r="B26" s="1491" t="s">
        <v>1545</v>
      </c>
      <c r="C26" s="1492">
        <f>B1</f>
        <v>0</v>
      </c>
      <c r="D26" s="91">
        <v>100</v>
      </c>
      <c r="E26" s="90"/>
      <c r="F26" s="1414">
        <f>SUMIF(79:79,E26,80:80)-SUMIF(79:79,C26,80:80)+100</f>
        <v>100</v>
      </c>
      <c r="G26" s="90"/>
      <c r="H26" s="91">
        <f>SUMIF(79:79,G26,80:80)-SUMIF(79:79,C26,80:80)+100</f>
        <v>100</v>
      </c>
      <c r="I26" s="90"/>
      <c r="J26" s="91">
        <f>SUMIF(79:79,I26,80:80)-SUMIF(79:79,C26,80:80)+100</f>
        <v>100</v>
      </c>
      <c r="K26" s="228"/>
      <c r="L26" s="221"/>
      <c r="M26" s="205"/>
      <c r="N26" s="205"/>
      <c r="O26" s="205"/>
      <c r="P26" s="229" t="s">
        <v>1461</v>
      </c>
      <c r="Q26" s="169" t="str">
        <f t="shared" si="11"/>
        <v>配套类型</v>
      </c>
      <c r="R26" s="271" t="s">
        <v>1440</v>
      </c>
      <c r="S26" s="272">
        <f t="shared" ref="S26:S36" si="12">F26</f>
        <v>100</v>
      </c>
      <c r="T26" s="271" t="s">
        <v>1440</v>
      </c>
      <c r="U26" s="272">
        <f t="shared" ref="U26:U36" si="13">H26</f>
        <v>100</v>
      </c>
      <c r="V26" s="271" t="s">
        <v>1440</v>
      </c>
      <c r="W26" s="272">
        <f t="shared" ref="W26:W36" si="14">J26</f>
        <v>100</v>
      </c>
      <c r="X26" s="258"/>
      <c r="Y26" s="232" t="s">
        <v>1461</v>
      </c>
      <c r="Z26" s="244" t="str">
        <f t="shared" ref="Z26:Z36" si="15">Q26</f>
        <v>配套类型</v>
      </c>
      <c r="AA26" s="287">
        <f t="shared" si="3"/>
        <v>1</v>
      </c>
      <c r="AB26" s="287">
        <f t="shared" si="4"/>
        <v>1</v>
      </c>
      <c r="AC26" s="287">
        <f t="shared" si="5"/>
        <v>1</v>
      </c>
    </row>
    <row r="27" s="17" customFormat="1" ht="15" spans="1:29">
      <c r="A27" s="1493"/>
      <c r="B27" s="107" t="s">
        <v>1546</v>
      </c>
      <c r="C27" s="1494"/>
      <c r="D27" s="69">
        <v>100</v>
      </c>
      <c r="E27" s="1494"/>
      <c r="F27" s="1417">
        <f>SUMIF(81:81,E27,82:82)-SUMIF(81:81,C27,82:82)+100</f>
        <v>100</v>
      </c>
      <c r="G27" s="1494"/>
      <c r="H27" s="79">
        <f>SUMIF(81:81,G27,82:82)-SUMIF(81:81,C27,82:82)+100</f>
        <v>100</v>
      </c>
      <c r="I27" s="1494"/>
      <c r="J27" s="79">
        <f>SUMIF(81:81,I27,82:82)-SUMIF(81:81,C27,82:82)+100</f>
        <v>100</v>
      </c>
      <c r="K27" s="227"/>
      <c r="L27" s="219"/>
      <c r="M27" s="230"/>
      <c r="N27" s="230"/>
      <c r="O27" s="230"/>
      <c r="P27" s="232"/>
      <c r="Q27" s="1456" t="str">
        <f t="shared" si="11"/>
        <v>项目停车位配比</v>
      </c>
      <c r="R27" s="273" t="s">
        <v>1440</v>
      </c>
      <c r="S27" s="274">
        <f t="shared" si="12"/>
        <v>100</v>
      </c>
      <c r="T27" s="273" t="s">
        <v>1440</v>
      </c>
      <c r="U27" s="274">
        <f t="shared" si="13"/>
        <v>100</v>
      </c>
      <c r="V27" s="273" t="s">
        <v>1440</v>
      </c>
      <c r="W27" s="274">
        <f t="shared" si="14"/>
        <v>100</v>
      </c>
      <c r="X27" s="275"/>
      <c r="Y27" s="232"/>
      <c r="Z27" s="288" t="str">
        <f t="shared" si="15"/>
        <v>项目停车位配比</v>
      </c>
      <c r="AA27" s="287">
        <f t="shared" si="3"/>
        <v>1</v>
      </c>
      <c r="AB27" s="287">
        <f t="shared" si="4"/>
        <v>1</v>
      </c>
      <c r="AC27" s="287">
        <f t="shared" si="5"/>
        <v>1</v>
      </c>
    </row>
    <row r="28" ht="15" spans="1:29">
      <c r="A28" s="1495"/>
      <c r="B28" s="107" t="s">
        <v>1465</v>
      </c>
      <c r="C28" s="1427"/>
      <c r="D28" s="79">
        <v>100</v>
      </c>
      <c r="E28" s="1427"/>
      <c r="F28" s="1417">
        <f>SUMIF(83:83,E28,84:84)-SUMIF(83:83,C28,84:84)+100</f>
        <v>100</v>
      </c>
      <c r="G28" s="1427"/>
      <c r="H28" s="79">
        <f>SUMIF(83:83,G28,84:84)-SUMIF(83:83,C28,84:84)+100</f>
        <v>100</v>
      </c>
      <c r="I28" s="1427"/>
      <c r="J28" s="79">
        <f>SUMIF(83:83,I28,84:84)-SUMIF(83:83,C28,84:84)+100</f>
        <v>100</v>
      </c>
      <c r="K28" s="228"/>
      <c r="L28" s="221"/>
      <c r="M28" s="205"/>
      <c r="N28" s="205"/>
      <c r="O28" s="205"/>
      <c r="P28" s="232"/>
      <c r="Q28" s="169" t="str">
        <f t="shared" si="11"/>
        <v>公共部分装修</v>
      </c>
      <c r="R28" s="271" t="s">
        <v>1440</v>
      </c>
      <c r="S28" s="272">
        <f t="shared" si="12"/>
        <v>100</v>
      </c>
      <c r="T28" s="271" t="s">
        <v>1440</v>
      </c>
      <c r="U28" s="272">
        <f t="shared" si="13"/>
        <v>100</v>
      </c>
      <c r="V28" s="271" t="s">
        <v>1440</v>
      </c>
      <c r="W28" s="272">
        <f t="shared" si="14"/>
        <v>100</v>
      </c>
      <c r="X28" s="258"/>
      <c r="Y28" s="232"/>
      <c r="Z28" s="244" t="str">
        <f t="shared" si="15"/>
        <v>公共部分装修</v>
      </c>
      <c r="AA28" s="287">
        <f t="shared" si="3"/>
        <v>1</v>
      </c>
      <c r="AB28" s="287">
        <f t="shared" si="4"/>
        <v>1</v>
      </c>
      <c r="AC28" s="287">
        <f t="shared" si="5"/>
        <v>1</v>
      </c>
    </row>
    <row r="29" ht="15" spans="1:29">
      <c r="A29" s="1495"/>
      <c r="B29" s="107" t="s">
        <v>1547</v>
      </c>
      <c r="C29" s="1411"/>
      <c r="D29" s="79">
        <v>100</v>
      </c>
      <c r="E29" s="1424"/>
      <c r="F29" s="1417" t="e">
        <f>LOOKUP(E29,86:86,87:87)-LOOKUP(C29,86:86,87:87)+100</f>
        <v>#N/A</v>
      </c>
      <c r="G29" s="1424"/>
      <c r="H29" s="1417" t="e">
        <f>LOOKUP(G29,86:86,87:87)-LOOKUP(C29,86:86,87:87)+100</f>
        <v>#N/A</v>
      </c>
      <c r="I29" s="1424"/>
      <c r="J29" s="79" t="e">
        <f>LOOKUP(I29,86:86,87:87)-LOOKUP(C29,86:86,87:87)+100</f>
        <v>#N/A</v>
      </c>
      <c r="K29" s="228"/>
      <c r="L29" s="221"/>
      <c r="M29" s="205"/>
      <c r="N29" s="205"/>
      <c r="O29" s="205"/>
      <c r="P29" s="232"/>
      <c r="Q29" s="169" t="str">
        <f t="shared" si="11"/>
        <v>成新率</v>
      </c>
      <c r="R29" s="271" t="s">
        <v>1440</v>
      </c>
      <c r="S29" s="272" t="e">
        <f t="shared" si="12"/>
        <v>#N/A</v>
      </c>
      <c r="T29" s="271" t="s">
        <v>1440</v>
      </c>
      <c r="U29" s="272" t="e">
        <f t="shared" si="13"/>
        <v>#N/A</v>
      </c>
      <c r="V29" s="271" t="s">
        <v>1440</v>
      </c>
      <c r="W29" s="272" t="e">
        <f t="shared" si="14"/>
        <v>#N/A</v>
      </c>
      <c r="X29" s="258"/>
      <c r="Y29" s="232"/>
      <c r="Z29" s="244" t="str">
        <f t="shared" si="15"/>
        <v>成新率</v>
      </c>
      <c r="AA29" s="287" t="e">
        <f t="shared" si="3"/>
        <v>#N/A</v>
      </c>
      <c r="AB29" s="287" t="e">
        <f t="shared" si="4"/>
        <v>#N/A</v>
      </c>
      <c r="AC29" s="287" t="e">
        <f t="shared" si="5"/>
        <v>#N/A</v>
      </c>
    </row>
    <row r="30" ht="15" spans="1:29">
      <c r="A30" s="1495"/>
      <c r="B30" s="107" t="s">
        <v>1548</v>
      </c>
      <c r="C30" s="1428"/>
      <c r="D30" s="79">
        <v>100</v>
      </c>
      <c r="E30" s="1428"/>
      <c r="F30" s="1417">
        <f>SUMIF(88:88,E30,89:89)-SUMIF(88:88,C30,89:89)+100</f>
        <v>100</v>
      </c>
      <c r="G30" s="1428"/>
      <c r="H30" s="79">
        <f>SUMIF(88:88,E30,89:89)-SUMIF(88:88,C30,89:89)+100</f>
        <v>100</v>
      </c>
      <c r="I30" s="1428"/>
      <c r="J30" s="79">
        <f>SUMIF(88:88,E30,89:89)-SUMIF(88:88,C30,89:89)+100</f>
        <v>100</v>
      </c>
      <c r="K30" s="228"/>
      <c r="L30" s="221"/>
      <c r="M30" s="205"/>
      <c r="N30" s="205"/>
      <c r="O30" s="205"/>
      <c r="P30" s="232"/>
      <c r="Q30" s="169" t="str">
        <f t="shared" si="11"/>
        <v>物业等级</v>
      </c>
      <c r="R30" s="271" t="s">
        <v>1440</v>
      </c>
      <c r="S30" s="272">
        <f t="shared" si="12"/>
        <v>100</v>
      </c>
      <c r="T30" s="271" t="s">
        <v>1440</v>
      </c>
      <c r="U30" s="272">
        <f t="shared" si="13"/>
        <v>100</v>
      </c>
      <c r="V30" s="271" t="s">
        <v>1440</v>
      </c>
      <c r="W30" s="272">
        <f t="shared" si="14"/>
        <v>100</v>
      </c>
      <c r="X30" s="258"/>
      <c r="Y30" s="232"/>
      <c r="Z30" s="244" t="str">
        <f t="shared" si="15"/>
        <v>物业等级</v>
      </c>
      <c r="AA30" s="287">
        <f t="shared" si="3"/>
        <v>1</v>
      </c>
      <c r="AB30" s="287">
        <f t="shared" si="4"/>
        <v>1</v>
      </c>
      <c r="AC30" s="287">
        <f t="shared" si="5"/>
        <v>1</v>
      </c>
    </row>
    <row r="31" s="15" customFormat="1" ht="15" spans="1:29">
      <c r="A31" s="1496"/>
      <c r="B31" s="107" t="s">
        <v>1549</v>
      </c>
      <c r="C31" s="1411"/>
      <c r="D31" s="69">
        <v>100</v>
      </c>
      <c r="E31" s="1411"/>
      <c r="F31" s="1417" t="e">
        <f>LOOKUP(E31,91:91,92:92)-LOOKUP(C31,91:91,92:92)+100</f>
        <v>#N/A</v>
      </c>
      <c r="G31" s="1411"/>
      <c r="H31" s="79" t="e">
        <f>LOOKUP(G31,91:91,92:92)-LOOKUP(C31,91:91,92:92)+100</f>
        <v>#N/A</v>
      </c>
      <c r="I31" s="1411"/>
      <c r="J31" s="79" t="e">
        <f>LOOKUP(I31,91:91,92:92)-LOOKUP(C31,91:91,92:92)+100</f>
        <v>#N/A</v>
      </c>
      <c r="K31" s="228"/>
      <c r="L31" s="210"/>
      <c r="M31" s="211"/>
      <c r="N31" s="211"/>
      <c r="O31" s="211"/>
      <c r="P31" s="232"/>
      <c r="Q31" s="270" t="str">
        <f t="shared" si="11"/>
        <v>停车位面积</v>
      </c>
      <c r="R31" s="266" t="s">
        <v>1440</v>
      </c>
      <c r="S31" s="267" t="e">
        <f t="shared" si="12"/>
        <v>#N/A</v>
      </c>
      <c r="T31" s="266" t="s">
        <v>1440</v>
      </c>
      <c r="U31" s="267" t="e">
        <f t="shared" si="13"/>
        <v>#N/A</v>
      </c>
      <c r="V31" s="266" t="s">
        <v>1440</v>
      </c>
      <c r="W31" s="267" t="e">
        <f t="shared" si="14"/>
        <v>#N/A</v>
      </c>
      <c r="X31" s="268"/>
      <c r="Y31" s="232"/>
      <c r="Z31" s="286" t="str">
        <f t="shared" si="15"/>
        <v>停车位面积</v>
      </c>
      <c r="AA31" s="285" t="e">
        <f t="shared" si="3"/>
        <v>#N/A</v>
      </c>
      <c r="AB31" s="285" t="e">
        <f t="shared" si="4"/>
        <v>#N/A</v>
      </c>
      <c r="AC31" s="285" t="e">
        <f t="shared" si="5"/>
        <v>#N/A</v>
      </c>
    </row>
    <row r="32" ht="15" spans="1:29">
      <c r="A32" s="1495"/>
      <c r="B32" s="107" t="s">
        <v>1550</v>
      </c>
      <c r="C32" s="1427"/>
      <c r="D32" s="79">
        <v>100</v>
      </c>
      <c r="E32" s="1427"/>
      <c r="F32" s="1417">
        <f>SUMIF(93:93,E32,94:94)-SUMIF(93:93,C32,94:94)+100</f>
        <v>100</v>
      </c>
      <c r="G32" s="1427"/>
      <c r="H32" s="79">
        <f>SUMIF(93:93,G32,94:94)-SUMIF(93:93,C32,94:94)+100</f>
        <v>100</v>
      </c>
      <c r="I32" s="1427"/>
      <c r="J32" s="79">
        <f>SUMIF(93:93,I32,94:94)-SUMIF(93:93,C32,94:94)+100</f>
        <v>100</v>
      </c>
      <c r="K32" s="228"/>
      <c r="L32" s="221"/>
      <c r="M32" s="205"/>
      <c r="N32" s="205"/>
      <c r="O32" s="205"/>
      <c r="P32" s="232" t="s">
        <v>1461</v>
      </c>
      <c r="Q32" s="169" t="str">
        <f t="shared" si="11"/>
        <v>车位类型</v>
      </c>
      <c r="R32" s="271" t="s">
        <v>1440</v>
      </c>
      <c r="S32" s="272">
        <f t="shared" si="12"/>
        <v>100</v>
      </c>
      <c r="T32" s="271" t="s">
        <v>1440</v>
      </c>
      <c r="U32" s="272">
        <f t="shared" si="13"/>
        <v>100</v>
      </c>
      <c r="V32" s="271" t="s">
        <v>1440</v>
      </c>
      <c r="W32" s="272">
        <f t="shared" si="14"/>
        <v>100</v>
      </c>
      <c r="X32" s="258"/>
      <c r="Y32" s="232" t="s">
        <v>1461</v>
      </c>
      <c r="Z32" s="244" t="str">
        <f t="shared" si="15"/>
        <v>车位类型</v>
      </c>
      <c r="AA32" s="287">
        <f t="shared" si="3"/>
        <v>1</v>
      </c>
      <c r="AB32" s="287">
        <f t="shared" si="4"/>
        <v>1</v>
      </c>
      <c r="AC32" s="287">
        <f t="shared" si="5"/>
        <v>1</v>
      </c>
    </row>
    <row r="33" ht="15" spans="1:29">
      <c r="A33" s="1495"/>
      <c r="B33" s="107" t="s">
        <v>1551</v>
      </c>
      <c r="C33" s="1427"/>
      <c r="D33" s="79">
        <v>100</v>
      </c>
      <c r="E33" s="1427"/>
      <c r="F33" s="1417">
        <f>SUMIF(95:95,E33,96:96)-SUMIF(95:95,C33,96:96)+100</f>
        <v>100</v>
      </c>
      <c r="G33" s="1427"/>
      <c r="H33" s="79">
        <f>SUMIF(95:95,G33,96:96)-SUMIF(95:95,C33,96:96)+100</f>
        <v>100</v>
      </c>
      <c r="I33" s="1427"/>
      <c r="J33" s="79">
        <f>SUMIF(95:95,I33,96:96)-SUMIF(95:95,C33,96:96)+100</f>
        <v>100</v>
      </c>
      <c r="K33" s="228"/>
      <c r="L33" s="221"/>
      <c r="M33" s="205"/>
      <c r="N33" s="205"/>
      <c r="O33" s="205"/>
      <c r="P33" s="232"/>
      <c r="Q33" s="169" t="str">
        <f t="shared" si="11"/>
        <v>是否直接入户</v>
      </c>
      <c r="R33" s="271" t="s">
        <v>1440</v>
      </c>
      <c r="S33" s="272">
        <f t="shared" si="12"/>
        <v>100</v>
      </c>
      <c r="T33" s="271" t="s">
        <v>1440</v>
      </c>
      <c r="U33" s="272">
        <f t="shared" si="13"/>
        <v>100</v>
      </c>
      <c r="V33" s="271" t="s">
        <v>1440</v>
      </c>
      <c r="W33" s="272">
        <f t="shared" si="14"/>
        <v>100</v>
      </c>
      <c r="X33" s="258"/>
      <c r="Y33" s="232"/>
      <c r="Z33" s="244" t="str">
        <f t="shared" si="15"/>
        <v>是否直接入户</v>
      </c>
      <c r="AA33" s="287">
        <f t="shared" si="3"/>
        <v>1</v>
      </c>
      <c r="AB33" s="287">
        <f t="shared" si="4"/>
        <v>1</v>
      </c>
      <c r="AC33" s="287">
        <f t="shared" si="5"/>
        <v>1</v>
      </c>
    </row>
    <row r="34" ht="15" spans="1:29">
      <c r="A34" s="1495"/>
      <c r="B34" s="1485">
        <v>111</v>
      </c>
      <c r="C34" s="68"/>
      <c r="D34" s="79">
        <v>100</v>
      </c>
      <c r="E34" s="68"/>
      <c r="F34" s="1417">
        <f>SUMIF(97:97,E34,98:98)-SUMIF(97:97,C34,98:98)+100</f>
        <v>100</v>
      </c>
      <c r="G34" s="68"/>
      <c r="H34" s="79">
        <f>SUMIF(97:97,G34,98:98)-SUMIF(97:97,C34,98:98)+100</f>
        <v>100</v>
      </c>
      <c r="I34" s="68"/>
      <c r="J34" s="79">
        <f>SUMIF(97:97,I34,98:98)-SUMIF(97:97,C34,98:98)+100</f>
        <v>100</v>
      </c>
      <c r="K34" s="227"/>
      <c r="L34" s="221"/>
      <c r="M34" s="205"/>
      <c r="N34" s="205"/>
      <c r="O34" s="205"/>
      <c r="P34" s="232"/>
      <c r="Q34" s="169">
        <f t="shared" si="11"/>
        <v>111</v>
      </c>
      <c r="R34" s="271" t="s">
        <v>1440</v>
      </c>
      <c r="S34" s="272">
        <f t="shared" si="12"/>
        <v>100</v>
      </c>
      <c r="T34" s="271" t="s">
        <v>1440</v>
      </c>
      <c r="U34" s="272">
        <f t="shared" si="13"/>
        <v>100</v>
      </c>
      <c r="V34" s="271" t="s">
        <v>1440</v>
      </c>
      <c r="W34" s="272">
        <f t="shared" si="14"/>
        <v>100</v>
      </c>
      <c r="X34" s="258"/>
      <c r="Y34" s="232"/>
      <c r="Z34" s="244">
        <f t="shared" si="15"/>
        <v>111</v>
      </c>
      <c r="AA34" s="287">
        <f t="shared" si="3"/>
        <v>1</v>
      </c>
      <c r="AB34" s="287">
        <f t="shared" si="4"/>
        <v>1</v>
      </c>
      <c r="AC34" s="287">
        <f t="shared" si="5"/>
        <v>1</v>
      </c>
    </row>
    <row r="35" s="17" customFormat="1" ht="15" spans="1:29">
      <c r="A35" s="1493"/>
      <c r="B35" s="1485">
        <v>111</v>
      </c>
      <c r="C35" s="68"/>
      <c r="D35" s="79">
        <v>100</v>
      </c>
      <c r="E35" s="68"/>
      <c r="F35" s="1417">
        <f>SUMIF(99:99,E35,100:100)-SUMIF(99:99,C35,100:100)+100</f>
        <v>100</v>
      </c>
      <c r="G35" s="68"/>
      <c r="H35" s="79">
        <f>SUMIF(99:99,G35,100:100)-SUMIF(99:99,C35,100:100)+100</f>
        <v>100</v>
      </c>
      <c r="I35" s="68"/>
      <c r="J35" s="79">
        <f>SUMIF(99:99,I35,100:100)-SUMIF(99:99,C35,100:100)+100</f>
        <v>100</v>
      </c>
      <c r="K35" s="227"/>
      <c r="L35" s="219"/>
      <c r="M35" s="230"/>
      <c r="N35" s="230"/>
      <c r="O35" s="230"/>
      <c r="P35" s="232"/>
      <c r="Q35" s="1456">
        <f t="shared" si="11"/>
        <v>111</v>
      </c>
      <c r="R35" s="273" t="s">
        <v>1440</v>
      </c>
      <c r="S35" s="274">
        <f t="shared" si="12"/>
        <v>100</v>
      </c>
      <c r="T35" s="273" t="s">
        <v>1440</v>
      </c>
      <c r="U35" s="274">
        <f t="shared" si="13"/>
        <v>100</v>
      </c>
      <c r="V35" s="273" t="s">
        <v>1440</v>
      </c>
      <c r="W35" s="274">
        <f t="shared" si="14"/>
        <v>100</v>
      </c>
      <c r="X35" s="275"/>
      <c r="Y35" s="232"/>
      <c r="Z35" s="288">
        <f t="shared" si="15"/>
        <v>111</v>
      </c>
      <c r="AA35" s="287">
        <f t="shared" si="3"/>
        <v>1</v>
      </c>
      <c r="AB35" s="287">
        <f t="shared" si="4"/>
        <v>1</v>
      </c>
      <c r="AC35" s="287">
        <f t="shared" si="5"/>
        <v>1</v>
      </c>
    </row>
    <row r="36" ht="15.75" spans="1:29">
      <c r="A36" s="1497"/>
      <c r="B36" s="1486">
        <v>111</v>
      </c>
      <c r="C36" s="78"/>
      <c r="D36" s="79">
        <v>100</v>
      </c>
      <c r="E36" s="68"/>
      <c r="F36" s="1417">
        <f>SUMIF(101:101,E36,102:102)-SUMIF(101:101,C36,102:102)+100</f>
        <v>100</v>
      </c>
      <c r="G36" s="68"/>
      <c r="H36" s="79">
        <f>SUMIF(101:101,G36,102:102)-SUMIF(101:101,C36,102:102)+100</f>
        <v>100</v>
      </c>
      <c r="I36" s="68"/>
      <c r="J36" s="79">
        <f>SUMIF(101:101,I36,102:102)-SUMIF(101:101,C36,102:102)+100</f>
        <v>100</v>
      </c>
      <c r="K36" s="227"/>
      <c r="L36" s="221"/>
      <c r="M36" s="205"/>
      <c r="N36" s="205"/>
      <c r="O36" s="205"/>
      <c r="P36" s="232"/>
      <c r="Q36" s="169">
        <f t="shared" si="11"/>
        <v>111</v>
      </c>
      <c r="R36" s="271" t="s">
        <v>1440</v>
      </c>
      <c r="S36" s="272">
        <f t="shared" si="12"/>
        <v>100</v>
      </c>
      <c r="T36" s="271" t="s">
        <v>1440</v>
      </c>
      <c r="U36" s="272">
        <f t="shared" si="13"/>
        <v>100</v>
      </c>
      <c r="V36" s="271" t="s">
        <v>1440</v>
      </c>
      <c r="W36" s="272">
        <f t="shared" si="14"/>
        <v>100</v>
      </c>
      <c r="X36" s="258"/>
      <c r="Y36" s="232"/>
      <c r="Z36" s="244">
        <f t="shared" si="15"/>
        <v>111</v>
      </c>
      <c r="AA36" s="287">
        <f t="shared" si="3"/>
        <v>1</v>
      </c>
      <c r="AB36" s="287">
        <f t="shared" si="4"/>
        <v>1</v>
      </c>
      <c r="AC36" s="287">
        <f t="shared" si="5"/>
        <v>1</v>
      </c>
    </row>
    <row r="37" ht="14.4" spans="1:29">
      <c r="A37" s="128" t="s">
        <v>1552</v>
      </c>
      <c r="B37" s="1498" t="s">
        <v>1553</v>
      </c>
      <c r="C37" s="1432" t="s">
        <v>124</v>
      </c>
      <c r="D37" s="1433"/>
      <c r="E37" s="1434"/>
      <c r="F37" s="1435"/>
      <c r="G37" s="1436"/>
      <c r="H37" s="1437"/>
      <c r="I37" s="1434"/>
      <c r="J37" s="1437"/>
      <c r="K37" s="1507"/>
      <c r="L37" s="236"/>
      <c r="M37" s="145"/>
      <c r="N37" s="205"/>
      <c r="O37" s="145"/>
      <c r="P37" s="169" t="str">
        <f>A37</f>
        <v>成交单价</v>
      </c>
      <c r="Q37" s="169"/>
      <c r="R37" s="287">
        <f>E37</f>
        <v>0</v>
      </c>
      <c r="S37" s="287"/>
      <c r="T37" s="287">
        <f>G37</f>
        <v>0</v>
      </c>
      <c r="U37" s="287"/>
      <c r="V37" s="287">
        <f>I37</f>
        <v>0</v>
      </c>
      <c r="W37" s="287"/>
      <c r="X37" s="193"/>
      <c r="Y37" s="289"/>
      <c r="Z37" s="193"/>
      <c r="AA37" s="193"/>
      <c r="AB37" s="193"/>
      <c r="AC37" s="193"/>
    </row>
    <row r="38" ht="15.15" spans="1:29">
      <c r="A38" s="136" t="s">
        <v>1473</v>
      </c>
      <c r="B38" s="1438" t="str">
        <f>B37</f>
        <v>元/车位</v>
      </c>
      <c r="C38" s="1439" t="e">
        <f>R39</f>
        <v>#DIV/0!</v>
      </c>
      <c r="D38" s="139" t="s">
        <v>1474</v>
      </c>
      <c r="E38" s="1440" t="e">
        <f>R38</f>
        <v>#DIV/0!</v>
      </c>
      <c r="F38" s="140"/>
      <c r="G38" s="1439" t="e">
        <f>T38</f>
        <v>#DIV/0!</v>
      </c>
      <c r="H38" s="140"/>
      <c r="I38" s="1440" t="e">
        <f>V38</f>
        <v>#DIV/0!</v>
      </c>
      <c r="J38" s="140"/>
      <c r="K38" s="237">
        <f>F38+H38+J38</f>
        <v>0</v>
      </c>
      <c r="L38" s="236"/>
      <c r="M38" s="145"/>
      <c r="N38" s="145"/>
      <c r="O38" s="145"/>
      <c r="P38" s="169" t="str">
        <f>A38</f>
        <v>比较价值（元/平方米）</v>
      </c>
      <c r="Q38" s="169"/>
      <c r="R38" s="287" t="e">
        <f>IF(F1="售价",ROUND(PRODUCT(R37,AA7:AA36),0),ROUND(PRODUCT(R37,AA7:AA36),1))</f>
        <v>#DIV/0!</v>
      </c>
      <c r="S38" s="287"/>
      <c r="T38" s="287" t="e">
        <f>IF(F1="售价",ROUND(PRODUCT(T37,AB7:AB36),0),ROUND(PRODUCT(T37,AB7:AB36),1))</f>
        <v>#DIV/0!</v>
      </c>
      <c r="U38" s="287"/>
      <c r="V38" s="287" t="e">
        <f>IF(F1="售价",ROUND(PRODUCT(V37,AC7:AC36),0),ROUND(PRODUCT(V37,AC7:AC36),1))</f>
        <v>#DIV/0!</v>
      </c>
      <c r="W38" s="287"/>
      <c r="X38" s="193"/>
      <c r="Y38" s="193"/>
      <c r="Z38" s="193"/>
      <c r="AA38" s="193"/>
      <c r="AB38" s="193"/>
      <c r="AC38" s="193"/>
    </row>
    <row r="39" ht="15.15" spans="1:29">
      <c r="A39" s="142" t="s">
        <v>1554</v>
      </c>
      <c r="B39" s="143"/>
      <c r="C39" s="1441" t="e">
        <f>R39</f>
        <v>#DIV/0!</v>
      </c>
      <c r="D39" s="1441"/>
      <c r="E39" s="1441"/>
      <c r="F39" s="1441"/>
      <c r="G39" s="1441"/>
      <c r="H39" s="1441"/>
      <c r="I39" s="1441"/>
      <c r="J39" s="1441"/>
      <c r="K39" s="1508"/>
      <c r="L39" s="236"/>
      <c r="M39" s="145"/>
      <c r="N39" s="145"/>
      <c r="O39" s="145"/>
      <c r="P39" s="239" t="str">
        <f>A39</f>
        <v>估价对象XX用房的比较价值（楼面单价，元/平方米）</v>
      </c>
      <c r="Q39" s="277"/>
      <c r="R39" s="1457" t="e">
        <f>IF(F1="售价",ROUND(IF(D38="简单平均",AVERAGE(R38:W38),R38*F38+T38*H38+V38*J38),0),ROUND(IF(D38="简单平均",AVERAGE(R38:V38),R38*F38+T38*H38+V38*J38),1))</f>
        <v>#DIV/0!</v>
      </c>
      <c r="S39" s="1457"/>
      <c r="T39" s="1457"/>
      <c r="U39" s="1457"/>
      <c r="V39" s="1457"/>
      <c r="W39" s="1457"/>
      <c r="X39" s="193"/>
      <c r="Y39" s="193"/>
      <c r="Z39" s="193"/>
      <c r="AA39" s="193"/>
      <c r="AB39" s="193"/>
      <c r="AC39" s="193"/>
    </row>
    <row r="40" spans="1:29">
      <c r="A40" s="145"/>
      <c r="B40" s="145"/>
      <c r="C40" s="145"/>
      <c r="D40" s="145"/>
      <c r="E40" s="145"/>
      <c r="F40" s="145"/>
      <c r="G40" s="146"/>
      <c r="H40" s="145"/>
      <c r="I40" s="145"/>
      <c r="J40" s="145"/>
      <c r="K40" s="240"/>
      <c r="L40" s="241"/>
      <c r="M40" s="145"/>
      <c r="N40" s="145"/>
      <c r="O40" s="145"/>
      <c r="P40" s="1509"/>
      <c r="Q40" s="145"/>
      <c r="R40" s="145"/>
      <c r="S40" s="145"/>
      <c r="T40" s="145"/>
      <c r="U40" s="145"/>
      <c r="V40" s="145"/>
      <c r="W40" s="145"/>
      <c r="X40" s="145"/>
      <c r="Y40" s="145"/>
      <c r="Z40" s="145"/>
      <c r="AA40" s="145"/>
      <c r="AB40" s="145"/>
      <c r="AC40" s="145"/>
    </row>
    <row r="41" spans="1:29">
      <c r="A41" s="145"/>
      <c r="B41" s="145"/>
      <c r="C41" s="145"/>
      <c r="D41" s="145"/>
      <c r="E41" s="145"/>
      <c r="F41" s="145"/>
      <c r="G41" s="145"/>
      <c r="H41" s="145"/>
      <c r="I41" s="145"/>
      <c r="J41" s="145"/>
      <c r="K41" s="240"/>
      <c r="L41" s="241"/>
      <c r="M41" s="145"/>
      <c r="N41" s="145"/>
      <c r="O41" s="145"/>
      <c r="P41" s="1509"/>
      <c r="Q41" s="145"/>
      <c r="R41" s="145"/>
      <c r="S41" s="145"/>
      <c r="T41" s="145"/>
      <c r="U41" s="145"/>
      <c r="V41" s="145"/>
      <c r="W41" s="145"/>
      <c r="X41" s="145"/>
      <c r="Y41" s="145"/>
      <c r="Z41" s="145"/>
      <c r="AA41" s="145"/>
      <c r="AB41" s="145"/>
      <c r="AC41" s="145"/>
    </row>
    <row r="42" ht="13.5" customHeight="1" spans="1:29">
      <c r="A42" s="145"/>
      <c r="B42" s="145"/>
      <c r="C42" s="147" t="s">
        <v>1476</v>
      </c>
      <c r="D42" s="148"/>
      <c r="E42" s="149" t="e">
        <f>IF(E37&lt;E38,E38/E37-1,E37/E38-1)</f>
        <v>#DIV/0!</v>
      </c>
      <c r="F42" s="150" t="e">
        <f>IF(OR(E42&gt;=0.3,E42&lt;=-0.3),"超过30%","")</f>
        <v>#DIV/0!</v>
      </c>
      <c r="G42" s="149" t="e">
        <f>IF(G37&lt;G38,G38/G37-1,G37/G38-1)</f>
        <v>#DIV/0!</v>
      </c>
      <c r="H42" s="150" t="e">
        <f>IF(OR(G42&gt;=0.3,G42&lt;=-0.3),"超过30%","")</f>
        <v>#DIV/0!</v>
      </c>
      <c r="I42" s="149" t="e">
        <f>IF(I37&lt;I38,I38/I37-1,I37/I38-1)</f>
        <v>#DIV/0!</v>
      </c>
      <c r="J42" s="150" t="e">
        <f>IF(OR(I42&gt;=0.3,I42&lt;=-0.3),"超过30%","")</f>
        <v>#DIV/0!</v>
      </c>
      <c r="K42" s="240"/>
      <c r="L42" s="241"/>
      <c r="M42" s="145"/>
      <c r="N42" s="145"/>
      <c r="O42" s="145"/>
      <c r="P42" s="1509"/>
      <c r="Q42" s="145"/>
      <c r="R42" s="145"/>
      <c r="S42" s="145"/>
      <c r="T42" s="145"/>
      <c r="U42" s="145"/>
      <c r="V42" s="145"/>
      <c r="W42" s="145"/>
      <c r="X42" s="145"/>
      <c r="Y42" s="145"/>
      <c r="Z42" s="145"/>
      <c r="AA42" s="145"/>
      <c r="AB42" s="145"/>
      <c r="AC42" s="145"/>
    </row>
    <row r="43" ht="13.5" customHeight="1" spans="1:29">
      <c r="A43" s="145"/>
      <c r="B43" s="145"/>
      <c r="C43" s="147" t="s">
        <v>1477</v>
      </c>
      <c r="D43" s="151"/>
      <c r="E43" s="149" t="e">
        <f>IF(E38&lt;G38,G38/E38-1,E38/G38-1)</f>
        <v>#DIV/0!</v>
      </c>
      <c r="F43" s="150" t="e">
        <f>IF(OR(E43&gt;=0.2,E43&lt;=-0.2),"超过20%","")</f>
        <v>#DIV/0!</v>
      </c>
      <c r="G43" s="149" t="e">
        <f>IF(G38&lt;I38,I38/G38-1,G38/I38-1)</f>
        <v>#DIV/0!</v>
      </c>
      <c r="H43" s="150" t="e">
        <f>IF(OR(G43&gt;=0.2,G43&lt;=-0.2),"超过20%","")</f>
        <v>#DIV/0!</v>
      </c>
      <c r="I43" s="149" t="e">
        <f>IF(I38&lt;E38,E38/I38-1,I38/E38-1)</f>
        <v>#DIV/0!</v>
      </c>
      <c r="J43" s="150" t="e">
        <f>IF(OR(I43&gt;=0.2,I43&lt;=-0.2),"超过20%","")</f>
        <v>#DIV/0!</v>
      </c>
      <c r="K43" s="240"/>
      <c r="L43" s="241"/>
      <c r="M43" s="145"/>
      <c r="N43" s="145"/>
      <c r="O43" s="145"/>
      <c r="P43" s="1509"/>
      <c r="Q43" s="145"/>
      <c r="R43" s="145"/>
      <c r="S43" s="145"/>
      <c r="T43" s="145"/>
      <c r="U43" s="145"/>
      <c r="V43" s="145"/>
      <c r="W43" s="145"/>
      <c r="X43" s="145"/>
      <c r="Y43" s="145"/>
      <c r="Z43" s="145"/>
      <c r="AA43" s="145"/>
      <c r="AB43" s="145"/>
      <c r="AC43" s="145"/>
    </row>
    <row r="44" s="18" customFormat="1" ht="13.5" customHeight="1" spans="1:29">
      <c r="A44" s="152"/>
      <c r="B44" s="152"/>
      <c r="C44" s="147" t="s">
        <v>1478</v>
      </c>
      <c r="D44" s="151"/>
      <c r="E44" s="149" t="e">
        <f>IF(E37&lt;G37,G37/E37-1,E37/G37-1)</f>
        <v>#DIV/0!</v>
      </c>
      <c r="F44" s="150" t="e">
        <f>IF(OR(E44&gt;=0.3,E44&lt;=-0.3),"超过30%","")</f>
        <v>#DIV/0!</v>
      </c>
      <c r="G44" s="149" t="e">
        <f>IF(G37&lt;I37,I37/G37-1,G37/I37-1)</f>
        <v>#DIV/0!</v>
      </c>
      <c r="H44" s="150" t="e">
        <f>IF(OR(G44&gt;=0.3,G44&lt;=-0.3),"超过30%","")</f>
        <v>#DIV/0!</v>
      </c>
      <c r="I44" s="149" t="e">
        <f>IF(I37&lt;E37,E37/I37-1,I37/E37-1)</f>
        <v>#DIV/0!</v>
      </c>
      <c r="J44" s="150" t="e">
        <f>IF(OR(I44&gt;=0.3,I44&lt;=-0.3),"超过30%","")</f>
        <v>#DIV/0!</v>
      </c>
      <c r="K44" s="242"/>
      <c r="L44" s="243"/>
      <c r="M44" s="152"/>
      <c r="N44" s="152"/>
      <c r="O44" s="152"/>
      <c r="P44" s="1510"/>
      <c r="Q44" s="152"/>
      <c r="R44" s="152"/>
      <c r="S44" s="152"/>
      <c r="T44" s="152"/>
      <c r="U44" s="152"/>
      <c r="V44" s="152"/>
      <c r="W44" s="152"/>
      <c r="X44" s="152"/>
      <c r="Y44" s="152"/>
      <c r="Z44" s="152"/>
      <c r="AA44" s="152"/>
      <c r="AB44" s="152"/>
      <c r="AC44" s="152"/>
    </row>
    <row r="45" s="18" customFormat="1" spans="1:29">
      <c r="A45" s="152"/>
      <c r="B45" s="153"/>
      <c r="C45" s="1442"/>
      <c r="D45" s="152"/>
      <c r="E45" s="152"/>
      <c r="F45" s="152"/>
      <c r="G45" s="152"/>
      <c r="H45" s="152"/>
      <c r="I45" s="152"/>
      <c r="J45" s="152"/>
      <c r="K45" s="242"/>
      <c r="L45" s="243"/>
      <c r="M45" s="152"/>
      <c r="N45" s="152"/>
      <c r="O45" s="152"/>
      <c r="P45" s="1510"/>
      <c r="Q45" s="152"/>
      <c r="R45" s="152"/>
      <c r="S45" s="152"/>
      <c r="T45" s="152"/>
      <c r="U45" s="152"/>
      <c r="V45" s="152"/>
      <c r="W45" s="152"/>
      <c r="X45" s="152"/>
      <c r="Y45" s="152"/>
      <c r="Z45" s="152"/>
      <c r="AA45" s="152"/>
      <c r="AB45" s="152"/>
      <c r="AC45" s="152"/>
    </row>
    <row r="46" spans="1:29">
      <c r="A46" s="145"/>
      <c r="B46" s="153"/>
      <c r="C46" s="1442"/>
      <c r="D46" s="145"/>
      <c r="E46" s="145"/>
      <c r="F46" s="145"/>
      <c r="G46" s="145"/>
      <c r="H46" s="145"/>
      <c r="I46" s="145"/>
      <c r="J46" s="145"/>
      <c r="K46" s="240"/>
      <c r="L46" s="241"/>
      <c r="M46" s="145"/>
      <c r="N46" s="145"/>
      <c r="O46" s="145"/>
      <c r="P46" s="1509"/>
      <c r="Q46" s="145"/>
      <c r="R46" s="145"/>
      <c r="S46" s="145"/>
      <c r="T46" s="145"/>
      <c r="U46" s="145"/>
      <c r="V46" s="145"/>
      <c r="W46" s="145"/>
      <c r="X46" s="145"/>
      <c r="Y46" s="145"/>
      <c r="Z46" s="145"/>
      <c r="AA46" s="145"/>
      <c r="AB46" s="145"/>
      <c r="AC46" s="145"/>
    </row>
    <row r="47" ht="21.15" spans="1:29">
      <c r="A47" s="1499" t="s">
        <v>1479</v>
      </c>
      <c r="B47" s="188"/>
      <c r="C47" s="253"/>
      <c r="D47" s="253"/>
      <c r="E47" s="253"/>
      <c r="F47" s="1500"/>
      <c r="G47" s="1500"/>
      <c r="H47" s="253"/>
      <c r="I47" s="253"/>
      <c r="J47" s="253"/>
      <c r="K47" s="1386"/>
      <c r="L47" s="1387"/>
      <c r="M47" s="253"/>
      <c r="N47" s="254"/>
      <c r="O47" s="254"/>
      <c r="P47" s="1511"/>
      <c r="Q47" s="279"/>
      <c r="R47" s="145"/>
      <c r="S47" s="145"/>
      <c r="T47" s="145"/>
      <c r="U47" s="145"/>
      <c r="V47" s="145"/>
      <c r="W47" s="145"/>
      <c r="X47" s="145"/>
      <c r="Y47" s="145"/>
      <c r="Z47" s="145"/>
      <c r="AA47" s="145"/>
      <c r="AB47" s="145"/>
      <c r="AC47" s="145"/>
    </row>
    <row r="48" s="20" customFormat="1" ht="14.4" spans="1:29">
      <c r="A48" s="1443" t="s">
        <v>1438</v>
      </c>
      <c r="B48" s="1444"/>
      <c r="C48" s="1445" t="str">
        <f>YEAR(C7)&amp;"-"&amp;MONTH(C7)</f>
        <v>2022-8</v>
      </c>
      <c r="D48" s="1446">
        <f>EDATE(C48,-1)</f>
        <v>44743</v>
      </c>
      <c r="E48" s="1446">
        <f t="shared" ref="E48:O48" si="16">EDATE(D48,-1)</f>
        <v>44713</v>
      </c>
      <c r="F48" s="1446">
        <f t="shared" si="16"/>
        <v>44682</v>
      </c>
      <c r="G48" s="1446">
        <f t="shared" si="16"/>
        <v>44652</v>
      </c>
      <c r="H48" s="1446">
        <f t="shared" si="16"/>
        <v>44621</v>
      </c>
      <c r="I48" s="1446">
        <f t="shared" si="16"/>
        <v>44593</v>
      </c>
      <c r="J48" s="1446">
        <f t="shared" si="16"/>
        <v>44562</v>
      </c>
      <c r="K48" s="1446">
        <f t="shared" si="16"/>
        <v>44531</v>
      </c>
      <c r="L48" s="1446">
        <f t="shared" si="16"/>
        <v>44501</v>
      </c>
      <c r="M48" s="1446">
        <f t="shared" si="16"/>
        <v>44470</v>
      </c>
      <c r="N48" s="1446">
        <f t="shared" si="16"/>
        <v>44440</v>
      </c>
      <c r="O48" s="1446">
        <f t="shared" si="16"/>
        <v>44409</v>
      </c>
      <c r="P48" s="1512"/>
      <c r="Q48" s="401"/>
      <c r="R48" s="401"/>
      <c r="S48" s="401"/>
      <c r="T48" s="401"/>
      <c r="U48" s="401"/>
      <c r="V48" s="401"/>
      <c r="W48" s="401"/>
      <c r="X48" s="401"/>
      <c r="Y48" s="401"/>
      <c r="Z48" s="401"/>
      <c r="AA48" s="401"/>
      <c r="AB48" s="401"/>
      <c r="AC48" s="401"/>
    </row>
    <row r="49" s="15" customFormat="1" spans="1:29">
      <c r="A49" s="1447"/>
      <c r="B49" s="302"/>
      <c r="C49" s="1501">
        <v>100</v>
      </c>
      <c r="D49" s="306"/>
      <c r="E49" s="306"/>
      <c r="F49" s="306"/>
      <c r="G49" s="306"/>
      <c r="H49" s="306"/>
      <c r="I49" s="306"/>
      <c r="J49" s="306"/>
      <c r="K49" s="306"/>
      <c r="L49" s="306"/>
      <c r="M49" s="1455"/>
      <c r="N49" s="306"/>
      <c r="O49" s="1455"/>
      <c r="P49" s="1513"/>
      <c r="Q49" s="402"/>
      <c r="R49" s="402"/>
      <c r="S49" s="402"/>
      <c r="T49" s="402"/>
      <c r="U49" s="402"/>
      <c r="V49" s="402"/>
      <c r="W49" s="402"/>
      <c r="X49" s="402"/>
      <c r="Y49" s="402"/>
      <c r="Z49" s="402"/>
      <c r="AA49" s="402"/>
      <c r="AB49" s="402"/>
      <c r="AC49" s="402"/>
    </row>
    <row r="50" s="15" customFormat="1" ht="15.15" spans="1:29">
      <c r="A50" s="297" t="s">
        <v>1480</v>
      </c>
      <c r="B50" s="298"/>
      <c r="C50" s="299"/>
      <c r="D50" s="300"/>
      <c r="E50" s="300"/>
      <c r="F50" s="300"/>
      <c r="G50" s="300"/>
      <c r="H50" s="300"/>
      <c r="I50" s="300"/>
      <c r="J50" s="300"/>
      <c r="K50" s="300"/>
      <c r="L50" s="300"/>
      <c r="M50" s="348"/>
      <c r="N50" s="300"/>
      <c r="O50" s="348"/>
      <c r="P50" s="1513"/>
      <c r="Q50" s="279"/>
      <c r="R50" s="402"/>
      <c r="S50" s="402"/>
      <c r="T50" s="402"/>
      <c r="U50" s="402"/>
      <c r="V50" s="402"/>
      <c r="W50" s="402"/>
      <c r="X50" s="402"/>
      <c r="Y50" s="402"/>
      <c r="Z50" s="402"/>
      <c r="AA50" s="402"/>
      <c r="AB50" s="402"/>
      <c r="AC50" s="402"/>
    </row>
    <row r="51" s="15" customFormat="1" ht="14.4" spans="1:29">
      <c r="A51" s="301" t="s">
        <v>1441</v>
      </c>
      <c r="B51" s="302"/>
      <c r="C51" s="303" t="s">
        <v>1442</v>
      </c>
      <c r="D51" s="304"/>
      <c r="E51" s="304"/>
      <c r="F51" s="304"/>
      <c r="G51" s="304"/>
      <c r="H51" s="304"/>
      <c r="I51" s="304"/>
      <c r="J51" s="304"/>
      <c r="K51" s="304"/>
      <c r="L51" s="350"/>
      <c r="M51" s="351"/>
      <c r="N51" s="352"/>
      <c r="O51" s="352"/>
      <c r="P51" s="1514"/>
      <c r="Q51" s="279"/>
      <c r="R51" s="402"/>
      <c r="S51" s="402"/>
      <c r="T51" s="402"/>
      <c r="U51" s="402"/>
      <c r="V51" s="402"/>
      <c r="W51" s="402"/>
      <c r="X51" s="402"/>
      <c r="Y51" s="402"/>
      <c r="Z51" s="402"/>
      <c r="AA51" s="402"/>
      <c r="AB51" s="402"/>
      <c r="AC51" s="402"/>
    </row>
    <row r="52" s="15" customFormat="1" ht="14.55" spans="1:29">
      <c r="A52" s="301"/>
      <c r="B52" s="302"/>
      <c r="C52" s="305">
        <v>100</v>
      </c>
      <c r="D52" s="306"/>
      <c r="E52" s="306"/>
      <c r="F52" s="306"/>
      <c r="G52" s="306"/>
      <c r="H52" s="306"/>
      <c r="I52" s="306"/>
      <c r="J52" s="306"/>
      <c r="K52" s="306"/>
      <c r="L52" s="306"/>
      <c r="M52" s="354"/>
      <c r="N52" s="352"/>
      <c r="O52" s="352"/>
      <c r="P52" s="1513"/>
      <c r="Q52" s="279"/>
      <c r="R52" s="402"/>
      <c r="S52" s="402"/>
      <c r="T52" s="402"/>
      <c r="U52" s="402"/>
      <c r="V52" s="402"/>
      <c r="W52" s="402"/>
      <c r="X52" s="402"/>
      <c r="Y52" s="402"/>
      <c r="Z52" s="402"/>
      <c r="AA52" s="402"/>
      <c r="AB52" s="402"/>
      <c r="AC52" s="402"/>
    </row>
    <row r="53" ht="14.4" spans="1:29">
      <c r="A53" s="307" t="s">
        <v>1481</v>
      </c>
      <c r="B53" s="308" t="s">
        <v>1445</v>
      </c>
      <c r="C53" s="330">
        <f>C9</f>
        <v>0</v>
      </c>
      <c r="D53" s="233"/>
      <c r="E53" s="233"/>
      <c r="F53" s="233"/>
      <c r="G53" s="233"/>
      <c r="H53" s="233"/>
      <c r="I53" s="233"/>
      <c r="J53" s="233"/>
      <c r="K53" s="355"/>
      <c r="L53" s="356"/>
      <c r="M53" s="357"/>
      <c r="N53" s="358"/>
      <c r="O53" s="358"/>
      <c r="P53" s="1515"/>
      <c r="Q53" s="279"/>
      <c r="R53" s="145"/>
      <c r="S53" s="145"/>
      <c r="T53" s="145"/>
      <c r="U53" s="145"/>
      <c r="V53" s="145"/>
      <c r="W53" s="145"/>
      <c r="X53" s="145"/>
      <c r="Y53" s="145"/>
      <c r="Z53" s="145"/>
      <c r="AA53" s="145"/>
      <c r="AB53" s="145"/>
      <c r="AC53" s="145"/>
    </row>
    <row r="54" ht="14.55" spans="1:29">
      <c r="A54" s="309"/>
      <c r="B54" s="310"/>
      <c r="C54" s="311">
        <v>100</v>
      </c>
      <c r="D54" s="311"/>
      <c r="E54" s="311"/>
      <c r="F54" s="311"/>
      <c r="G54" s="311"/>
      <c r="H54" s="311"/>
      <c r="I54" s="311"/>
      <c r="J54" s="311"/>
      <c r="K54" s="311"/>
      <c r="L54" s="311"/>
      <c r="M54" s="360"/>
      <c r="N54" s="361"/>
      <c r="O54" s="361"/>
      <c r="P54" s="1515"/>
      <c r="Q54" s="279"/>
      <c r="R54" s="145"/>
      <c r="S54" s="145"/>
      <c r="T54" s="145"/>
      <c r="U54" s="145"/>
      <c r="V54" s="145"/>
      <c r="W54" s="145"/>
      <c r="X54" s="145"/>
      <c r="Y54" s="145"/>
      <c r="Z54" s="145"/>
      <c r="AA54" s="145"/>
      <c r="AB54" s="145"/>
      <c r="AC54" s="145"/>
    </row>
    <row r="55" ht="29.55" spans="1:29">
      <c r="A55" s="309"/>
      <c r="B55" s="312" t="s">
        <v>1448</v>
      </c>
      <c r="C55" s="313" t="s">
        <v>1482</v>
      </c>
      <c r="D55" s="313" t="s">
        <v>1483</v>
      </c>
      <c r="E55" s="313" t="s">
        <v>1484</v>
      </c>
      <c r="F55" s="313" t="s">
        <v>1485</v>
      </c>
      <c r="G55" s="313" t="s">
        <v>1486</v>
      </c>
      <c r="H55" s="313" t="s">
        <v>1487</v>
      </c>
      <c r="I55" s="313" t="s">
        <v>1488</v>
      </c>
      <c r="J55" s="313"/>
      <c r="K55" s="362"/>
      <c r="L55" s="363"/>
      <c r="M55" s="364"/>
      <c r="N55" s="358"/>
      <c r="O55" s="358"/>
      <c r="P55" s="1515"/>
      <c r="Q55" s="279"/>
      <c r="R55" s="145"/>
      <c r="S55" s="145"/>
      <c r="T55" s="145"/>
      <c r="U55" s="145"/>
      <c r="V55" s="145"/>
      <c r="W55" s="145"/>
      <c r="X55" s="145"/>
      <c r="Y55" s="145"/>
      <c r="Z55" s="145"/>
      <c r="AA55" s="145"/>
      <c r="AB55" s="145"/>
      <c r="AC55" s="145"/>
    </row>
    <row r="56" ht="14.55" spans="1:29">
      <c r="A56" s="309"/>
      <c r="B56" s="314"/>
      <c r="C56" s="315" t="s">
        <v>1530</v>
      </c>
      <c r="D56" s="315" t="s">
        <v>1530</v>
      </c>
      <c r="E56" s="315">
        <v>100</v>
      </c>
      <c r="F56" s="315">
        <f>E56-$K10</f>
        <v>100</v>
      </c>
      <c r="G56" s="315">
        <f>F56-$K10</f>
        <v>100</v>
      </c>
      <c r="H56" s="315">
        <f>G56-$K10</f>
        <v>100</v>
      </c>
      <c r="I56" s="315">
        <f>H56-$K10</f>
        <v>100</v>
      </c>
      <c r="J56" s="315"/>
      <c r="K56" s="315"/>
      <c r="L56" s="315"/>
      <c r="M56" s="365"/>
      <c r="N56" s="361"/>
      <c r="O56" s="361"/>
      <c r="P56" s="1515"/>
      <c r="Q56" s="279"/>
      <c r="R56" s="145"/>
      <c r="S56" s="145"/>
      <c r="T56" s="145"/>
      <c r="U56" s="145"/>
      <c r="V56" s="145"/>
      <c r="W56" s="145"/>
      <c r="X56" s="145"/>
      <c r="Y56" s="145"/>
      <c r="Z56" s="145"/>
      <c r="AA56" s="145"/>
      <c r="AB56" s="145"/>
      <c r="AC56" s="145"/>
    </row>
    <row r="57" ht="14.55" spans="1:29">
      <c r="A57" s="309"/>
      <c r="B57" s="336">
        <f>B11</f>
        <v>111</v>
      </c>
      <c r="C57" s="76"/>
      <c r="D57" s="76"/>
      <c r="E57" s="76"/>
      <c r="F57" s="76"/>
      <c r="G57" s="76"/>
      <c r="H57" s="76"/>
      <c r="I57" s="76"/>
      <c r="J57" s="76"/>
      <c r="K57" s="366"/>
      <c r="L57" s="367"/>
      <c r="M57" s="368"/>
      <c r="N57" s="358"/>
      <c r="O57" s="358"/>
      <c r="P57" s="1515"/>
      <c r="Q57" s="279"/>
      <c r="R57" s="145"/>
      <c r="S57" s="145"/>
      <c r="T57" s="145"/>
      <c r="U57" s="145"/>
      <c r="V57" s="145"/>
      <c r="W57" s="145"/>
      <c r="X57" s="145"/>
      <c r="Y57" s="145"/>
      <c r="Z57" s="145"/>
      <c r="AA57" s="145"/>
      <c r="AB57" s="145"/>
      <c r="AC57" s="145"/>
    </row>
    <row r="58" ht="14.55" spans="1:29">
      <c r="A58" s="309"/>
      <c r="B58" s="310"/>
      <c r="C58" s="322"/>
      <c r="D58" s="311"/>
      <c r="E58" s="311"/>
      <c r="F58" s="311"/>
      <c r="G58" s="311"/>
      <c r="H58" s="311"/>
      <c r="I58" s="311"/>
      <c r="J58" s="311"/>
      <c r="K58" s="311"/>
      <c r="L58" s="311"/>
      <c r="M58" s="360"/>
      <c r="N58" s="361"/>
      <c r="O58" s="361"/>
      <c r="P58" s="1515"/>
      <c r="Q58" s="279"/>
      <c r="R58" s="145"/>
      <c r="S58" s="145"/>
      <c r="T58" s="145"/>
      <c r="U58" s="145"/>
      <c r="V58" s="145"/>
      <c r="W58" s="145"/>
      <c r="X58" s="145"/>
      <c r="Y58" s="145"/>
      <c r="Z58" s="145"/>
      <c r="AA58" s="145"/>
      <c r="AB58" s="145"/>
      <c r="AC58" s="145"/>
    </row>
    <row r="59" s="17" customFormat="1" ht="14.55" spans="1:29">
      <c r="A59" s="319"/>
      <c r="B59" s="312">
        <f>B12</f>
        <v>111</v>
      </c>
      <c r="C59" s="76"/>
      <c r="D59" s="76"/>
      <c r="E59" s="76"/>
      <c r="F59" s="76"/>
      <c r="G59" s="320"/>
      <c r="H59" s="321"/>
      <c r="I59" s="321"/>
      <c r="J59" s="321"/>
      <c r="K59" s="321"/>
      <c r="L59" s="369"/>
      <c r="M59" s="370"/>
      <c r="N59" s="371"/>
      <c r="O59" s="371"/>
      <c r="P59" s="1516"/>
      <c r="Q59" s="403"/>
      <c r="R59" s="404"/>
      <c r="S59" s="404"/>
      <c r="T59" s="404"/>
      <c r="U59" s="404"/>
      <c r="V59" s="404"/>
      <c r="W59" s="404"/>
      <c r="X59" s="404"/>
      <c r="Y59" s="404"/>
      <c r="Z59" s="404"/>
      <c r="AA59" s="404"/>
      <c r="AB59" s="404"/>
      <c r="AC59" s="404"/>
    </row>
    <row r="60" s="17" customFormat="1" ht="14.55" spans="1:29">
      <c r="A60" s="319"/>
      <c r="B60" s="314"/>
      <c r="C60" s="322"/>
      <c r="D60" s="311"/>
      <c r="E60" s="311"/>
      <c r="F60" s="311"/>
      <c r="G60" s="311"/>
      <c r="H60" s="311"/>
      <c r="I60" s="311"/>
      <c r="J60" s="311"/>
      <c r="K60" s="311"/>
      <c r="L60" s="311"/>
      <c r="M60" s="360"/>
      <c r="N60" s="361"/>
      <c r="O60" s="361"/>
      <c r="P60" s="1516"/>
      <c r="Q60" s="403"/>
      <c r="R60" s="404"/>
      <c r="S60" s="404"/>
      <c r="T60" s="404"/>
      <c r="U60" s="404"/>
      <c r="V60" s="404"/>
      <c r="W60" s="404"/>
      <c r="X60" s="404"/>
      <c r="Y60" s="404"/>
      <c r="Z60" s="404"/>
      <c r="AA60" s="404"/>
      <c r="AB60" s="404"/>
      <c r="AC60" s="404"/>
    </row>
    <row r="61" s="17" customFormat="1" ht="14.55" spans="1:29">
      <c r="A61" s="319"/>
      <c r="B61" s="312">
        <f>B13</f>
        <v>111</v>
      </c>
      <c r="C61" s="320"/>
      <c r="D61" s="320"/>
      <c r="E61" s="320"/>
      <c r="F61" s="320"/>
      <c r="G61" s="320"/>
      <c r="H61" s="321"/>
      <c r="I61" s="321"/>
      <c r="J61" s="321"/>
      <c r="K61" s="321"/>
      <c r="L61" s="369"/>
      <c r="M61" s="370"/>
      <c r="N61" s="371"/>
      <c r="O61" s="371"/>
      <c r="P61" s="1517"/>
      <c r="Q61" s="405"/>
      <c r="R61" s="404"/>
      <c r="S61" s="404"/>
      <c r="T61" s="404"/>
      <c r="U61" s="404"/>
      <c r="V61" s="404"/>
      <c r="W61" s="404"/>
      <c r="X61" s="404"/>
      <c r="Y61" s="404"/>
      <c r="Z61" s="404"/>
      <c r="AA61" s="404"/>
      <c r="AB61" s="404"/>
      <c r="AC61" s="404"/>
    </row>
    <row r="62" s="17" customFormat="1" ht="14.55" spans="1:29">
      <c r="A62" s="319"/>
      <c r="B62" s="314"/>
      <c r="C62" s="322"/>
      <c r="D62" s="322"/>
      <c r="E62" s="322"/>
      <c r="F62" s="322"/>
      <c r="G62" s="322"/>
      <c r="H62" s="323"/>
      <c r="I62" s="323"/>
      <c r="J62" s="323"/>
      <c r="K62" s="323"/>
      <c r="L62" s="323"/>
      <c r="M62" s="373"/>
      <c r="N62" s="371"/>
      <c r="O62" s="371"/>
      <c r="P62" s="1516"/>
      <c r="Q62" s="403"/>
      <c r="R62" s="404"/>
      <c r="S62" s="404"/>
      <c r="T62" s="404"/>
      <c r="U62" s="404"/>
      <c r="V62" s="404"/>
      <c r="W62" s="404"/>
      <c r="X62" s="404"/>
      <c r="Y62" s="404"/>
      <c r="Z62" s="404"/>
      <c r="AA62" s="404"/>
      <c r="AB62" s="404"/>
      <c r="AC62" s="404"/>
    </row>
    <row r="63" ht="15.15" spans="1:29">
      <c r="A63" s="307" t="s">
        <v>1450</v>
      </c>
      <c r="B63" s="308" t="s">
        <v>1453</v>
      </c>
      <c r="C63" s="329" t="s">
        <v>1489</v>
      </c>
      <c r="D63" s="329" t="s">
        <v>1490</v>
      </c>
      <c r="E63" s="329" t="s">
        <v>1491</v>
      </c>
      <c r="F63" s="329" t="s">
        <v>1492</v>
      </c>
      <c r="G63" s="329" t="s">
        <v>1493</v>
      </c>
      <c r="H63" s="330"/>
      <c r="I63" s="330"/>
      <c r="J63" s="330"/>
      <c r="K63" s="378"/>
      <c r="L63" s="379"/>
      <c r="M63" s="380"/>
      <c r="N63" s="358"/>
      <c r="O63" s="358"/>
      <c r="P63" s="1518"/>
      <c r="Q63" s="279"/>
      <c r="R63" s="145"/>
      <c r="S63" s="145"/>
      <c r="T63" s="145"/>
      <c r="U63" s="145"/>
      <c r="V63" s="145"/>
      <c r="W63" s="145"/>
      <c r="X63" s="145"/>
      <c r="Y63" s="145"/>
      <c r="Z63" s="145"/>
      <c r="AA63" s="145"/>
      <c r="AB63" s="145"/>
      <c r="AC63" s="145"/>
    </row>
    <row r="64" ht="14.55" spans="1:29">
      <c r="A64" s="309"/>
      <c r="B64" s="314"/>
      <c r="C64" s="315">
        <v>100</v>
      </c>
      <c r="D64" s="315">
        <f>C64-$K14</f>
        <v>100</v>
      </c>
      <c r="E64" s="315">
        <f>D64-$K14</f>
        <v>100</v>
      </c>
      <c r="F64" s="315">
        <f>E64-$K14</f>
        <v>100</v>
      </c>
      <c r="G64" s="315">
        <f>F64-$K14</f>
        <v>100</v>
      </c>
      <c r="H64" s="315"/>
      <c r="I64" s="315"/>
      <c r="J64" s="315"/>
      <c r="K64" s="315"/>
      <c r="L64" s="315"/>
      <c r="M64" s="365"/>
      <c r="N64" s="361"/>
      <c r="O64" s="361"/>
      <c r="P64" s="1515"/>
      <c r="Q64" s="279"/>
      <c r="R64" s="145"/>
      <c r="S64" s="145"/>
      <c r="T64" s="145"/>
      <c r="U64" s="145"/>
      <c r="V64" s="145"/>
      <c r="W64" s="145"/>
      <c r="X64" s="145"/>
      <c r="Y64" s="145"/>
      <c r="Z64" s="145"/>
      <c r="AA64" s="145"/>
      <c r="AB64" s="145"/>
      <c r="AC64" s="145"/>
    </row>
    <row r="65" ht="15.15" spans="1:29">
      <c r="A65" s="309"/>
      <c r="B65" s="312" t="s">
        <v>1454</v>
      </c>
      <c r="C65" s="331" t="s">
        <v>1489</v>
      </c>
      <c r="D65" s="331" t="s">
        <v>1490</v>
      </c>
      <c r="E65" s="331" t="s">
        <v>1491</v>
      </c>
      <c r="F65" s="331" t="s">
        <v>1492</v>
      </c>
      <c r="G65" s="331" t="s">
        <v>1493</v>
      </c>
      <c r="H65" s="313"/>
      <c r="I65" s="313"/>
      <c r="J65" s="313"/>
      <c r="K65" s="362"/>
      <c r="L65" s="363"/>
      <c r="M65" s="364"/>
      <c r="N65" s="358"/>
      <c r="O65" s="358"/>
      <c r="P65" s="1515"/>
      <c r="Q65" s="279"/>
      <c r="R65" s="145"/>
      <c r="S65" s="145"/>
      <c r="T65" s="145"/>
      <c r="U65" s="145"/>
      <c r="V65" s="145"/>
      <c r="W65" s="145"/>
      <c r="X65" s="145"/>
      <c r="Y65" s="145"/>
      <c r="Z65" s="145"/>
      <c r="AA65" s="145"/>
      <c r="AB65" s="145"/>
      <c r="AC65" s="145"/>
    </row>
    <row r="66" ht="14.55" spans="1:29">
      <c r="A66" s="309"/>
      <c r="B66" s="314"/>
      <c r="C66" s="315">
        <v>100</v>
      </c>
      <c r="D66" s="315">
        <f>C66-$K16</f>
        <v>100</v>
      </c>
      <c r="E66" s="315">
        <f>D66-$K16</f>
        <v>100</v>
      </c>
      <c r="F66" s="315">
        <f>E66-$K16</f>
        <v>100</v>
      </c>
      <c r="G66" s="315">
        <f>F66-$K16</f>
        <v>100</v>
      </c>
      <c r="H66" s="315"/>
      <c r="I66" s="315"/>
      <c r="J66" s="315"/>
      <c r="K66" s="315"/>
      <c r="L66" s="315"/>
      <c r="M66" s="365"/>
      <c r="N66" s="361"/>
      <c r="O66" s="361"/>
      <c r="P66" s="1515"/>
      <c r="Q66" s="279"/>
      <c r="R66" s="145"/>
      <c r="S66" s="145"/>
      <c r="T66" s="145"/>
      <c r="U66" s="145"/>
      <c r="V66" s="145"/>
      <c r="W66" s="145"/>
      <c r="X66" s="145"/>
      <c r="Y66" s="145"/>
      <c r="Z66" s="145"/>
      <c r="AA66" s="145"/>
      <c r="AB66" s="145"/>
      <c r="AC66" s="145"/>
    </row>
    <row r="67" ht="15.15" spans="1:29">
      <c r="A67" s="309"/>
      <c r="B67" s="316" t="s">
        <v>1455</v>
      </c>
      <c r="C67" s="336" t="s">
        <v>1494</v>
      </c>
      <c r="D67" s="336" t="s">
        <v>1495</v>
      </c>
      <c r="E67" s="336" t="s">
        <v>1496</v>
      </c>
      <c r="F67" s="336" t="s">
        <v>1497</v>
      </c>
      <c r="G67" s="336" t="s">
        <v>1498</v>
      </c>
      <c r="H67" s="313"/>
      <c r="I67" s="313"/>
      <c r="J67" s="313"/>
      <c r="K67" s="313"/>
      <c r="L67" s="313"/>
      <c r="M67" s="1461"/>
      <c r="N67" s="361"/>
      <c r="O67" s="361"/>
      <c r="P67" s="1515"/>
      <c r="Q67" s="279"/>
      <c r="R67" s="145"/>
      <c r="S67" s="145"/>
      <c r="T67" s="145"/>
      <c r="U67" s="145"/>
      <c r="V67" s="145"/>
      <c r="W67" s="145"/>
      <c r="X67" s="145"/>
      <c r="Y67" s="145"/>
      <c r="Z67" s="145"/>
      <c r="AA67" s="145"/>
      <c r="AB67" s="145"/>
      <c r="AC67" s="145"/>
    </row>
    <row r="68" ht="14.55" spans="1:29">
      <c r="A68" s="309"/>
      <c r="B68" s="316"/>
      <c r="C68" s="315">
        <v>100</v>
      </c>
      <c r="D68" s="315">
        <f>C68-$K18</f>
        <v>100</v>
      </c>
      <c r="E68" s="315">
        <f>D68-$K18</f>
        <v>100</v>
      </c>
      <c r="F68" s="315">
        <f>E68-$K18</f>
        <v>100</v>
      </c>
      <c r="G68" s="315">
        <f>F68-$K18</f>
        <v>100</v>
      </c>
      <c r="H68" s="336"/>
      <c r="I68" s="336"/>
      <c r="J68" s="336"/>
      <c r="K68" s="336"/>
      <c r="L68" s="336"/>
      <c r="M68" s="93"/>
      <c r="N68" s="361"/>
      <c r="O68" s="361"/>
      <c r="P68" s="1515"/>
      <c r="Q68" s="279"/>
      <c r="R68" s="145"/>
      <c r="S68" s="145"/>
      <c r="T68" s="145"/>
      <c r="U68" s="145"/>
      <c r="V68" s="145"/>
      <c r="W68" s="145"/>
      <c r="X68" s="145"/>
      <c r="Y68" s="145"/>
      <c r="Z68" s="145"/>
      <c r="AA68" s="145"/>
      <c r="AB68" s="145"/>
      <c r="AC68" s="145"/>
    </row>
    <row r="69" ht="15.15" spans="1:29">
      <c r="A69" s="309"/>
      <c r="B69" s="312" t="s">
        <v>1456</v>
      </c>
      <c r="C69" s="331" t="s">
        <v>1489</v>
      </c>
      <c r="D69" s="331" t="s">
        <v>1490</v>
      </c>
      <c r="E69" s="331" t="s">
        <v>1491</v>
      </c>
      <c r="F69" s="331" t="s">
        <v>1492</v>
      </c>
      <c r="G69" s="331" t="s">
        <v>1493</v>
      </c>
      <c r="H69" s="313"/>
      <c r="I69" s="313"/>
      <c r="J69" s="313"/>
      <c r="K69" s="362"/>
      <c r="L69" s="363"/>
      <c r="M69" s="364"/>
      <c r="N69" s="358"/>
      <c r="O69" s="358"/>
      <c r="P69" s="1515"/>
      <c r="Q69" s="279"/>
      <c r="R69" s="145"/>
      <c r="S69" s="145"/>
      <c r="T69" s="145"/>
      <c r="U69" s="145"/>
      <c r="V69" s="145"/>
      <c r="W69" s="145"/>
      <c r="X69" s="145"/>
      <c r="Y69" s="145"/>
      <c r="Z69" s="145"/>
      <c r="AA69" s="145"/>
      <c r="AB69" s="145"/>
      <c r="AC69" s="145"/>
    </row>
    <row r="70" ht="14.55" spans="1:29">
      <c r="A70" s="309"/>
      <c r="B70" s="314"/>
      <c r="C70" s="315">
        <v>100</v>
      </c>
      <c r="D70" s="315">
        <f>C70-$K20</f>
        <v>100</v>
      </c>
      <c r="E70" s="315">
        <f>D70-$K20</f>
        <v>100</v>
      </c>
      <c r="F70" s="315">
        <f>E70-$K20</f>
        <v>100</v>
      </c>
      <c r="G70" s="315">
        <f>F70-$K20</f>
        <v>100</v>
      </c>
      <c r="H70" s="315"/>
      <c r="I70" s="315"/>
      <c r="J70" s="315"/>
      <c r="K70" s="315"/>
      <c r="L70" s="315"/>
      <c r="M70" s="365"/>
      <c r="N70" s="361"/>
      <c r="O70" s="361"/>
      <c r="P70" s="1515"/>
      <c r="Q70" s="279"/>
      <c r="R70" s="145"/>
      <c r="S70" s="145"/>
      <c r="T70" s="145"/>
      <c r="U70" s="145"/>
      <c r="V70" s="145"/>
      <c r="W70" s="145"/>
      <c r="X70" s="145"/>
      <c r="Y70" s="145"/>
      <c r="Z70" s="145"/>
      <c r="AA70" s="145"/>
      <c r="AB70" s="145"/>
      <c r="AC70" s="145"/>
    </row>
    <row r="71" ht="15.15" spans="1:29">
      <c r="A71" s="309"/>
      <c r="B71" s="312" t="s">
        <v>1524</v>
      </c>
      <c r="C71" s="320"/>
      <c r="D71" s="320"/>
      <c r="E71" s="320"/>
      <c r="F71" s="320"/>
      <c r="G71" s="320"/>
      <c r="H71" s="337"/>
      <c r="I71" s="337"/>
      <c r="J71" s="337"/>
      <c r="K71" s="388"/>
      <c r="L71" s="389"/>
      <c r="M71" s="390"/>
      <c r="N71" s="358"/>
      <c r="O71" s="358"/>
      <c r="P71" s="1515"/>
      <c r="Q71" s="279"/>
      <c r="R71" s="145"/>
      <c r="S71" s="145"/>
      <c r="T71" s="145"/>
      <c r="U71" s="145"/>
      <c r="V71" s="145"/>
      <c r="W71" s="145"/>
      <c r="X71" s="145"/>
      <c r="Y71" s="145"/>
      <c r="Z71" s="145"/>
      <c r="AA71" s="145"/>
      <c r="AB71" s="145"/>
      <c r="AC71" s="145"/>
    </row>
    <row r="72" ht="14.55" spans="1:29">
      <c r="A72" s="309"/>
      <c r="B72" s="314"/>
      <c r="C72" s="315">
        <v>100</v>
      </c>
      <c r="D72" s="315">
        <f>C72-$K22</f>
        <v>100</v>
      </c>
      <c r="E72" s="315">
        <f>D72-$K22</f>
        <v>100</v>
      </c>
      <c r="F72" s="315">
        <f>E72-$K22</f>
        <v>100</v>
      </c>
      <c r="G72" s="315">
        <f>F72-$K22</f>
        <v>100</v>
      </c>
      <c r="H72" s="315"/>
      <c r="I72" s="315"/>
      <c r="J72" s="315"/>
      <c r="K72" s="315"/>
      <c r="L72" s="315"/>
      <c r="M72" s="365"/>
      <c r="N72" s="361"/>
      <c r="O72" s="361"/>
      <c r="P72" s="1515"/>
      <c r="Q72" s="279"/>
      <c r="R72" s="145"/>
      <c r="S72" s="145"/>
      <c r="T72" s="145"/>
      <c r="U72" s="145"/>
      <c r="V72" s="145"/>
      <c r="W72" s="145"/>
      <c r="X72" s="145"/>
      <c r="Y72" s="145"/>
      <c r="Z72" s="145"/>
      <c r="AA72" s="145"/>
      <c r="AB72" s="145"/>
      <c r="AC72" s="145"/>
    </row>
    <row r="73" s="15" customFormat="1" ht="14.55" spans="1:29">
      <c r="A73" s="332"/>
      <c r="B73" s="312">
        <f>B23</f>
        <v>111</v>
      </c>
      <c r="C73" s="76"/>
      <c r="D73" s="76"/>
      <c r="E73" s="76"/>
      <c r="F73" s="76"/>
      <c r="G73" s="320"/>
      <c r="H73" s="320"/>
      <c r="I73" s="320"/>
      <c r="J73" s="320"/>
      <c r="K73" s="320"/>
      <c r="L73" s="1462"/>
      <c r="M73" s="1463"/>
      <c r="N73" s="352"/>
      <c r="O73" s="352"/>
      <c r="P73" s="1515"/>
      <c r="Q73" s="279"/>
      <c r="R73" s="402"/>
      <c r="S73" s="402"/>
      <c r="T73" s="402"/>
      <c r="U73" s="402"/>
      <c r="V73" s="402"/>
      <c r="W73" s="402"/>
      <c r="X73" s="402"/>
      <c r="Y73" s="402"/>
      <c r="Z73" s="402"/>
      <c r="AA73" s="402"/>
      <c r="AB73" s="402"/>
      <c r="AC73" s="402"/>
    </row>
    <row r="74" s="15" customFormat="1" ht="14.55" spans="1:29">
      <c r="A74" s="332"/>
      <c r="B74" s="314"/>
      <c r="C74" s="322"/>
      <c r="D74" s="311"/>
      <c r="E74" s="311"/>
      <c r="F74" s="311"/>
      <c r="G74" s="311"/>
      <c r="H74" s="311"/>
      <c r="I74" s="311"/>
      <c r="J74" s="311"/>
      <c r="K74" s="311"/>
      <c r="L74" s="311"/>
      <c r="M74" s="360"/>
      <c r="N74" s="361"/>
      <c r="O74" s="361"/>
      <c r="P74" s="1515"/>
      <c r="Q74" s="279"/>
      <c r="R74" s="402"/>
      <c r="S74" s="402"/>
      <c r="T74" s="402"/>
      <c r="U74" s="402"/>
      <c r="V74" s="402"/>
      <c r="W74" s="402"/>
      <c r="X74" s="402"/>
      <c r="Y74" s="402"/>
      <c r="Z74" s="402"/>
      <c r="AA74" s="402"/>
      <c r="AB74" s="402"/>
      <c r="AC74" s="402"/>
    </row>
    <row r="75" s="15" customFormat="1" ht="14.55" spans="1:29">
      <c r="A75" s="332"/>
      <c r="B75" s="312">
        <f>B24</f>
        <v>111</v>
      </c>
      <c r="C75" s="76"/>
      <c r="D75" s="76"/>
      <c r="E75" s="76"/>
      <c r="F75" s="76"/>
      <c r="G75" s="320"/>
      <c r="H75" s="320"/>
      <c r="I75" s="320"/>
      <c r="J75" s="320"/>
      <c r="K75" s="320"/>
      <c r="L75" s="320"/>
      <c r="M75" s="1463"/>
      <c r="N75" s="352"/>
      <c r="O75" s="352"/>
      <c r="P75" s="1515"/>
      <c r="Q75" s="279"/>
      <c r="R75" s="402"/>
      <c r="S75" s="402"/>
      <c r="T75" s="402"/>
      <c r="U75" s="402"/>
      <c r="V75" s="402"/>
      <c r="W75" s="402"/>
      <c r="X75" s="402"/>
      <c r="Y75" s="402"/>
      <c r="Z75" s="402"/>
      <c r="AA75" s="402"/>
      <c r="AB75" s="402"/>
      <c r="AC75" s="402"/>
    </row>
    <row r="76" s="15" customFormat="1" ht="14.55" spans="1:29">
      <c r="A76" s="332"/>
      <c r="B76" s="314"/>
      <c r="C76" s="322"/>
      <c r="D76" s="311"/>
      <c r="E76" s="311"/>
      <c r="F76" s="311"/>
      <c r="G76" s="311"/>
      <c r="H76" s="311"/>
      <c r="I76" s="311"/>
      <c r="J76" s="311"/>
      <c r="K76" s="311"/>
      <c r="L76" s="311"/>
      <c r="M76" s="360"/>
      <c r="N76" s="361"/>
      <c r="O76" s="361"/>
      <c r="P76" s="1515"/>
      <c r="Q76" s="279"/>
      <c r="R76" s="402"/>
      <c r="S76" s="402"/>
      <c r="T76" s="402"/>
      <c r="U76" s="402"/>
      <c r="V76" s="402"/>
      <c r="W76" s="402"/>
      <c r="X76" s="402"/>
      <c r="Y76" s="402"/>
      <c r="Z76" s="402"/>
      <c r="AA76" s="402"/>
      <c r="AB76" s="402"/>
      <c r="AC76" s="402"/>
    </row>
    <row r="77" s="17" customFormat="1" ht="14.55" spans="1:29">
      <c r="A77" s="319"/>
      <c r="B77" s="312">
        <f>B25</f>
        <v>111</v>
      </c>
      <c r="C77" s="320"/>
      <c r="D77" s="320"/>
      <c r="E77" s="320"/>
      <c r="F77" s="320"/>
      <c r="G77" s="320"/>
      <c r="H77" s="321"/>
      <c r="I77" s="321"/>
      <c r="J77" s="321"/>
      <c r="K77" s="321"/>
      <c r="L77" s="369"/>
      <c r="M77" s="370"/>
      <c r="N77" s="371"/>
      <c r="O77" s="371"/>
      <c r="P77" s="1516"/>
      <c r="Q77" s="403"/>
      <c r="R77" s="404"/>
      <c r="S77" s="404"/>
      <c r="T77" s="404"/>
      <c r="U77" s="404"/>
      <c r="V77" s="404"/>
      <c r="W77" s="404"/>
      <c r="X77" s="404"/>
      <c r="Y77" s="404"/>
      <c r="Z77" s="404"/>
      <c r="AA77" s="404"/>
      <c r="AB77" s="404"/>
      <c r="AC77" s="404"/>
    </row>
    <row r="78" s="17" customFormat="1" ht="14.55" spans="1:29">
      <c r="A78" s="319"/>
      <c r="B78" s="314"/>
      <c r="C78" s="322"/>
      <c r="D78" s="322"/>
      <c r="E78" s="322"/>
      <c r="F78" s="322"/>
      <c r="G78" s="311"/>
      <c r="H78" s="311"/>
      <c r="I78" s="311"/>
      <c r="J78" s="311"/>
      <c r="K78" s="311"/>
      <c r="L78" s="311"/>
      <c r="M78" s="360"/>
      <c r="N78" s="371"/>
      <c r="O78" s="371"/>
      <c r="P78" s="1516"/>
      <c r="Q78" s="403"/>
      <c r="R78" s="404"/>
      <c r="S78" s="404"/>
      <c r="T78" s="404"/>
      <c r="U78" s="404"/>
      <c r="V78" s="404"/>
      <c r="W78" s="404"/>
      <c r="X78" s="404"/>
      <c r="Y78" s="404"/>
      <c r="Z78" s="404"/>
      <c r="AA78" s="404"/>
      <c r="AB78" s="404"/>
      <c r="AC78" s="404"/>
    </row>
    <row r="79" ht="29.55" spans="1:29">
      <c r="A79" s="307" t="s">
        <v>1459</v>
      </c>
      <c r="B79" s="308" t="s">
        <v>1555</v>
      </c>
      <c r="C79" s="330">
        <f>C26</f>
        <v>0</v>
      </c>
      <c r="D79" s="233"/>
      <c r="E79" s="233"/>
      <c r="F79" s="233"/>
      <c r="G79" s="233"/>
      <c r="H79" s="233"/>
      <c r="I79" s="233"/>
      <c r="J79" s="233"/>
      <c r="K79" s="355"/>
      <c r="L79" s="356"/>
      <c r="M79" s="357"/>
      <c r="N79" s="358"/>
      <c r="O79" s="358"/>
      <c r="P79" s="1515"/>
      <c r="Q79" s="279"/>
      <c r="R79" s="145"/>
      <c r="S79" s="145"/>
      <c r="T79" s="145"/>
      <c r="U79" s="145"/>
      <c r="V79" s="145"/>
      <c r="W79" s="145"/>
      <c r="X79" s="145"/>
      <c r="Y79" s="145"/>
      <c r="Z79" s="145"/>
      <c r="AA79" s="145"/>
      <c r="AB79" s="145"/>
      <c r="AC79" s="145"/>
    </row>
    <row r="80" ht="14.55" spans="1:29">
      <c r="A80" s="309"/>
      <c r="B80" s="314"/>
      <c r="C80" s="315">
        <v>100</v>
      </c>
      <c r="D80" s="315">
        <f t="shared" ref="D80:M80" si="17">C80-$K26</f>
        <v>100</v>
      </c>
      <c r="E80" s="315">
        <f t="shared" si="17"/>
        <v>100</v>
      </c>
      <c r="F80" s="315">
        <f t="shared" si="17"/>
        <v>100</v>
      </c>
      <c r="G80" s="315">
        <f t="shared" si="17"/>
        <v>100</v>
      </c>
      <c r="H80" s="315">
        <f t="shared" si="17"/>
        <v>100</v>
      </c>
      <c r="I80" s="315">
        <f t="shared" si="17"/>
        <v>100</v>
      </c>
      <c r="J80" s="315">
        <f t="shared" si="17"/>
        <v>100</v>
      </c>
      <c r="K80" s="315">
        <f t="shared" si="17"/>
        <v>100</v>
      </c>
      <c r="L80" s="315">
        <f t="shared" si="17"/>
        <v>100</v>
      </c>
      <c r="M80" s="365">
        <f t="shared" si="17"/>
        <v>100</v>
      </c>
      <c r="N80" s="361"/>
      <c r="O80" s="361"/>
      <c r="P80" s="1515"/>
      <c r="Q80" s="279"/>
      <c r="R80" s="145"/>
      <c r="S80" s="145"/>
      <c r="T80" s="145"/>
      <c r="U80" s="145"/>
      <c r="V80" s="145"/>
      <c r="W80" s="145"/>
      <c r="X80" s="145"/>
      <c r="Y80" s="145"/>
      <c r="Z80" s="145"/>
      <c r="AA80" s="145"/>
      <c r="AB80" s="145"/>
      <c r="AC80" s="145"/>
    </row>
    <row r="81" ht="15.15" spans="1:29">
      <c r="A81" s="309"/>
      <c r="B81" s="312" t="s">
        <v>1546</v>
      </c>
      <c r="C81" s="1519"/>
      <c r="D81" s="1519"/>
      <c r="E81" s="1519"/>
      <c r="F81" s="1519"/>
      <c r="G81" s="1519"/>
      <c r="H81" s="1519"/>
      <c r="I81" s="1519"/>
      <c r="J81" s="1519"/>
      <c r="K81" s="1520"/>
      <c r="L81" s="1521"/>
      <c r="M81" s="1522"/>
      <c r="N81" s="352"/>
      <c r="O81" s="352"/>
      <c r="P81" s="1515"/>
      <c r="Q81" s="279"/>
      <c r="R81" s="145"/>
      <c r="S81" s="145"/>
      <c r="T81" s="145"/>
      <c r="U81" s="145"/>
      <c r="V81" s="145"/>
      <c r="W81" s="145"/>
      <c r="X81" s="145"/>
      <c r="Y81" s="145"/>
      <c r="Z81" s="145"/>
      <c r="AA81" s="145"/>
      <c r="AB81" s="145"/>
      <c r="AC81" s="145"/>
    </row>
    <row r="82" s="17" customFormat="1" ht="14.55" spans="1:29">
      <c r="A82" s="319"/>
      <c r="B82" s="314"/>
      <c r="C82" s="322"/>
      <c r="D82" s="311"/>
      <c r="E82" s="311"/>
      <c r="F82" s="311"/>
      <c r="G82" s="311"/>
      <c r="H82" s="311"/>
      <c r="I82" s="311"/>
      <c r="J82" s="311"/>
      <c r="K82" s="311"/>
      <c r="L82" s="311"/>
      <c r="M82" s="360"/>
      <c r="N82" s="361"/>
      <c r="O82" s="361"/>
      <c r="P82" s="1516"/>
      <c r="Q82" s="403"/>
      <c r="R82" s="404"/>
      <c r="S82" s="404"/>
      <c r="T82" s="404"/>
      <c r="U82" s="404"/>
      <c r="V82" s="404"/>
      <c r="W82" s="404"/>
      <c r="X82" s="404"/>
      <c r="Y82" s="404"/>
      <c r="Z82" s="404"/>
      <c r="AA82" s="404"/>
      <c r="AB82" s="404"/>
      <c r="AC82" s="404"/>
    </row>
    <row r="83" ht="15.15" spans="1:29">
      <c r="A83" s="344"/>
      <c r="B83" s="312" t="s">
        <v>1465</v>
      </c>
      <c r="C83" s="320"/>
      <c r="D83" s="320"/>
      <c r="E83" s="337"/>
      <c r="F83" s="337"/>
      <c r="G83" s="337"/>
      <c r="H83" s="337"/>
      <c r="I83" s="337"/>
      <c r="J83" s="337"/>
      <c r="K83" s="388"/>
      <c r="L83" s="389"/>
      <c r="M83" s="390"/>
      <c r="N83" s="358"/>
      <c r="O83" s="358"/>
      <c r="P83" s="1515"/>
      <c r="Q83" s="279"/>
      <c r="R83" s="145"/>
      <c r="S83" s="145"/>
      <c r="T83" s="145"/>
      <c r="U83" s="145"/>
      <c r="V83" s="145"/>
      <c r="W83" s="145"/>
      <c r="X83" s="145"/>
      <c r="Y83" s="145"/>
      <c r="Z83" s="145"/>
      <c r="AA83" s="145"/>
      <c r="AB83" s="145"/>
      <c r="AC83" s="145"/>
    </row>
    <row r="84" ht="14.55" spans="1:29">
      <c r="A84" s="309"/>
      <c r="B84" s="314"/>
      <c r="C84" s="315">
        <v>100</v>
      </c>
      <c r="D84" s="315">
        <f t="shared" ref="D84:M84" si="18">C84-$K28</f>
        <v>100</v>
      </c>
      <c r="E84" s="315">
        <f t="shared" si="18"/>
        <v>100</v>
      </c>
      <c r="F84" s="315">
        <f t="shared" si="18"/>
        <v>100</v>
      </c>
      <c r="G84" s="315">
        <f t="shared" si="18"/>
        <v>100</v>
      </c>
      <c r="H84" s="315">
        <f t="shared" si="18"/>
        <v>100</v>
      </c>
      <c r="I84" s="315">
        <f t="shared" si="18"/>
        <v>100</v>
      </c>
      <c r="J84" s="315">
        <f t="shared" si="18"/>
        <v>100</v>
      </c>
      <c r="K84" s="315">
        <f t="shared" si="18"/>
        <v>100</v>
      </c>
      <c r="L84" s="315">
        <f t="shared" si="18"/>
        <v>100</v>
      </c>
      <c r="M84" s="365">
        <f t="shared" si="18"/>
        <v>100</v>
      </c>
      <c r="N84" s="361"/>
      <c r="O84" s="361"/>
      <c r="P84" s="1515"/>
      <c r="Q84" s="279"/>
      <c r="R84" s="145"/>
      <c r="S84" s="145"/>
      <c r="T84" s="145"/>
      <c r="U84" s="145"/>
      <c r="V84" s="145"/>
      <c r="W84" s="145"/>
      <c r="X84" s="145"/>
      <c r="Y84" s="145"/>
      <c r="Z84" s="145"/>
      <c r="AA84" s="145"/>
      <c r="AB84" s="145"/>
      <c r="AC84" s="145"/>
    </row>
    <row r="85" ht="15.15" spans="1:29">
      <c r="A85" s="344"/>
      <c r="B85" s="312" t="s">
        <v>1547</v>
      </c>
      <c r="C85" s="331" t="str">
        <f>C86&amp;"(含)"&amp;"-"&amp;D86</f>
        <v>0.5(含)-0.6</v>
      </c>
      <c r="D85" s="331" t="str">
        <f>D86&amp;"(含)"&amp;"-"&amp;E86</f>
        <v>0.6(含)-0.7</v>
      </c>
      <c r="E85" s="331" t="str">
        <f>E86&amp;"(含)"&amp;"-"&amp;F86</f>
        <v>0.7(含)-0.8</v>
      </c>
      <c r="F85" s="331" t="str">
        <f>F86&amp;"(含)"&amp;"-"&amp;G86</f>
        <v>0.8(含)-0.9</v>
      </c>
      <c r="G85" s="331" t="str">
        <f>G86&amp;"(含)"&amp;"-"&amp;ROUND(H86,0)&amp;"(含)"</f>
        <v>0.9(含)-1(含)</v>
      </c>
      <c r="H85" s="331"/>
      <c r="I85" s="337"/>
      <c r="J85" s="337"/>
      <c r="K85" s="388"/>
      <c r="L85" s="389"/>
      <c r="M85" s="390"/>
      <c r="N85" s="358"/>
      <c r="O85" s="358"/>
      <c r="P85" s="1515"/>
      <c r="Q85" s="279"/>
      <c r="R85" s="145"/>
      <c r="S85" s="145"/>
      <c r="T85" s="145"/>
      <c r="U85" s="145"/>
      <c r="V85" s="145"/>
      <c r="W85" s="145"/>
      <c r="X85" s="145"/>
      <c r="Y85" s="145"/>
      <c r="Z85" s="145"/>
      <c r="AA85" s="145"/>
      <c r="AB85" s="145"/>
      <c r="AC85" s="145"/>
    </row>
    <row r="86" spans="1:29">
      <c r="A86" s="344"/>
      <c r="B86" s="316"/>
      <c r="C86" s="295">
        <v>0.5</v>
      </c>
      <c r="D86" s="295">
        <v>0.6</v>
      </c>
      <c r="E86" s="295">
        <v>0.7</v>
      </c>
      <c r="F86" s="295">
        <v>0.8</v>
      </c>
      <c r="G86" s="295">
        <v>0.9</v>
      </c>
      <c r="H86" s="295">
        <v>1.0001</v>
      </c>
      <c r="I86" s="1523"/>
      <c r="J86" s="1523"/>
      <c r="K86" s="1524"/>
      <c r="L86" s="1525"/>
      <c r="M86" s="1526"/>
      <c r="N86" s="358"/>
      <c r="O86" s="358"/>
      <c r="P86" s="1515"/>
      <c r="Q86" s="279"/>
      <c r="R86" s="145"/>
      <c r="S86" s="145"/>
      <c r="T86" s="145"/>
      <c r="U86" s="145"/>
      <c r="V86" s="145"/>
      <c r="W86" s="145"/>
      <c r="X86" s="145"/>
      <c r="Y86" s="145"/>
      <c r="Z86" s="145"/>
      <c r="AA86" s="145"/>
      <c r="AB86" s="145"/>
      <c r="AC86" s="145"/>
    </row>
    <row r="87" ht="14.55" spans="1:29">
      <c r="A87" s="309"/>
      <c r="B87" s="314"/>
      <c r="C87" s="333">
        <v>100</v>
      </c>
      <c r="D87" s="315">
        <f>C87+$K$29</f>
        <v>100</v>
      </c>
      <c r="E87" s="315">
        <f t="shared" ref="E87:M87" si="19">D87+$K$29</f>
        <v>100</v>
      </c>
      <c r="F87" s="315">
        <f t="shared" si="19"/>
        <v>100</v>
      </c>
      <c r="G87" s="315">
        <f t="shared" si="19"/>
        <v>100</v>
      </c>
      <c r="H87" s="315">
        <f t="shared" si="19"/>
        <v>100</v>
      </c>
      <c r="I87" s="315">
        <f t="shared" si="19"/>
        <v>100</v>
      </c>
      <c r="J87" s="315">
        <f t="shared" si="19"/>
        <v>100</v>
      </c>
      <c r="K87" s="315">
        <f t="shared" si="19"/>
        <v>100</v>
      </c>
      <c r="L87" s="315">
        <f t="shared" si="19"/>
        <v>100</v>
      </c>
      <c r="M87" s="315">
        <f t="shared" si="19"/>
        <v>100</v>
      </c>
      <c r="N87" s="361"/>
      <c r="O87" s="361"/>
      <c r="P87" s="1515"/>
      <c r="Q87" s="279"/>
      <c r="R87" s="145"/>
      <c r="S87" s="145"/>
      <c r="T87" s="145"/>
      <c r="U87" s="145"/>
      <c r="V87" s="145"/>
      <c r="W87" s="145"/>
      <c r="X87" s="145"/>
      <c r="Y87" s="145"/>
      <c r="Z87" s="145"/>
      <c r="AA87" s="145"/>
      <c r="AB87" s="145"/>
      <c r="AC87" s="145"/>
    </row>
    <row r="88" ht="15.15" spans="1:29">
      <c r="A88" s="344"/>
      <c r="B88" s="316" t="s">
        <v>1548</v>
      </c>
      <c r="C88" s="233"/>
      <c r="D88" s="233"/>
      <c r="E88" s="233"/>
      <c r="F88" s="233"/>
      <c r="G88" s="233"/>
      <c r="H88" s="233"/>
      <c r="I88" s="233"/>
      <c r="J88" s="233"/>
      <c r="K88" s="355"/>
      <c r="L88" s="356"/>
      <c r="M88" s="357"/>
      <c r="N88" s="358"/>
      <c r="O88" s="358"/>
      <c r="P88" s="1515"/>
      <c r="Q88" s="279"/>
      <c r="R88" s="145"/>
      <c r="S88" s="145"/>
      <c r="T88" s="145"/>
      <c r="U88" s="145"/>
      <c r="V88" s="145"/>
      <c r="W88" s="145"/>
      <c r="X88" s="145"/>
      <c r="Y88" s="145"/>
      <c r="Z88" s="145"/>
      <c r="AA88" s="145"/>
      <c r="AB88" s="145"/>
      <c r="AC88" s="145"/>
    </row>
    <row r="89" ht="14.55" spans="1:29">
      <c r="A89" s="309"/>
      <c r="B89" s="314"/>
      <c r="C89" s="333">
        <v>100</v>
      </c>
      <c r="D89" s="315">
        <f t="shared" ref="D89:M89" si="20">C89+$K30</f>
        <v>100</v>
      </c>
      <c r="E89" s="315">
        <f t="shared" si="20"/>
        <v>100</v>
      </c>
      <c r="F89" s="315">
        <f t="shared" si="20"/>
        <v>100</v>
      </c>
      <c r="G89" s="315">
        <f t="shared" si="20"/>
        <v>100</v>
      </c>
      <c r="H89" s="315">
        <f t="shared" si="20"/>
        <v>100</v>
      </c>
      <c r="I89" s="315">
        <f t="shared" si="20"/>
        <v>100</v>
      </c>
      <c r="J89" s="315">
        <f t="shared" si="20"/>
        <v>100</v>
      </c>
      <c r="K89" s="315">
        <f t="shared" si="20"/>
        <v>100</v>
      </c>
      <c r="L89" s="315">
        <f t="shared" si="20"/>
        <v>100</v>
      </c>
      <c r="M89" s="315">
        <f t="shared" si="20"/>
        <v>100</v>
      </c>
      <c r="N89" s="361"/>
      <c r="O89" s="361"/>
      <c r="P89" s="1515"/>
      <c r="Q89" s="279"/>
      <c r="R89" s="145"/>
      <c r="S89" s="145"/>
      <c r="T89" s="145"/>
      <c r="U89" s="145"/>
      <c r="V89" s="145"/>
      <c r="W89" s="145"/>
      <c r="X89" s="145"/>
      <c r="Y89" s="145"/>
      <c r="Z89" s="145"/>
      <c r="AA89" s="145"/>
      <c r="AB89" s="145"/>
      <c r="AC89" s="145"/>
    </row>
    <row r="90" s="17" customFormat="1" ht="15.15" spans="1:29">
      <c r="A90" s="341"/>
      <c r="B90" s="312" t="s">
        <v>1549</v>
      </c>
      <c r="C90" s="331" t="str">
        <f>C91&amp;"(含)"&amp;"-"&amp;D91</f>
        <v>(含)-</v>
      </c>
      <c r="D90" s="331" t="str">
        <f t="shared" ref="D90:L90" si="21">D91&amp;"(含)"&amp;"-"&amp;E91</f>
        <v>(含)-</v>
      </c>
      <c r="E90" s="331" t="str">
        <f t="shared" si="21"/>
        <v>(含)-</v>
      </c>
      <c r="F90" s="331" t="str">
        <f t="shared" si="21"/>
        <v>(含)-</v>
      </c>
      <c r="G90" s="331" t="str">
        <f t="shared" si="21"/>
        <v>(含)-</v>
      </c>
      <c r="H90" s="331" t="str">
        <f t="shared" si="21"/>
        <v>(含)-</v>
      </c>
      <c r="I90" s="331" t="str">
        <f t="shared" si="21"/>
        <v>(含)-</v>
      </c>
      <c r="J90" s="331" t="str">
        <f t="shared" si="21"/>
        <v>(含)-</v>
      </c>
      <c r="K90" s="331" t="str">
        <f t="shared" si="21"/>
        <v>(含)-</v>
      </c>
      <c r="L90" s="331" t="str">
        <f t="shared" si="21"/>
        <v>(含)-</v>
      </c>
      <c r="M90" s="383" t="str">
        <f>M91&amp;"(含)"&amp;"-"&amp;P91</f>
        <v>(含)-</v>
      </c>
      <c r="N90" s="371"/>
      <c r="O90" s="371"/>
      <c r="P90" s="1516"/>
      <c r="Q90" s="403"/>
      <c r="R90" s="404"/>
      <c r="S90" s="404"/>
      <c r="T90" s="404"/>
      <c r="U90" s="404"/>
      <c r="V90" s="404"/>
      <c r="W90" s="404"/>
      <c r="X90" s="404"/>
      <c r="Y90" s="404"/>
      <c r="Z90" s="404"/>
      <c r="AA90" s="404"/>
      <c r="AB90" s="404"/>
      <c r="AC90" s="404"/>
    </row>
    <row r="91" s="17" customFormat="1" spans="1:29">
      <c r="A91" s="341"/>
      <c r="B91" s="316"/>
      <c r="C91" s="296"/>
      <c r="D91" s="296"/>
      <c r="E91" s="296"/>
      <c r="F91" s="296"/>
      <c r="G91" s="296"/>
      <c r="H91" s="296"/>
      <c r="I91" s="296"/>
      <c r="J91" s="395"/>
      <c r="K91" s="395"/>
      <c r="L91" s="396"/>
      <c r="M91" s="397"/>
      <c r="N91" s="371"/>
      <c r="O91" s="371"/>
      <c r="P91" s="1516"/>
      <c r="Q91" s="403"/>
      <c r="R91" s="404"/>
      <c r="S91" s="404"/>
      <c r="T91" s="404"/>
      <c r="U91" s="404"/>
      <c r="V91" s="404"/>
      <c r="W91" s="404"/>
      <c r="X91" s="404"/>
      <c r="Y91" s="404"/>
      <c r="Z91" s="404"/>
      <c r="AA91" s="404"/>
      <c r="AB91" s="404"/>
      <c r="AC91" s="404"/>
    </row>
    <row r="92" s="17" customFormat="1" ht="14.55" spans="1:29">
      <c r="A92" s="319"/>
      <c r="B92" s="314"/>
      <c r="C92" s="322"/>
      <c r="D92" s="311"/>
      <c r="E92" s="311"/>
      <c r="F92" s="311"/>
      <c r="G92" s="311"/>
      <c r="H92" s="311"/>
      <c r="I92" s="311"/>
      <c r="J92" s="311"/>
      <c r="K92" s="311"/>
      <c r="L92" s="311"/>
      <c r="M92" s="360"/>
      <c r="N92" s="371"/>
      <c r="O92" s="371"/>
      <c r="P92" s="1516"/>
      <c r="Q92" s="403"/>
      <c r="R92" s="404"/>
      <c r="S92" s="404"/>
      <c r="T92" s="404"/>
      <c r="U92" s="404"/>
      <c r="V92" s="404"/>
      <c r="W92" s="404"/>
      <c r="X92" s="404"/>
      <c r="Y92" s="404"/>
      <c r="Z92" s="404"/>
      <c r="AA92" s="404"/>
      <c r="AB92" s="404"/>
      <c r="AC92" s="404"/>
    </row>
    <row r="93" ht="15.15" spans="1:29">
      <c r="A93" s="344"/>
      <c r="B93" s="312" t="s">
        <v>1550</v>
      </c>
      <c r="C93" s="320"/>
      <c r="D93" s="320"/>
      <c r="E93" s="337"/>
      <c r="F93" s="337"/>
      <c r="G93" s="337"/>
      <c r="H93" s="337"/>
      <c r="I93" s="337"/>
      <c r="J93" s="337"/>
      <c r="K93" s="388"/>
      <c r="L93" s="389"/>
      <c r="M93" s="390"/>
      <c r="N93" s="358"/>
      <c r="O93" s="358"/>
      <c r="P93" s="1515"/>
      <c r="Q93" s="279"/>
      <c r="R93" s="145"/>
      <c r="S93" s="145"/>
      <c r="T93" s="145"/>
      <c r="U93" s="145"/>
      <c r="V93" s="145"/>
      <c r="W93" s="145"/>
      <c r="X93" s="145"/>
      <c r="Y93" s="145"/>
      <c r="Z93" s="145"/>
      <c r="AA93" s="145"/>
      <c r="AB93" s="145"/>
      <c r="AC93" s="145"/>
    </row>
    <row r="94" ht="14.55" spans="1:29">
      <c r="A94" s="309"/>
      <c r="B94" s="314"/>
      <c r="C94" s="315">
        <v>100</v>
      </c>
      <c r="D94" s="315">
        <f t="shared" ref="D94:M94" si="22">C94-$K32</f>
        <v>100</v>
      </c>
      <c r="E94" s="315">
        <f t="shared" si="22"/>
        <v>100</v>
      </c>
      <c r="F94" s="315">
        <f t="shared" si="22"/>
        <v>100</v>
      </c>
      <c r="G94" s="315">
        <f t="shared" si="22"/>
        <v>100</v>
      </c>
      <c r="H94" s="315">
        <f t="shared" si="22"/>
        <v>100</v>
      </c>
      <c r="I94" s="315">
        <f t="shared" si="22"/>
        <v>100</v>
      </c>
      <c r="J94" s="315">
        <f t="shared" si="22"/>
        <v>100</v>
      </c>
      <c r="K94" s="315">
        <f t="shared" si="22"/>
        <v>100</v>
      </c>
      <c r="L94" s="315">
        <f t="shared" si="22"/>
        <v>100</v>
      </c>
      <c r="M94" s="365">
        <f t="shared" si="22"/>
        <v>100</v>
      </c>
      <c r="N94" s="361"/>
      <c r="O94" s="361"/>
      <c r="P94" s="1515"/>
      <c r="Q94" s="279"/>
      <c r="R94" s="145"/>
      <c r="S94" s="145"/>
      <c r="T94" s="145"/>
      <c r="U94" s="145"/>
      <c r="V94" s="145"/>
      <c r="W94" s="145"/>
      <c r="X94" s="145"/>
      <c r="Y94" s="145"/>
      <c r="Z94" s="145"/>
      <c r="AA94" s="145"/>
      <c r="AB94" s="145"/>
      <c r="AC94" s="145"/>
    </row>
    <row r="95" ht="15.15" spans="1:29">
      <c r="A95" s="344"/>
      <c r="B95" s="312" t="s">
        <v>1551</v>
      </c>
      <c r="C95" s="233"/>
      <c r="D95" s="233"/>
      <c r="E95" s="233"/>
      <c r="F95" s="233"/>
      <c r="G95" s="233"/>
      <c r="H95" s="233"/>
      <c r="I95" s="233"/>
      <c r="J95" s="233"/>
      <c r="K95" s="355"/>
      <c r="L95" s="356"/>
      <c r="M95" s="357"/>
      <c r="N95" s="358"/>
      <c r="O95" s="358"/>
      <c r="P95" s="1515"/>
      <c r="Q95" s="279"/>
      <c r="R95" s="145"/>
      <c r="S95" s="145"/>
      <c r="T95" s="145"/>
      <c r="U95" s="145"/>
      <c r="V95" s="145"/>
      <c r="W95" s="145"/>
      <c r="X95" s="145"/>
      <c r="Y95" s="145"/>
      <c r="Z95" s="145"/>
      <c r="AA95" s="145"/>
      <c r="AB95" s="145"/>
      <c r="AC95" s="145"/>
    </row>
    <row r="96" ht="14.55" spans="1:29">
      <c r="A96" s="309"/>
      <c r="B96" s="314"/>
      <c r="C96" s="315">
        <v>100</v>
      </c>
      <c r="D96" s="315">
        <f>C96-$K33</f>
        <v>100</v>
      </c>
      <c r="E96" s="315">
        <f>D96-$K33</f>
        <v>100</v>
      </c>
      <c r="F96" s="315">
        <f>E96-$K33</f>
        <v>100</v>
      </c>
      <c r="G96" s="315">
        <f>F96-$K33</f>
        <v>100</v>
      </c>
      <c r="H96" s="315"/>
      <c r="I96" s="315"/>
      <c r="J96" s="315"/>
      <c r="K96" s="315"/>
      <c r="L96" s="315"/>
      <c r="M96" s="365"/>
      <c r="N96" s="361"/>
      <c r="O96" s="361"/>
      <c r="P96" s="1515"/>
      <c r="Q96" s="279"/>
      <c r="R96" s="145"/>
      <c r="S96" s="145"/>
      <c r="T96" s="145"/>
      <c r="U96" s="145"/>
      <c r="V96" s="145"/>
      <c r="W96" s="145"/>
      <c r="X96" s="145"/>
      <c r="Y96" s="145"/>
      <c r="Z96" s="145"/>
      <c r="AA96" s="145"/>
      <c r="AB96" s="145"/>
      <c r="AC96" s="145"/>
    </row>
    <row r="97" ht="14.55" spans="1:29">
      <c r="A97" s="344"/>
      <c r="B97" s="1459">
        <f>B34</f>
        <v>111</v>
      </c>
      <c r="C97" s="76"/>
      <c r="D97" s="76"/>
      <c r="E97" s="76"/>
      <c r="F97" s="76"/>
      <c r="G97" s="320"/>
      <c r="H97" s="321"/>
      <c r="I97" s="321"/>
      <c r="J97" s="321"/>
      <c r="K97" s="321"/>
      <c r="L97" s="369"/>
      <c r="M97" s="370"/>
      <c r="N97" s="361"/>
      <c r="O97" s="361"/>
      <c r="P97" s="1527"/>
      <c r="Q97" s="1470"/>
      <c r="R97" s="145"/>
      <c r="S97" s="145"/>
      <c r="T97" s="145"/>
      <c r="U97" s="145"/>
      <c r="V97" s="145"/>
      <c r="W97" s="145"/>
      <c r="X97" s="145"/>
      <c r="Y97" s="145"/>
      <c r="Z97" s="145"/>
      <c r="AA97" s="145"/>
      <c r="AB97" s="145"/>
      <c r="AC97" s="145"/>
    </row>
    <row r="98" ht="14.55" spans="1:29">
      <c r="A98" s="309"/>
      <c r="B98" s="314"/>
      <c r="C98" s="322"/>
      <c r="D98" s="311"/>
      <c r="E98" s="311"/>
      <c r="F98" s="311"/>
      <c r="G98" s="322"/>
      <c r="H98" s="323"/>
      <c r="I98" s="323"/>
      <c r="J98" s="323"/>
      <c r="K98" s="323"/>
      <c r="L98" s="323"/>
      <c r="M98" s="373"/>
      <c r="N98" s="361"/>
      <c r="O98" s="361"/>
      <c r="P98" s="1515"/>
      <c r="Q98" s="279"/>
      <c r="R98" s="145"/>
      <c r="S98" s="145"/>
      <c r="T98" s="145"/>
      <c r="U98" s="145"/>
      <c r="V98" s="145"/>
      <c r="W98" s="145"/>
      <c r="X98" s="145"/>
      <c r="Y98" s="145"/>
      <c r="Z98" s="145"/>
      <c r="AA98" s="145"/>
      <c r="AB98" s="145"/>
      <c r="AC98" s="145"/>
    </row>
    <row r="99" s="17" customFormat="1" ht="14.55" spans="1:29">
      <c r="A99" s="341"/>
      <c r="B99" s="312">
        <f>B35</f>
        <v>111</v>
      </c>
      <c r="C99" s="76"/>
      <c r="D99" s="76"/>
      <c r="E99" s="76"/>
      <c r="F99" s="76"/>
      <c r="G99" s="320"/>
      <c r="H99" s="321"/>
      <c r="I99" s="321"/>
      <c r="J99" s="321"/>
      <c r="K99" s="321"/>
      <c r="L99" s="369"/>
      <c r="M99" s="370"/>
      <c r="N99" s="371"/>
      <c r="O99" s="371"/>
      <c r="P99" s="1516"/>
      <c r="Q99" s="403"/>
      <c r="R99" s="404"/>
      <c r="S99" s="404"/>
      <c r="T99" s="404"/>
      <c r="U99" s="404"/>
      <c r="V99" s="404"/>
      <c r="W99" s="404"/>
      <c r="X99" s="404"/>
      <c r="Y99" s="404"/>
      <c r="Z99" s="404"/>
      <c r="AA99" s="404"/>
      <c r="AB99" s="404"/>
      <c r="AC99" s="404"/>
    </row>
    <row r="100" s="17" customFormat="1" ht="14.55" spans="1:29">
      <c r="A100" s="319"/>
      <c r="B100" s="310"/>
      <c r="C100" s="322"/>
      <c r="D100" s="311"/>
      <c r="E100" s="311"/>
      <c r="F100" s="311"/>
      <c r="G100" s="322"/>
      <c r="H100" s="323"/>
      <c r="I100" s="323"/>
      <c r="J100" s="323"/>
      <c r="K100" s="323"/>
      <c r="L100" s="323"/>
      <c r="M100" s="373"/>
      <c r="N100" s="371"/>
      <c r="O100" s="371"/>
      <c r="P100" s="1516"/>
      <c r="Q100" s="403"/>
      <c r="R100" s="404"/>
      <c r="S100" s="404"/>
      <c r="T100" s="404"/>
      <c r="U100" s="404"/>
      <c r="V100" s="404"/>
      <c r="W100" s="404"/>
      <c r="X100" s="404"/>
      <c r="Y100" s="404"/>
      <c r="Z100" s="404"/>
      <c r="AA100" s="404"/>
      <c r="AB100" s="404"/>
      <c r="AC100" s="404"/>
    </row>
    <row r="101" ht="14.55" spans="1:29">
      <c r="A101" s="344"/>
      <c r="B101" s="312">
        <f>B36</f>
        <v>111</v>
      </c>
      <c r="C101" s="320"/>
      <c r="D101" s="320"/>
      <c r="E101" s="320"/>
      <c r="F101" s="320"/>
      <c r="G101" s="320"/>
      <c r="H101" s="321"/>
      <c r="I101" s="321"/>
      <c r="J101" s="321"/>
      <c r="K101" s="321"/>
      <c r="L101" s="369"/>
      <c r="M101" s="370"/>
      <c r="N101" s="358"/>
      <c r="O101" s="358"/>
      <c r="P101" s="1515"/>
      <c r="Q101" s="279"/>
      <c r="R101" s="145"/>
      <c r="S101" s="145"/>
      <c r="T101" s="145"/>
      <c r="U101" s="145"/>
      <c r="V101" s="145"/>
      <c r="W101" s="145"/>
      <c r="X101" s="145"/>
      <c r="Y101" s="145"/>
      <c r="Z101" s="145"/>
      <c r="AA101" s="145"/>
      <c r="AB101" s="145"/>
      <c r="AC101" s="145"/>
    </row>
    <row r="102" ht="14.55" spans="1:29">
      <c r="A102" s="309"/>
      <c r="B102" s="314"/>
      <c r="C102" s="322"/>
      <c r="D102" s="322"/>
      <c r="E102" s="322"/>
      <c r="F102" s="322"/>
      <c r="G102" s="322"/>
      <c r="H102" s="323"/>
      <c r="I102" s="323"/>
      <c r="J102" s="323"/>
      <c r="K102" s="323"/>
      <c r="L102" s="323"/>
      <c r="M102" s="373"/>
      <c r="N102" s="361"/>
      <c r="O102" s="361"/>
      <c r="P102" s="1515"/>
      <c r="Q102" s="279"/>
      <c r="R102" s="145"/>
      <c r="S102" s="145"/>
      <c r="T102" s="145"/>
      <c r="U102" s="145"/>
      <c r="V102" s="145"/>
      <c r="W102" s="145"/>
      <c r="X102" s="145"/>
      <c r="Y102" s="145"/>
      <c r="Z102" s="145"/>
      <c r="AA102" s="145"/>
      <c r="AB102" s="145"/>
      <c r="AC102" s="145"/>
    </row>
    <row r="103" ht="14.55" spans="14:29">
      <c r="N103" s="145"/>
      <c r="O103" s="145"/>
      <c r="P103" s="1509"/>
      <c r="Q103" s="145"/>
      <c r="R103" s="145"/>
      <c r="S103" s="145"/>
      <c r="T103" s="145"/>
      <c r="U103" s="145"/>
      <c r="V103" s="145"/>
      <c r="W103" s="145"/>
      <c r="X103" s="145"/>
      <c r="Y103" s="145"/>
      <c r="Z103" s="145"/>
      <c r="AA103" s="145"/>
      <c r="AB103" s="145"/>
      <c r="AC103" s="14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C8 E8 G8 I8">
      <formula1>车位交易情况</formula1>
    </dataValidation>
    <dataValidation type="list" allowBlank="1" showInputMessage="1" showErrorMessage="1" sqref="C19 E19 G19 I19">
      <formula1>基础设施水平</formula1>
    </dataValidation>
    <dataValidation type="list" allowBlank="1" showInputMessage="1" showErrorMessage="1" sqref="D1">
      <formula1>项目类型</formula1>
    </dataValidation>
    <dataValidation type="list" allowBlank="1" showInputMessage="1" showErrorMessage="1" sqref="B1">
      <formula1>地类判定</formula1>
    </dataValidation>
    <dataValidation type="list" allowBlank="1" showInputMessage="1" showErrorMessage="1" sqref="E9 G9 I9">
      <formula1>车位用途</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E26 G26 I26">
      <formula1>车位配套类型</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F33" sqref="F33"/>
    </sheetView>
  </sheetViews>
  <sheetFormatPr defaultColWidth="9" defaultRowHeight="13.8"/>
  <cols>
    <col min="1" max="1" width="10.4444444444444" style="21" customWidth="1"/>
    <col min="2" max="2" width="15.7777777777778" style="21" customWidth="1"/>
    <col min="3" max="3" width="14.3333333333333" style="21" customWidth="1"/>
    <col min="4" max="4" width="12.2222222222222" style="21" customWidth="1"/>
    <col min="5" max="5" width="14.3333333333333" style="21" customWidth="1"/>
    <col min="6" max="6" width="12.2222222222222" style="21" customWidth="1"/>
    <col min="7" max="7" width="14.4444444444444" style="21" customWidth="1"/>
    <col min="8" max="8" width="12.2222222222222" style="21" customWidth="1"/>
    <col min="9" max="9" width="14.4444444444444" style="21" customWidth="1"/>
    <col min="10" max="10" width="12.2222222222222" style="21" customWidth="1"/>
    <col min="11" max="11" width="12.2222222222222" style="22" customWidth="1"/>
    <col min="12" max="12" width="12.2222222222222" style="23" customWidth="1"/>
    <col min="13" max="15" width="12.2222222222222" style="21" customWidth="1"/>
    <col min="16" max="16" width="4.77777777777778" style="21" customWidth="1"/>
    <col min="17" max="17" width="19.4444444444444" style="21" customWidth="1"/>
    <col min="18" max="22" width="6.11111111111111" style="21" customWidth="1"/>
    <col min="23" max="23" width="5.77777777777778" style="21" customWidth="1"/>
    <col min="24" max="24" width="4.22222222222222" style="21" customWidth="1"/>
    <col min="25" max="25" width="3.44444444444444" style="21" customWidth="1"/>
    <col min="26" max="26" width="19.7777777777778" style="21" customWidth="1"/>
    <col min="27" max="28" width="9.33333333333333" style="21" customWidth="1"/>
    <col min="29" max="16384" width="9" style="21"/>
  </cols>
  <sheetData>
    <row r="1" s="1391" customFormat="1" ht="28.5" customHeight="1" spans="1:29">
      <c r="A1" s="1392" t="s">
        <v>1543</v>
      </c>
      <c r="B1" s="1393"/>
      <c r="C1" s="1394" t="s">
        <v>1421</v>
      </c>
      <c r="D1" s="1395"/>
      <c r="E1" s="1396"/>
      <c r="F1" s="1397"/>
      <c r="G1" s="1398" t="s">
        <v>1423</v>
      </c>
      <c r="H1" s="1396"/>
      <c r="I1" s="1396"/>
      <c r="J1" s="1396"/>
      <c r="K1" s="1449"/>
      <c r="L1" s="1450"/>
      <c r="M1" s="1451"/>
      <c r="N1" s="1451"/>
      <c r="O1" s="1451"/>
      <c r="P1" s="1394"/>
      <c r="Q1" s="1394"/>
      <c r="R1" s="1394"/>
      <c r="S1" s="1394"/>
      <c r="T1" s="1394"/>
      <c r="U1" s="1394"/>
      <c r="V1" s="1394"/>
      <c r="W1" s="1394"/>
      <c r="X1" s="1394"/>
      <c r="Y1" s="1394"/>
      <c r="Z1" s="1394"/>
      <c r="AA1" s="1394"/>
      <c r="AB1" s="1394"/>
      <c r="AC1" s="1458"/>
    </row>
    <row r="2" s="14" customFormat="1" ht="28.5" customHeight="1" spans="1:29">
      <c r="A2" s="1399" t="s">
        <v>937</v>
      </c>
      <c r="B2" s="1400" t="e">
        <f ca="1">IF(C2="——",ROUND(C37*D3/10000,0),ROUND(C37*D3/10000,0)-D2)</f>
        <v>#DIV/0!</v>
      </c>
      <c r="C2" s="1401"/>
      <c r="D2" s="1352" t="e">
        <f ca="1">SUMIF(INDIRECT("'"&amp;F2&amp;"'"&amp;"!A:A"),"承租人权益价值",INDIRECT("'"&amp;F2&amp;"'"&amp;"!c:c"))</f>
        <v>#REF!</v>
      </c>
      <c r="E2" s="1402" t="s">
        <v>938</v>
      </c>
      <c r="F2" s="1403"/>
      <c r="G2" s="31"/>
      <c r="H2" s="31"/>
      <c r="I2" s="31"/>
      <c r="J2" s="31"/>
      <c r="K2" s="200"/>
      <c r="L2" s="201"/>
      <c r="M2" s="202"/>
      <c r="N2" s="202"/>
      <c r="O2" s="202"/>
      <c r="P2" s="199"/>
      <c r="Q2" s="199"/>
      <c r="R2" s="199"/>
      <c r="S2" s="199"/>
      <c r="T2" s="199"/>
      <c r="U2" s="199"/>
      <c r="V2" s="199"/>
      <c r="W2" s="199"/>
      <c r="X2" s="199"/>
      <c r="Y2" s="199"/>
      <c r="Z2" s="199"/>
      <c r="AA2" s="199"/>
      <c r="AB2" s="199"/>
      <c r="AC2" s="280"/>
    </row>
    <row r="3" s="14" customFormat="1" ht="28.5" customHeight="1" spans="1:29">
      <c r="A3" s="33" t="s">
        <v>939</v>
      </c>
      <c r="B3" s="34" t="e">
        <f ca="1">IF(C2="——",C37,ROUND(B2*10000/D3,0))</f>
        <v>#DIV/0!</v>
      </c>
      <c r="C3" s="1404" t="s">
        <v>1424</v>
      </c>
      <c r="D3" s="1405">
        <f>SUMIF('数据-汇总表'!$C19:$C33,D1,'数据-汇总表'!$E19:$E33)</f>
        <v>0</v>
      </c>
      <c r="E3" s="31"/>
      <c r="F3" s="32"/>
      <c r="G3" s="31"/>
      <c r="H3" s="31"/>
      <c r="I3" s="31"/>
      <c r="J3" s="31"/>
      <c r="K3" s="200"/>
      <c r="L3" s="201"/>
      <c r="M3" s="202"/>
      <c r="N3" s="202"/>
      <c r="O3" s="202"/>
      <c r="P3" s="199"/>
      <c r="Q3" s="199"/>
      <c r="R3" s="199"/>
      <c r="S3" s="199"/>
      <c r="T3" s="199"/>
      <c r="U3" s="199"/>
      <c r="V3" s="199"/>
      <c r="W3" s="199"/>
      <c r="X3" s="199"/>
      <c r="Y3" s="199"/>
      <c r="Z3" s="199"/>
      <c r="AA3" s="199"/>
      <c r="AB3" s="281"/>
      <c r="AC3" s="282"/>
    </row>
    <row r="4" ht="14.4" spans="1:29">
      <c r="A4" s="36" t="s">
        <v>1425</v>
      </c>
      <c r="B4" s="37"/>
      <c r="C4" s="38" t="s">
        <v>1426</v>
      </c>
      <c r="D4" s="39"/>
      <c r="E4" s="40" t="s">
        <v>1427</v>
      </c>
      <c r="F4" s="41"/>
      <c r="G4" s="38" t="s">
        <v>1428</v>
      </c>
      <c r="H4" s="39"/>
      <c r="I4" s="38" t="s">
        <v>1429</v>
      </c>
      <c r="J4" s="39"/>
      <c r="K4" s="203" t="s">
        <v>1430</v>
      </c>
      <c r="L4" s="204"/>
      <c r="M4" s="205"/>
      <c r="N4" s="205"/>
      <c r="O4" s="205"/>
      <c r="P4" s="206" t="s">
        <v>1431</v>
      </c>
      <c r="Q4" s="255"/>
      <c r="R4" s="256" t="s">
        <v>1427</v>
      </c>
      <c r="S4" s="257"/>
      <c r="T4" s="256" t="s">
        <v>1428</v>
      </c>
      <c r="U4" s="257"/>
      <c r="V4" s="244" t="s">
        <v>1429</v>
      </c>
      <c r="W4" s="244"/>
      <c r="X4" s="258"/>
      <c r="Y4" s="256" t="s">
        <v>1431</v>
      </c>
      <c r="Z4" s="257"/>
      <c r="AA4" s="283" t="s">
        <v>1427</v>
      </c>
      <c r="AB4" s="258" t="s">
        <v>1428</v>
      </c>
      <c r="AC4" s="283" t="s">
        <v>1429</v>
      </c>
    </row>
    <row r="5" spans="1:29">
      <c r="A5" s="42"/>
      <c r="B5" s="43"/>
      <c r="C5" s="44" t="s">
        <v>1432</v>
      </c>
      <c r="D5" s="45"/>
      <c r="E5" s="46" t="s">
        <v>1433</v>
      </c>
      <c r="F5" s="47"/>
      <c r="G5" s="44" t="s">
        <v>1434</v>
      </c>
      <c r="H5" s="45"/>
      <c r="I5" s="44" t="s">
        <v>1435</v>
      </c>
      <c r="J5" s="45"/>
      <c r="K5" s="203"/>
      <c r="L5" s="204"/>
      <c r="M5" s="205"/>
      <c r="N5" s="205"/>
      <c r="O5" s="205"/>
      <c r="P5" s="207"/>
      <c r="Q5" s="259"/>
      <c r="R5" s="260"/>
      <c r="S5" s="261"/>
      <c r="T5" s="260"/>
      <c r="U5" s="261"/>
      <c r="V5" s="244"/>
      <c r="W5" s="244"/>
      <c r="X5" s="258"/>
      <c r="Y5" s="260"/>
      <c r="Z5" s="261"/>
      <c r="AA5" s="258"/>
      <c r="AB5" s="258"/>
      <c r="AC5" s="258"/>
    </row>
    <row r="6" ht="15.15" spans="1:29">
      <c r="A6" s="48"/>
      <c r="B6" s="49"/>
      <c r="C6" s="1353" t="s">
        <v>1436</v>
      </c>
      <c r="D6" s="1354"/>
      <c r="E6" s="1355" t="s">
        <v>1436</v>
      </c>
      <c r="F6" s="1356"/>
      <c r="G6" s="1353" t="s">
        <v>1436</v>
      </c>
      <c r="H6" s="1354"/>
      <c r="I6" s="1353" t="s">
        <v>1436</v>
      </c>
      <c r="J6" s="1354"/>
      <c r="K6" s="203" t="s">
        <v>1437</v>
      </c>
      <c r="L6" s="204"/>
      <c r="M6" s="205"/>
      <c r="N6" s="205"/>
      <c r="O6" s="205"/>
      <c r="P6" s="208"/>
      <c r="Q6" s="262"/>
      <c r="R6" s="260"/>
      <c r="S6" s="261"/>
      <c r="T6" s="263"/>
      <c r="U6" s="264"/>
      <c r="V6" s="244"/>
      <c r="W6" s="244"/>
      <c r="X6" s="258"/>
      <c r="Y6" s="263"/>
      <c r="Z6" s="264"/>
      <c r="AA6" s="284"/>
      <c r="AB6" s="284"/>
      <c r="AC6" s="284"/>
    </row>
    <row r="7" s="15" customFormat="1" ht="15.15" spans="1:29">
      <c r="A7" s="54" t="s">
        <v>1438</v>
      </c>
      <c r="B7" s="55"/>
      <c r="C7" s="56">
        <f>'数据-取费表'!B2</f>
        <v>44802</v>
      </c>
      <c r="D7" s="57">
        <v>100</v>
      </c>
      <c r="E7" s="58"/>
      <c r="F7" s="59">
        <f>SUMIF(46:46,YEAR(E7)&amp;"-"&amp;MONTH(E7),47:47)</f>
        <v>0</v>
      </c>
      <c r="G7" s="60"/>
      <c r="H7" s="57">
        <f>SUMIF(46:46,YEAR(G7)&amp;"-"&amp;MONTH(G7),47:47)</f>
        <v>0</v>
      </c>
      <c r="I7" s="58"/>
      <c r="J7" s="57">
        <f>SUMIF(46:46,YEAR(I7)&amp;"-"&amp;MONTH(I7),47:47)</f>
        <v>0</v>
      </c>
      <c r="K7" s="209"/>
      <c r="L7" s="210"/>
      <c r="M7" s="211"/>
      <c r="N7" s="211"/>
      <c r="O7" s="211"/>
      <c r="P7" s="212" t="s">
        <v>1439</v>
      </c>
      <c r="Q7" s="265"/>
      <c r="R7" s="266" t="s">
        <v>1440</v>
      </c>
      <c r="S7" s="267">
        <f t="shared" ref="S7:S14" si="0">F7</f>
        <v>0</v>
      </c>
      <c r="T7" s="266" t="s">
        <v>1440</v>
      </c>
      <c r="U7" s="267">
        <f t="shared" ref="U7:U14" si="1">H7</f>
        <v>0</v>
      </c>
      <c r="V7" s="266" t="s">
        <v>1440</v>
      </c>
      <c r="W7" s="267">
        <f t="shared" ref="W7:W14" si="2">J7</f>
        <v>0</v>
      </c>
      <c r="X7" s="268"/>
      <c r="Y7" s="212" t="s">
        <v>1439</v>
      </c>
      <c r="Z7" s="269"/>
      <c r="AA7" s="285" t="e">
        <f>D7/F7</f>
        <v>#DIV/0!</v>
      </c>
      <c r="AB7" s="285" t="e">
        <f>D7/H7</f>
        <v>#DIV/0!</v>
      </c>
      <c r="AC7" s="285" t="e">
        <f>D7/J7</f>
        <v>#DIV/0!</v>
      </c>
    </row>
    <row r="8" s="15" customFormat="1" ht="15.15" spans="1:29">
      <c r="A8" s="54" t="s">
        <v>1441</v>
      </c>
      <c r="B8" s="55"/>
      <c r="C8" s="61" t="s">
        <v>1442</v>
      </c>
      <c r="D8" s="57">
        <v>100</v>
      </c>
      <c r="E8" s="61"/>
      <c r="F8" s="59">
        <f>SUMIF(49:49,E8,50:50)-SUMIF(49:49,C8,50:50)+100</f>
        <v>0</v>
      </c>
      <c r="G8" s="61"/>
      <c r="H8" s="57">
        <f>SUMIF(49:49,G8,50:50)-SUMIF(49:49,C8,50:50)+100</f>
        <v>0</v>
      </c>
      <c r="I8" s="61"/>
      <c r="J8" s="57">
        <f>SUMIF(49:49,I8,50:50)-SUMIF(49:49,C8,50:50)+100</f>
        <v>0</v>
      </c>
      <c r="K8" s="209"/>
      <c r="L8" s="210"/>
      <c r="M8" s="211"/>
      <c r="N8" s="211"/>
      <c r="O8" s="211"/>
      <c r="P8" s="212" t="s">
        <v>1443</v>
      </c>
      <c r="Q8" s="269"/>
      <c r="R8" s="266" t="s">
        <v>1440</v>
      </c>
      <c r="S8" s="267">
        <f t="shared" si="0"/>
        <v>0</v>
      </c>
      <c r="T8" s="266" t="s">
        <v>1440</v>
      </c>
      <c r="U8" s="267">
        <f t="shared" si="1"/>
        <v>0</v>
      </c>
      <c r="V8" s="266" t="s">
        <v>1440</v>
      </c>
      <c r="W8" s="267">
        <f t="shared" si="2"/>
        <v>0</v>
      </c>
      <c r="X8" s="268"/>
      <c r="Y8" s="212" t="s">
        <v>1443</v>
      </c>
      <c r="Z8" s="269"/>
      <c r="AA8" s="285" t="e">
        <f t="shared" ref="AA8:AA34" si="3">D8/F8</f>
        <v>#DIV/0!</v>
      </c>
      <c r="AB8" s="285" t="e">
        <f t="shared" ref="AB8:AB34" si="4">D8/H8</f>
        <v>#DIV/0!</v>
      </c>
      <c r="AC8" s="285" t="e">
        <f t="shared" ref="AC8:AC34" si="5">D8/J8</f>
        <v>#DIV/0!</v>
      </c>
    </row>
    <row r="9" s="15" customFormat="1" ht="14.4" spans="1:29">
      <c r="A9" s="62" t="s">
        <v>1444</v>
      </c>
      <c r="B9" s="63" t="s">
        <v>1445</v>
      </c>
      <c r="C9" s="1406"/>
      <c r="D9" s="65">
        <v>100</v>
      </c>
      <c r="E9" s="1407"/>
      <c r="F9" s="1408">
        <f>SUMIF(51:51,E9,52:52)-SUMIF(51:51,C9,52:52)+100</f>
        <v>100</v>
      </c>
      <c r="G9" s="1407"/>
      <c r="H9" s="65">
        <f>SUMIF(51:51,G9,52:52)-SUMIF(51:51,C9,52:52)+100</f>
        <v>100</v>
      </c>
      <c r="I9" s="1407"/>
      <c r="J9" s="65">
        <f>SUMIF(51:51,I9,52:52)-SUMIF(51:51,C9,52:52)+100</f>
        <v>100</v>
      </c>
      <c r="K9" s="209"/>
      <c r="L9" s="210"/>
      <c r="M9" s="211"/>
      <c r="N9" s="211"/>
      <c r="O9" s="213"/>
      <c r="P9" s="169" t="s">
        <v>1446</v>
      </c>
      <c r="Q9" s="270" t="str">
        <f t="shared" ref="Q9:Q14" si="6">B9</f>
        <v>用途</v>
      </c>
      <c r="R9" s="266" t="s">
        <v>1440</v>
      </c>
      <c r="S9" s="267">
        <f t="shared" si="0"/>
        <v>100</v>
      </c>
      <c r="T9" s="266" t="s">
        <v>1440</v>
      </c>
      <c r="U9" s="267">
        <f t="shared" si="1"/>
        <v>100</v>
      </c>
      <c r="V9" s="266" t="s">
        <v>1440</v>
      </c>
      <c r="W9" s="267">
        <f t="shared" si="2"/>
        <v>100</v>
      </c>
      <c r="X9" s="268"/>
      <c r="Y9" s="270" t="s">
        <v>1447</v>
      </c>
      <c r="Z9" s="286" t="str">
        <f t="shared" ref="Z9:Z14" si="7">Q9</f>
        <v>用途</v>
      </c>
      <c r="AA9" s="285">
        <f t="shared" si="3"/>
        <v>1</v>
      </c>
      <c r="AB9" s="285">
        <f t="shared" si="4"/>
        <v>1</v>
      </c>
      <c r="AC9" s="285">
        <f t="shared" si="5"/>
        <v>1</v>
      </c>
    </row>
    <row r="10" s="16" customFormat="1" ht="28.8" spans="1:29">
      <c r="A10" s="66"/>
      <c r="B10" s="67" t="s">
        <v>1448</v>
      </c>
      <c r="C10" s="1409"/>
      <c r="D10" s="69">
        <v>100</v>
      </c>
      <c r="E10" s="1409"/>
      <c r="F10" s="1410">
        <f>SUMIF(53:53,E10,54:54)-SUMIF(53:53,C10,54:54)+100</f>
        <v>100</v>
      </c>
      <c r="G10" s="1409"/>
      <c r="H10" s="69">
        <f>SUMIF(53:53,G10,54:54)-SUMIF(53:53,C10,54:54)+100</f>
        <v>100</v>
      </c>
      <c r="I10" s="1409"/>
      <c r="J10" s="69">
        <f>SUMIF(53:53,I10,54:54)-SUMIF(53:53,C10,54:54)+100</f>
        <v>100</v>
      </c>
      <c r="K10" s="228"/>
      <c r="L10" s="215"/>
      <c r="M10" s="216"/>
      <c r="N10" s="216"/>
      <c r="O10" s="217"/>
      <c r="P10" s="169"/>
      <c r="Q10" s="270" t="str">
        <f t="shared" si="6"/>
        <v>土地使用年限（年）</v>
      </c>
      <c r="R10" s="266" t="s">
        <v>1440</v>
      </c>
      <c r="S10" s="267">
        <f t="shared" si="0"/>
        <v>100</v>
      </c>
      <c r="T10" s="266" t="s">
        <v>1440</v>
      </c>
      <c r="U10" s="267">
        <f t="shared" si="1"/>
        <v>100</v>
      </c>
      <c r="V10" s="266" t="s">
        <v>1440</v>
      </c>
      <c r="W10" s="267">
        <f t="shared" si="2"/>
        <v>100</v>
      </c>
      <c r="X10" s="268"/>
      <c r="Y10" s="270"/>
      <c r="Z10" s="286" t="str">
        <f t="shared" si="7"/>
        <v>土地使用年限（年）</v>
      </c>
      <c r="AA10" s="285">
        <f t="shared" si="3"/>
        <v>1</v>
      </c>
      <c r="AB10" s="285">
        <f t="shared" si="4"/>
        <v>1</v>
      </c>
      <c r="AC10" s="285">
        <f t="shared" si="5"/>
        <v>1</v>
      </c>
    </row>
    <row r="11" ht="15" spans="1:29">
      <c r="A11" s="70"/>
      <c r="B11" s="74">
        <v>111</v>
      </c>
      <c r="C11" s="68"/>
      <c r="D11" s="69">
        <v>100</v>
      </c>
      <c r="E11" s="1411"/>
      <c r="F11" s="1410">
        <f>SUMIF(55:55,E11,56:56)-SUMIF(55:55,C11,56:56)+100</f>
        <v>100</v>
      </c>
      <c r="G11" s="1411"/>
      <c r="H11" s="69">
        <f>SUMIF(55:55,G11,56:56)-SUMIF(55:55,C11,56:56)+100</f>
        <v>100</v>
      </c>
      <c r="I11" s="1411"/>
      <c r="J11" s="69">
        <f>SUMIF(55:55,I11,56:56)-SUMIF(55:55,C11,56:56)+100</f>
        <v>100</v>
      </c>
      <c r="K11" s="227"/>
      <c r="L11" s="219"/>
      <c r="M11" s="205"/>
      <c r="N11" s="205"/>
      <c r="O11" s="220"/>
      <c r="P11" s="169"/>
      <c r="Q11" s="270">
        <f t="shared" si="6"/>
        <v>111</v>
      </c>
      <c r="R11" s="266" t="s">
        <v>1440</v>
      </c>
      <c r="S11" s="267">
        <f t="shared" si="0"/>
        <v>100</v>
      </c>
      <c r="T11" s="266" t="s">
        <v>1440</v>
      </c>
      <c r="U11" s="267">
        <f t="shared" si="1"/>
        <v>100</v>
      </c>
      <c r="V11" s="266" t="s">
        <v>1440</v>
      </c>
      <c r="W11" s="267">
        <f t="shared" si="2"/>
        <v>100</v>
      </c>
      <c r="X11" s="268"/>
      <c r="Y11" s="270"/>
      <c r="Z11" s="286">
        <f t="shared" si="7"/>
        <v>111</v>
      </c>
      <c r="AA11" s="285">
        <f t="shared" si="3"/>
        <v>1</v>
      </c>
      <c r="AB11" s="285">
        <f t="shared" si="4"/>
        <v>1</v>
      </c>
      <c r="AC11" s="285">
        <f t="shared" si="5"/>
        <v>1</v>
      </c>
    </row>
    <row r="12" s="15" customFormat="1" ht="15" spans="1:29">
      <c r="A12" s="73"/>
      <c r="B12" s="74">
        <v>111</v>
      </c>
      <c r="C12" s="68"/>
      <c r="D12" s="75">
        <v>100</v>
      </c>
      <c r="E12" s="1411"/>
      <c r="F12" s="1410">
        <f>SUMIF(57:57,E12,58:58)-SUMIF(57:57,C12,58:58)+100</f>
        <v>100</v>
      </c>
      <c r="G12" s="1411"/>
      <c r="H12" s="69">
        <f>SUMIF(57:57,G12,58:58)-SUMIF(57:57,C12,58:58)+100</f>
        <v>100</v>
      </c>
      <c r="I12" s="1411"/>
      <c r="J12" s="69">
        <f>SUMIF(57:57,I12,58:58)-SUMIF(57:57,C12,58:58)+100</f>
        <v>100</v>
      </c>
      <c r="K12" s="227"/>
      <c r="L12" s="210"/>
      <c r="M12" s="211"/>
      <c r="N12" s="211"/>
      <c r="O12" s="213"/>
      <c r="P12" s="169"/>
      <c r="Q12" s="270">
        <f t="shared" si="6"/>
        <v>111</v>
      </c>
      <c r="R12" s="266" t="s">
        <v>1440</v>
      </c>
      <c r="S12" s="267">
        <f t="shared" si="0"/>
        <v>100</v>
      </c>
      <c r="T12" s="266" t="s">
        <v>1440</v>
      </c>
      <c r="U12" s="267">
        <f t="shared" si="1"/>
        <v>100</v>
      </c>
      <c r="V12" s="266" t="s">
        <v>1440</v>
      </c>
      <c r="W12" s="267">
        <f t="shared" si="2"/>
        <v>100</v>
      </c>
      <c r="X12" s="268"/>
      <c r="Y12" s="270"/>
      <c r="Z12" s="286">
        <f t="shared" si="7"/>
        <v>111</v>
      </c>
      <c r="AA12" s="285">
        <f t="shared" si="3"/>
        <v>1</v>
      </c>
      <c r="AB12" s="285">
        <f t="shared" si="4"/>
        <v>1</v>
      </c>
      <c r="AC12" s="285">
        <f t="shared" si="5"/>
        <v>1</v>
      </c>
    </row>
    <row r="13" ht="15.75" spans="1:29">
      <c r="A13" s="70"/>
      <c r="B13" s="74">
        <v>111</v>
      </c>
      <c r="C13" s="78"/>
      <c r="D13" s="79">
        <v>100</v>
      </c>
      <c r="E13" s="1411"/>
      <c r="F13" s="1410">
        <f>SUMIF(59:59,E13,60:60)-SUMIF(59:59,C13,60:60)+100</f>
        <v>100</v>
      </c>
      <c r="G13" s="1412"/>
      <c r="H13" s="83">
        <f>SUMIF(59:59,G13,60:60)-SUMIF(59:59,C13,60:60)+100</f>
        <v>100</v>
      </c>
      <c r="I13" s="1411"/>
      <c r="J13" s="79">
        <f>SUMIF(59:59,I13,60:60)-SUMIF(59:59,C13,60:60)+100</f>
        <v>100</v>
      </c>
      <c r="K13" s="227"/>
      <c r="L13" s="221"/>
      <c r="M13" s="205"/>
      <c r="N13" s="205"/>
      <c r="O13" s="220"/>
      <c r="P13" s="169"/>
      <c r="Q13" s="270">
        <f t="shared" si="6"/>
        <v>111</v>
      </c>
      <c r="R13" s="266" t="s">
        <v>1440</v>
      </c>
      <c r="S13" s="267">
        <f t="shared" si="0"/>
        <v>100</v>
      </c>
      <c r="T13" s="266" t="s">
        <v>1440</v>
      </c>
      <c r="U13" s="267">
        <f t="shared" si="1"/>
        <v>100</v>
      </c>
      <c r="V13" s="266" t="s">
        <v>1440</v>
      </c>
      <c r="W13" s="267">
        <f t="shared" si="2"/>
        <v>100</v>
      </c>
      <c r="X13" s="268"/>
      <c r="Y13" s="270"/>
      <c r="Z13" s="286">
        <f t="shared" si="7"/>
        <v>111</v>
      </c>
      <c r="AA13" s="285">
        <f t="shared" si="3"/>
        <v>1</v>
      </c>
      <c r="AB13" s="285">
        <f t="shared" si="4"/>
        <v>1</v>
      </c>
      <c r="AC13" s="285">
        <f t="shared" si="5"/>
        <v>1</v>
      </c>
    </row>
    <row r="14" ht="100.8" spans="1:29">
      <c r="A14" s="84" t="s">
        <v>1450</v>
      </c>
      <c r="B14" s="1359" t="s">
        <v>1453</v>
      </c>
      <c r="C14" s="86" t="str">
        <f>IF(B1="工业",估价对象房地状况!G4,估价对象房地状况!C6)</f>
        <v>估价对象周边道路状况、公共交通通达情况、停车便捷程度，综合评价交通便捷度较好</v>
      </c>
      <c r="D14" s="87">
        <v>100</v>
      </c>
      <c r="E14" s="88"/>
      <c r="F14" s="1413">
        <f>SUMIF(61:61,E15,62:62)-SUMIF(61:61,C15,62:62)+100</f>
        <v>100</v>
      </c>
      <c r="G14" s="222"/>
      <c r="H14" s="87">
        <f>SUMIF(61:61,G15,62:62)-SUMIF(61:61,C15,62:62)+100</f>
        <v>100</v>
      </c>
      <c r="I14" s="88"/>
      <c r="J14" s="87">
        <f>SUMIF(61:61,I15,62:62)-SUMIF(61:61,C15,62:62)+100</f>
        <v>100</v>
      </c>
      <c r="K14" s="1452"/>
      <c r="L14" s="221"/>
      <c r="M14" s="205"/>
      <c r="N14" s="205"/>
      <c r="O14" s="220"/>
      <c r="P14" s="223" t="s">
        <v>1452</v>
      </c>
      <c r="Q14" s="169" t="str">
        <f t="shared" si="6"/>
        <v>交通便捷度</v>
      </c>
      <c r="R14" s="271" t="s">
        <v>1440</v>
      </c>
      <c r="S14" s="272">
        <f t="shared" si="0"/>
        <v>100</v>
      </c>
      <c r="T14" s="271" t="s">
        <v>1440</v>
      </c>
      <c r="U14" s="272">
        <f t="shared" si="1"/>
        <v>100</v>
      </c>
      <c r="V14" s="271" t="s">
        <v>1440</v>
      </c>
      <c r="W14" s="272">
        <f t="shared" si="2"/>
        <v>100</v>
      </c>
      <c r="X14" s="258"/>
      <c r="Y14" s="223" t="s">
        <v>1452</v>
      </c>
      <c r="Z14" s="244" t="str">
        <f t="shared" si="7"/>
        <v>交通便捷度</v>
      </c>
      <c r="AA14" s="287">
        <f t="shared" si="3"/>
        <v>1</v>
      </c>
      <c r="AB14" s="287">
        <f t="shared" si="4"/>
        <v>1</v>
      </c>
      <c r="AC14" s="287">
        <f t="shared" si="5"/>
        <v>1</v>
      </c>
    </row>
    <row r="15" ht="15" spans="1:29">
      <c r="A15" s="70"/>
      <c r="B15" s="1361"/>
      <c r="C15" s="90"/>
      <c r="D15" s="91"/>
      <c r="E15" s="90"/>
      <c r="F15" s="1414"/>
      <c r="G15" s="90"/>
      <c r="H15" s="93"/>
      <c r="I15" s="90"/>
      <c r="J15" s="91"/>
      <c r="K15" s="1453"/>
      <c r="L15" s="221"/>
      <c r="M15" s="205"/>
      <c r="N15" s="205"/>
      <c r="O15" s="220"/>
      <c r="P15" s="224"/>
      <c r="Q15" s="169"/>
      <c r="R15" s="271"/>
      <c r="S15" s="272"/>
      <c r="T15" s="271"/>
      <c r="U15" s="272"/>
      <c r="V15" s="271"/>
      <c r="W15" s="272"/>
      <c r="X15" s="258"/>
      <c r="Y15" s="224"/>
      <c r="Z15" s="244"/>
      <c r="AA15" s="287">
        <v>1</v>
      </c>
      <c r="AB15" s="287">
        <v>1</v>
      </c>
      <c r="AC15" s="287">
        <v>1</v>
      </c>
    </row>
    <row r="16" ht="43.2" spans="1:29">
      <c r="A16" s="70"/>
      <c r="B16" s="1362" t="s">
        <v>1454</v>
      </c>
      <c r="C16" s="95" t="str">
        <f>IF(B1="工业",估价对象房地状况!G5,估价对象房地状况!C7)</f>
        <v>估价对象所在区域公共配套设施齐备情况</v>
      </c>
      <c r="D16" s="97">
        <v>100</v>
      </c>
      <c r="E16" s="1365"/>
      <c r="F16" s="1415">
        <f>SUMIF(63:63,E17,64:64)-SUMIF(63:63,C17,64:64)+100</f>
        <v>100</v>
      </c>
      <c r="G16" s="1374"/>
      <c r="H16" s="97">
        <f>SUMIF(63:63,G17,64:64)-SUMIF(63:63,C17,64:64)+100</f>
        <v>100</v>
      </c>
      <c r="I16" s="1365"/>
      <c r="J16" s="97">
        <f>SUMIF(63:63,I17,64:64)-SUMIF(63:63,C17,64:64)+100</f>
        <v>100</v>
      </c>
      <c r="K16" s="1452"/>
      <c r="L16" s="221"/>
      <c r="M16" s="205"/>
      <c r="N16" s="205"/>
      <c r="O16" s="220"/>
      <c r="P16" s="224"/>
      <c r="Q16" s="169" t="str">
        <f>B16</f>
        <v>公共配套设施</v>
      </c>
      <c r="R16" s="271" t="s">
        <v>1440</v>
      </c>
      <c r="S16" s="272">
        <f>F16</f>
        <v>100</v>
      </c>
      <c r="T16" s="271" t="s">
        <v>1440</v>
      </c>
      <c r="U16" s="272">
        <f>H16</f>
        <v>100</v>
      </c>
      <c r="V16" s="271" t="s">
        <v>1440</v>
      </c>
      <c r="W16" s="272">
        <f>J16</f>
        <v>100</v>
      </c>
      <c r="X16" s="258"/>
      <c r="Y16" s="224"/>
      <c r="Z16" s="244" t="str">
        <f>Q16</f>
        <v>公共配套设施</v>
      </c>
      <c r="AA16" s="287">
        <f t="shared" si="3"/>
        <v>1</v>
      </c>
      <c r="AB16" s="287">
        <f t="shared" si="4"/>
        <v>1</v>
      </c>
      <c r="AC16" s="287">
        <f t="shared" si="5"/>
        <v>1</v>
      </c>
    </row>
    <row r="17" ht="15" spans="1:29">
      <c r="A17" s="70"/>
      <c r="B17" s="118"/>
      <c r="C17" s="1363"/>
      <c r="D17" s="91"/>
      <c r="E17" s="90"/>
      <c r="F17" s="1414"/>
      <c r="G17" s="90"/>
      <c r="H17" s="91"/>
      <c r="I17" s="90"/>
      <c r="J17" s="91"/>
      <c r="K17" s="1453"/>
      <c r="L17" s="221"/>
      <c r="M17" s="205"/>
      <c r="N17" s="205"/>
      <c r="O17" s="220"/>
      <c r="P17" s="224"/>
      <c r="Q17" s="169"/>
      <c r="R17" s="271"/>
      <c r="S17" s="272"/>
      <c r="T17" s="271"/>
      <c r="U17" s="272"/>
      <c r="V17" s="271"/>
      <c r="W17" s="272"/>
      <c r="X17" s="258"/>
      <c r="Y17" s="224"/>
      <c r="Z17" s="244"/>
      <c r="AA17" s="287">
        <v>1</v>
      </c>
      <c r="AB17" s="287">
        <v>1</v>
      </c>
      <c r="AC17" s="287">
        <v>1</v>
      </c>
    </row>
    <row r="18" ht="43.2" spans="1:29">
      <c r="A18" s="70"/>
      <c r="B18" s="1366" t="s">
        <v>1455</v>
      </c>
      <c r="C18" s="95" t="str">
        <f>IF(B1="工业",估价对象房地状况!G6,估价对象房地状况!C8)</f>
        <v>估价对象所在区域基础设施水平</v>
      </c>
      <c r="D18" s="97">
        <v>100</v>
      </c>
      <c r="E18" s="96"/>
      <c r="F18" s="1415">
        <f>SUMIF(65:65,E19,66:66)-SUMIF(65:65,C19,66:66)+100</f>
        <v>100</v>
      </c>
      <c r="G18" s="225"/>
      <c r="H18" s="97">
        <f>SUMIF(65:65,G19,66:66)-SUMIF(65:65,C19,66:66)+100</f>
        <v>100</v>
      </c>
      <c r="I18" s="1365"/>
      <c r="J18" s="97">
        <f>SUMIF(65:65,I19,66:66)-SUMIF(65:65,C19,66:66)+100</f>
        <v>100</v>
      </c>
      <c r="K18" s="1452"/>
      <c r="L18" s="221"/>
      <c r="M18" s="205"/>
      <c r="N18" s="205"/>
      <c r="O18" s="220"/>
      <c r="P18" s="224"/>
      <c r="Q18" s="169" t="str">
        <f>B18</f>
        <v>基础设施水平</v>
      </c>
      <c r="R18" s="271" t="s">
        <v>1440</v>
      </c>
      <c r="S18" s="272">
        <f>F18</f>
        <v>100</v>
      </c>
      <c r="T18" s="271" t="s">
        <v>1440</v>
      </c>
      <c r="U18" s="272">
        <f>H18</f>
        <v>100</v>
      </c>
      <c r="V18" s="271" t="s">
        <v>1440</v>
      </c>
      <c r="W18" s="272">
        <f>J18</f>
        <v>100</v>
      </c>
      <c r="X18" s="258"/>
      <c r="Y18" s="224"/>
      <c r="Z18" s="244" t="str">
        <f>Q18</f>
        <v>基础设施水平</v>
      </c>
      <c r="AA18" s="287">
        <f t="shared" ref="AA18" si="8">D18/F18</f>
        <v>1</v>
      </c>
      <c r="AB18" s="287">
        <f t="shared" ref="AB18" si="9">D18/H18</f>
        <v>1</v>
      </c>
      <c r="AC18" s="287">
        <f t="shared" ref="AC18" si="10">D18/J18</f>
        <v>1</v>
      </c>
    </row>
    <row r="19" ht="15" spans="1:29">
      <c r="A19" s="70"/>
      <c r="B19" s="1366"/>
      <c r="C19" s="1363"/>
      <c r="D19" s="93"/>
      <c r="E19" s="1363"/>
      <c r="F19" s="1416"/>
      <c r="G19" s="1363"/>
      <c r="H19" s="91"/>
      <c r="I19" s="90"/>
      <c r="J19" s="91"/>
      <c r="K19" s="1454"/>
      <c r="L19" s="221"/>
      <c r="M19" s="205"/>
      <c r="N19" s="205"/>
      <c r="O19" s="220"/>
      <c r="P19" s="224"/>
      <c r="Q19" s="169"/>
      <c r="R19" s="271"/>
      <c r="S19" s="272"/>
      <c r="T19" s="271"/>
      <c r="U19" s="272"/>
      <c r="V19" s="271"/>
      <c r="W19" s="272"/>
      <c r="X19" s="258"/>
      <c r="Y19" s="224"/>
      <c r="Z19" s="244"/>
      <c r="AA19" s="287">
        <v>1</v>
      </c>
      <c r="AB19" s="287">
        <v>1</v>
      </c>
      <c r="AC19" s="287">
        <v>1</v>
      </c>
    </row>
    <row r="20" ht="57.6" spans="1:29">
      <c r="A20" s="70"/>
      <c r="B20" s="1362" t="s">
        <v>1456</v>
      </c>
      <c r="C20" s="95" t="str">
        <f>IF(B1="工业",估价对象房地状况!G7,估价对象房地状况!C9)</f>
        <v>区域自然环境：；人文环境；综合评价环境状况一般</v>
      </c>
      <c r="D20" s="97">
        <v>100</v>
      </c>
      <c r="E20" s="1365"/>
      <c r="F20" s="1415">
        <f>SUMIF(67:67,E21,68:68)-SUMIF(67:67,C21,68:68)+100</f>
        <v>100</v>
      </c>
      <c r="G20" s="1374"/>
      <c r="H20" s="93">
        <f>SUMIF(67:67,G21,68:68)-SUMIF(67:67,C21,68:68)+100</f>
        <v>100</v>
      </c>
      <c r="I20" s="96"/>
      <c r="J20" s="93">
        <f>SUMIF(67:67,I21,68:68)-SUMIF(67:67,C21,68:68)+100</f>
        <v>100</v>
      </c>
      <c r="K20" s="1452"/>
      <c r="L20" s="221"/>
      <c r="M20" s="205"/>
      <c r="N20" s="205"/>
      <c r="O20" s="220"/>
      <c r="P20" s="224"/>
      <c r="Q20" s="169" t="str">
        <f>B20</f>
        <v>自然及人文环境</v>
      </c>
      <c r="R20" s="271" t="s">
        <v>1440</v>
      </c>
      <c r="S20" s="272">
        <f>F20</f>
        <v>100</v>
      </c>
      <c r="T20" s="271" t="s">
        <v>1440</v>
      </c>
      <c r="U20" s="272">
        <f>H20</f>
        <v>100</v>
      </c>
      <c r="V20" s="271" t="s">
        <v>1440</v>
      </c>
      <c r="W20" s="272">
        <f>J20</f>
        <v>100</v>
      </c>
      <c r="X20" s="258"/>
      <c r="Y20" s="224"/>
      <c r="Z20" s="244" t="str">
        <f>Q20</f>
        <v>自然及人文环境</v>
      </c>
      <c r="AA20" s="287">
        <f t="shared" si="3"/>
        <v>1</v>
      </c>
      <c r="AB20" s="287">
        <f t="shared" si="4"/>
        <v>1</v>
      </c>
      <c r="AC20" s="287">
        <f t="shared" si="5"/>
        <v>1</v>
      </c>
    </row>
    <row r="21" ht="15" spans="1:29">
      <c r="A21" s="70"/>
      <c r="B21" s="118"/>
      <c r="C21" s="90"/>
      <c r="D21" s="91"/>
      <c r="E21" s="90"/>
      <c r="F21" s="1414"/>
      <c r="G21" s="90"/>
      <c r="H21" s="91"/>
      <c r="I21" s="90"/>
      <c r="J21" s="91"/>
      <c r="K21" s="1453"/>
      <c r="L21" s="221"/>
      <c r="M21" s="205"/>
      <c r="N21" s="205"/>
      <c r="O21" s="220"/>
      <c r="P21" s="224"/>
      <c r="Q21" s="169"/>
      <c r="R21" s="271"/>
      <c r="S21" s="272"/>
      <c r="T21" s="271"/>
      <c r="U21" s="272"/>
      <c r="V21" s="271"/>
      <c r="W21" s="272"/>
      <c r="X21" s="258"/>
      <c r="Y21" s="224"/>
      <c r="Z21" s="244"/>
      <c r="AA21" s="287">
        <v>1</v>
      </c>
      <c r="AB21" s="287">
        <v>1</v>
      </c>
      <c r="AC21" s="287">
        <v>1</v>
      </c>
    </row>
    <row r="22" ht="15" spans="1:29">
      <c r="A22" s="70"/>
      <c r="B22" s="1362" t="s">
        <v>1524</v>
      </c>
      <c r="C22" s="104"/>
      <c r="D22" s="93">
        <v>100</v>
      </c>
      <c r="E22" s="104"/>
      <c r="F22" s="1417">
        <f>SUMIF(69:69,E22,70:70)-SUMIF(69:69,C22,70:70)+100</f>
        <v>100</v>
      </c>
      <c r="G22" s="104"/>
      <c r="H22" s="79">
        <f>SUMIF(69:69,G22,70:70)-SUMIF(69:69,C22,70:70)+100</f>
        <v>100</v>
      </c>
      <c r="I22" s="104"/>
      <c r="J22" s="79">
        <f>SUMIF(69:69,I22,70:70)-SUMIF(69:69,C22,70:70)+100</f>
        <v>100</v>
      </c>
      <c r="K22" s="228"/>
      <c r="L22" s="221"/>
      <c r="M22" s="205"/>
      <c r="N22" s="205"/>
      <c r="O22" s="220"/>
      <c r="P22" s="224"/>
      <c r="Q22" s="169" t="str">
        <f>B22</f>
        <v>楼层</v>
      </c>
      <c r="R22" s="271" t="s">
        <v>1440</v>
      </c>
      <c r="S22" s="272">
        <f>F22</f>
        <v>100</v>
      </c>
      <c r="T22" s="271" t="s">
        <v>1440</v>
      </c>
      <c r="U22" s="272">
        <f>H22</f>
        <v>100</v>
      </c>
      <c r="V22" s="271" t="s">
        <v>1440</v>
      </c>
      <c r="W22" s="272">
        <f>J22</f>
        <v>100</v>
      </c>
      <c r="X22" s="258"/>
      <c r="Y22" s="224"/>
      <c r="Z22" s="244" t="str">
        <f>Q22</f>
        <v>楼层</v>
      </c>
      <c r="AA22" s="287">
        <f t="shared" si="3"/>
        <v>1</v>
      </c>
      <c r="AB22" s="287">
        <f t="shared" si="4"/>
        <v>1</v>
      </c>
      <c r="AC22" s="287">
        <f t="shared" si="5"/>
        <v>1</v>
      </c>
    </row>
    <row r="23" ht="15" spans="1:29">
      <c r="A23" s="42"/>
      <c r="B23" s="74">
        <v>111</v>
      </c>
      <c r="C23" s="68"/>
      <c r="D23" s="79">
        <v>100</v>
      </c>
      <c r="E23" s="78"/>
      <c r="F23" s="1417">
        <f>SUMIF(71:71,E23,72:72)-SUMIF(71:71,C23,72:72)+100</f>
        <v>100</v>
      </c>
      <c r="G23" s="78"/>
      <c r="H23" s="79">
        <f>SUMIF(71:71,G23,72:72)-SUMIF(71:71,C23,72:72)+100</f>
        <v>100</v>
      </c>
      <c r="I23" s="78"/>
      <c r="J23" s="79">
        <f>SUMIF(71:71,I23,72:72)-SUMIF(71:71,C23,72:72)+100</f>
        <v>100</v>
      </c>
      <c r="K23" s="227"/>
      <c r="L23" s="221"/>
      <c r="M23" s="205"/>
      <c r="N23" s="205"/>
      <c r="O23" s="220"/>
      <c r="P23" s="224"/>
      <c r="Q23" s="169">
        <f>B23</f>
        <v>111</v>
      </c>
      <c r="R23" s="271" t="s">
        <v>1440</v>
      </c>
      <c r="S23" s="272">
        <f>F23</f>
        <v>100</v>
      </c>
      <c r="T23" s="271" t="s">
        <v>1440</v>
      </c>
      <c r="U23" s="272">
        <f>H23</f>
        <v>100</v>
      </c>
      <c r="V23" s="271" t="s">
        <v>1440</v>
      </c>
      <c r="W23" s="272">
        <f>J23</f>
        <v>100</v>
      </c>
      <c r="X23" s="258"/>
      <c r="Y23" s="224"/>
      <c r="Z23" s="244">
        <f>Q23</f>
        <v>111</v>
      </c>
      <c r="AA23" s="287">
        <f t="shared" si="3"/>
        <v>1</v>
      </c>
      <c r="AB23" s="287">
        <f t="shared" si="4"/>
        <v>1</v>
      </c>
      <c r="AC23" s="287">
        <f t="shared" si="5"/>
        <v>1</v>
      </c>
    </row>
    <row r="24" ht="15" spans="1:29">
      <c r="A24" s="70"/>
      <c r="B24" s="74">
        <v>111</v>
      </c>
      <c r="C24" s="68"/>
      <c r="D24" s="79">
        <v>100</v>
      </c>
      <c r="E24" s="78"/>
      <c r="F24" s="1417">
        <f>SUMIF(73:73,E24,74:74)-SUMIF(73:73,C24,74:74)+100</f>
        <v>100</v>
      </c>
      <c r="G24" s="78"/>
      <c r="H24" s="79">
        <f>SUMIF(73:73,G24,74:74)-SUMIF(73:73,C24,74:74)+100</f>
        <v>100</v>
      </c>
      <c r="I24" s="78"/>
      <c r="J24" s="79">
        <f>SUMIF(73:73,I24,74:74)-SUMIF(73:73,C24,74:74)+100</f>
        <v>100</v>
      </c>
      <c r="K24" s="227"/>
      <c r="L24" s="221"/>
      <c r="M24" s="205"/>
      <c r="N24" s="205"/>
      <c r="O24" s="220"/>
      <c r="P24" s="224"/>
      <c r="Q24" s="169">
        <f t="shared" ref="Q24:Q34" si="11">B24</f>
        <v>111</v>
      </c>
      <c r="R24" s="271" t="s">
        <v>1440</v>
      </c>
      <c r="S24" s="272">
        <f>F24</f>
        <v>100</v>
      </c>
      <c r="T24" s="271" t="s">
        <v>1440</v>
      </c>
      <c r="U24" s="272">
        <f>H24</f>
        <v>100</v>
      </c>
      <c r="V24" s="271" t="s">
        <v>1440</v>
      </c>
      <c r="W24" s="272">
        <f>J24</f>
        <v>100</v>
      </c>
      <c r="X24" s="258"/>
      <c r="Y24" s="224"/>
      <c r="Z24" s="244">
        <f>Q24</f>
        <v>111</v>
      </c>
      <c r="AA24" s="287">
        <f t="shared" si="3"/>
        <v>1</v>
      </c>
      <c r="AB24" s="287">
        <f t="shared" si="4"/>
        <v>1</v>
      </c>
      <c r="AC24" s="287">
        <f t="shared" si="5"/>
        <v>1</v>
      </c>
    </row>
    <row r="25" s="15" customFormat="1" ht="15.75" spans="1:29">
      <c r="A25" s="73"/>
      <c r="B25" s="74">
        <v>111</v>
      </c>
      <c r="C25" s="1418"/>
      <c r="D25" s="1419">
        <v>100</v>
      </c>
      <c r="E25" s="1418"/>
      <c r="F25" s="1420">
        <f>SUMIF(75:75,E25,76:76)-SUMIF(75:75,C25,76:76)+100</f>
        <v>100</v>
      </c>
      <c r="G25" s="1418"/>
      <c r="H25" s="1419">
        <f>SUMIF(75:75,G25,76:76)-SUMIF(75:75,C25,76:76)+100</f>
        <v>100</v>
      </c>
      <c r="I25" s="1418"/>
      <c r="J25" s="1419">
        <f>SUMIF(75:75,I25,76:76)-SUMIF(75:75,C25,76:76)+100</f>
        <v>100</v>
      </c>
      <c r="K25" s="227"/>
      <c r="L25" s="210"/>
      <c r="M25" s="211"/>
      <c r="N25" s="211"/>
      <c r="O25" s="213"/>
      <c r="P25" s="224"/>
      <c r="Q25" s="270">
        <f t="shared" si="11"/>
        <v>111</v>
      </c>
      <c r="R25" s="266" t="s">
        <v>1440</v>
      </c>
      <c r="S25" s="267">
        <f>F25</f>
        <v>100</v>
      </c>
      <c r="T25" s="266" t="s">
        <v>1440</v>
      </c>
      <c r="U25" s="267">
        <f>H25</f>
        <v>100</v>
      </c>
      <c r="V25" s="266" t="s">
        <v>1440</v>
      </c>
      <c r="W25" s="267">
        <f>J25</f>
        <v>100</v>
      </c>
      <c r="X25" s="268"/>
      <c r="Y25" s="224"/>
      <c r="Z25" s="286">
        <f>Q25</f>
        <v>111</v>
      </c>
      <c r="AA25" s="287">
        <f t="shared" si="3"/>
        <v>1</v>
      </c>
      <c r="AB25" s="287">
        <f t="shared" si="4"/>
        <v>1</v>
      </c>
      <c r="AC25" s="287">
        <f t="shared" si="5"/>
        <v>1</v>
      </c>
    </row>
    <row r="26" ht="30.6" spans="1:29">
      <c r="A26" s="1421" t="s">
        <v>1459</v>
      </c>
      <c r="B26" s="63" t="s">
        <v>1465</v>
      </c>
      <c r="C26" s="1422"/>
      <c r="D26" s="120">
        <v>100</v>
      </c>
      <c r="E26" s="1422"/>
      <c r="F26" s="1423">
        <f>SUMIF(77:77,E26,78:78)-SUMIF(77:77,C26,78:78)+100</f>
        <v>100</v>
      </c>
      <c r="G26" s="1422"/>
      <c r="H26" s="120">
        <f>SUMIF(77:77,G26,78:78)-SUMIF(77:77,C26,78:78)+100</f>
        <v>100</v>
      </c>
      <c r="I26" s="1422"/>
      <c r="J26" s="120">
        <f>SUMIF(77:77,I26,78:78)-SUMIF(77:77,C26,78:78)+100</f>
        <v>100</v>
      </c>
      <c r="K26" s="228"/>
      <c r="L26" s="221"/>
      <c r="M26" s="205"/>
      <c r="N26" s="205"/>
      <c r="O26" s="220"/>
      <c r="P26" s="229" t="s">
        <v>1461</v>
      </c>
      <c r="Q26" s="169" t="str">
        <f t="shared" si="11"/>
        <v>公共部分装修</v>
      </c>
      <c r="R26" s="271" t="s">
        <v>1440</v>
      </c>
      <c r="S26" s="272">
        <f t="shared" ref="S26:S34" si="12">F26</f>
        <v>100</v>
      </c>
      <c r="T26" s="271" t="s">
        <v>1440</v>
      </c>
      <c r="U26" s="272">
        <f t="shared" ref="U26:U34" si="13">H26</f>
        <v>100</v>
      </c>
      <c r="V26" s="271" t="s">
        <v>1440</v>
      </c>
      <c r="W26" s="272">
        <f t="shared" ref="W26:W34" si="14">J26</f>
        <v>100</v>
      </c>
      <c r="X26" s="258"/>
      <c r="Y26" s="232" t="s">
        <v>1461</v>
      </c>
      <c r="Z26" s="244" t="str">
        <f t="shared" ref="Z26:Z34" si="15">Q26</f>
        <v>公共部分装修</v>
      </c>
      <c r="AA26" s="287">
        <f t="shared" si="3"/>
        <v>1</v>
      </c>
      <c r="AB26" s="287">
        <f t="shared" si="4"/>
        <v>1</v>
      </c>
      <c r="AC26" s="287">
        <f t="shared" si="5"/>
        <v>1</v>
      </c>
    </row>
    <row r="27" s="17" customFormat="1" ht="15" spans="1:29">
      <c r="A27" s="126"/>
      <c r="B27" s="67" t="s">
        <v>1547</v>
      </c>
      <c r="C27" s="1424"/>
      <c r="D27" s="69">
        <v>100</v>
      </c>
      <c r="E27" s="1425"/>
      <c r="F27" s="1417" t="e">
        <f>LOOKUP(E27,80:80,81:81)-LOOKUP(C27,80:80,81:81)+100</f>
        <v>#N/A</v>
      </c>
      <c r="G27" s="1426"/>
      <c r="H27" s="79" t="e">
        <f>LOOKUP(G27,80:80,81:81)-LOOKUP(C27,80:80,81:81)+100</f>
        <v>#N/A</v>
      </c>
      <c r="I27" s="1426"/>
      <c r="J27" s="79" t="e">
        <f>LOOKUP(I27,80:80,81:81)-LOOKUP(C27,80:80,81:81)+100</f>
        <v>#N/A</v>
      </c>
      <c r="K27" s="228"/>
      <c r="L27" s="219"/>
      <c r="M27" s="230"/>
      <c r="N27" s="230"/>
      <c r="O27" s="231"/>
      <c r="P27" s="232"/>
      <c r="Q27" s="1456" t="str">
        <f t="shared" si="11"/>
        <v>成新率</v>
      </c>
      <c r="R27" s="273" t="s">
        <v>1440</v>
      </c>
      <c r="S27" s="274" t="e">
        <f t="shared" si="12"/>
        <v>#N/A</v>
      </c>
      <c r="T27" s="273" t="s">
        <v>1440</v>
      </c>
      <c r="U27" s="274" t="e">
        <f t="shared" si="13"/>
        <v>#N/A</v>
      </c>
      <c r="V27" s="273" t="s">
        <v>1440</v>
      </c>
      <c r="W27" s="274" t="e">
        <f t="shared" si="14"/>
        <v>#N/A</v>
      </c>
      <c r="X27" s="275"/>
      <c r="Y27" s="232"/>
      <c r="Z27" s="288" t="str">
        <f t="shared" si="15"/>
        <v>成新率</v>
      </c>
      <c r="AA27" s="287" t="e">
        <f t="shared" si="3"/>
        <v>#N/A</v>
      </c>
      <c r="AB27" s="287" t="e">
        <f t="shared" si="4"/>
        <v>#N/A</v>
      </c>
      <c r="AC27" s="287" t="e">
        <f t="shared" si="5"/>
        <v>#N/A</v>
      </c>
    </row>
    <row r="28" ht="15" spans="1:29">
      <c r="A28" s="121"/>
      <c r="B28" s="67" t="s">
        <v>1548</v>
      </c>
      <c r="C28" s="1427"/>
      <c r="D28" s="79">
        <v>100</v>
      </c>
      <c r="E28" s="1427"/>
      <c r="F28" s="1417">
        <f>SUMIF(82:82,E28,83:83)-SUMIF(82:82,C28,83:83)+100</f>
        <v>100</v>
      </c>
      <c r="G28" s="1427"/>
      <c r="H28" s="79">
        <f>SUMIF(82:82,G28,83:83)-SUMIF(82:82,C28,83:83)+100</f>
        <v>100</v>
      </c>
      <c r="I28" s="1427"/>
      <c r="J28" s="79">
        <f>SUMIF(82:82,I28,83:83)-SUMIF(82:82,C28,83:83)+100</f>
        <v>100</v>
      </c>
      <c r="K28" s="228"/>
      <c r="L28" s="221"/>
      <c r="M28" s="205"/>
      <c r="N28" s="205"/>
      <c r="O28" s="220"/>
      <c r="P28" s="232"/>
      <c r="Q28" s="169" t="str">
        <f t="shared" si="11"/>
        <v>物业等级</v>
      </c>
      <c r="R28" s="271" t="s">
        <v>1440</v>
      </c>
      <c r="S28" s="272">
        <f t="shared" si="12"/>
        <v>100</v>
      </c>
      <c r="T28" s="271" t="s">
        <v>1440</v>
      </c>
      <c r="U28" s="272">
        <f t="shared" si="13"/>
        <v>100</v>
      </c>
      <c r="V28" s="271" t="s">
        <v>1440</v>
      </c>
      <c r="W28" s="272">
        <f t="shared" si="14"/>
        <v>100</v>
      </c>
      <c r="X28" s="258"/>
      <c r="Y28" s="232"/>
      <c r="Z28" s="244" t="str">
        <f t="shared" si="15"/>
        <v>物业等级</v>
      </c>
      <c r="AA28" s="287">
        <f t="shared" si="3"/>
        <v>1</v>
      </c>
      <c r="AB28" s="287">
        <f t="shared" si="4"/>
        <v>1</v>
      </c>
      <c r="AC28" s="287">
        <f t="shared" si="5"/>
        <v>1</v>
      </c>
    </row>
    <row r="29" ht="15" spans="1:29">
      <c r="A29" s="121"/>
      <c r="B29" s="67" t="s">
        <v>1556</v>
      </c>
      <c r="C29" s="1428"/>
      <c r="D29" s="79">
        <v>100</v>
      </c>
      <c r="E29" s="1428"/>
      <c r="F29" s="1417">
        <f>SUMIF(84:84,E29,85:85)-SUMIF(84:84,C29,85:85)+100</f>
        <v>100</v>
      </c>
      <c r="G29" s="1428"/>
      <c r="H29" s="79">
        <f>SUMIF(84:84,G29,85:85)-SUMIF(84:84,C29,85:85)+100</f>
        <v>100</v>
      </c>
      <c r="I29" s="1428"/>
      <c r="J29" s="79">
        <f>SUMIF(84:84,I29,85:85)-SUMIF(84:84,C29,85:85)+100</f>
        <v>100</v>
      </c>
      <c r="K29" s="228"/>
      <c r="L29" s="221"/>
      <c r="M29" s="205"/>
      <c r="N29" s="205"/>
      <c r="O29" s="220"/>
      <c r="P29" s="232"/>
      <c r="Q29" s="169" t="str">
        <f t="shared" si="11"/>
        <v>有无电梯</v>
      </c>
      <c r="R29" s="271" t="s">
        <v>1440</v>
      </c>
      <c r="S29" s="272">
        <f t="shared" si="12"/>
        <v>100</v>
      </c>
      <c r="T29" s="271" t="s">
        <v>1440</v>
      </c>
      <c r="U29" s="272">
        <f t="shared" si="13"/>
        <v>100</v>
      </c>
      <c r="V29" s="271" t="s">
        <v>1440</v>
      </c>
      <c r="W29" s="272">
        <f t="shared" si="14"/>
        <v>100</v>
      </c>
      <c r="X29" s="258"/>
      <c r="Y29" s="232"/>
      <c r="Z29" s="244" t="str">
        <f t="shared" si="15"/>
        <v>有无电梯</v>
      </c>
      <c r="AA29" s="287">
        <f t="shared" si="3"/>
        <v>1</v>
      </c>
      <c r="AB29" s="287">
        <f t="shared" si="4"/>
        <v>1</v>
      </c>
      <c r="AC29" s="287">
        <f t="shared" si="5"/>
        <v>1</v>
      </c>
    </row>
    <row r="30" ht="15" spans="1:29">
      <c r="A30" s="121"/>
      <c r="B30" s="67" t="s">
        <v>526</v>
      </c>
      <c r="C30" s="1411"/>
      <c r="D30" s="79">
        <v>100</v>
      </c>
      <c r="E30" s="1411"/>
      <c r="F30" s="1417" t="e">
        <f>LOOKUP(E30,87:87,88:88)-LOOKUP(C30,87:87,88:88)+100</f>
        <v>#N/A</v>
      </c>
      <c r="G30" s="1411"/>
      <c r="H30" s="79" t="e">
        <f>LOOKUP(G30,87:87,88:88)-LOOKUP(C30,87:87,88:88)+100</f>
        <v>#N/A</v>
      </c>
      <c r="I30" s="1411"/>
      <c r="J30" s="79" t="e">
        <f>LOOKUP(I30,87:87,88:88)-LOOKUP(C30,87:87,88:88)+100</f>
        <v>#N/A</v>
      </c>
      <c r="K30" s="227"/>
      <c r="L30" s="221"/>
      <c r="M30" s="205"/>
      <c r="N30" s="205"/>
      <c r="O30" s="220"/>
      <c r="P30" s="232"/>
      <c r="Q30" s="169" t="str">
        <f t="shared" si="11"/>
        <v>建筑面积</v>
      </c>
      <c r="R30" s="271" t="s">
        <v>1440</v>
      </c>
      <c r="S30" s="272" t="e">
        <f t="shared" si="12"/>
        <v>#N/A</v>
      </c>
      <c r="T30" s="271" t="s">
        <v>1440</v>
      </c>
      <c r="U30" s="272" t="e">
        <f t="shared" si="13"/>
        <v>#N/A</v>
      </c>
      <c r="V30" s="271" t="s">
        <v>1440</v>
      </c>
      <c r="W30" s="272" t="e">
        <f t="shared" si="14"/>
        <v>#N/A</v>
      </c>
      <c r="X30" s="258"/>
      <c r="Y30" s="232"/>
      <c r="Z30" s="244" t="str">
        <f t="shared" si="15"/>
        <v>建筑面积</v>
      </c>
      <c r="AA30" s="287" t="e">
        <f t="shared" si="3"/>
        <v>#N/A</v>
      </c>
      <c r="AB30" s="287" t="e">
        <f t="shared" si="4"/>
        <v>#N/A</v>
      </c>
      <c r="AC30" s="287" t="e">
        <f t="shared" si="5"/>
        <v>#N/A</v>
      </c>
    </row>
    <row r="31" s="15" customFormat="1" ht="15" spans="1:29">
      <c r="A31" s="123"/>
      <c r="B31" s="67" t="s">
        <v>1557</v>
      </c>
      <c r="C31" s="1428"/>
      <c r="D31" s="69">
        <v>100</v>
      </c>
      <c r="E31" s="1428"/>
      <c r="F31" s="1417">
        <f>SUMIF(89:89,E31,90:90)-SUMIF(89:89,C31,90:90)+100</f>
        <v>100</v>
      </c>
      <c r="G31" s="1428"/>
      <c r="H31" s="79">
        <f>SUMIF(89:89,G31,90:90)-SUMIF(89:89,C31,90:90)+100</f>
        <v>100</v>
      </c>
      <c r="I31" s="1428"/>
      <c r="J31" s="79">
        <f>SUMIF(89:89,I31,90:90)-SUMIF(89:89,C31,90:90)+100</f>
        <v>100</v>
      </c>
      <c r="K31" s="228"/>
      <c r="L31" s="210"/>
      <c r="M31" s="211"/>
      <c r="N31" s="211"/>
      <c r="O31" s="213"/>
      <c r="P31" s="232"/>
      <c r="Q31" s="270" t="str">
        <f t="shared" si="11"/>
        <v>是否封闭</v>
      </c>
      <c r="R31" s="266" t="s">
        <v>1440</v>
      </c>
      <c r="S31" s="267">
        <f t="shared" si="12"/>
        <v>100</v>
      </c>
      <c r="T31" s="266" t="s">
        <v>1440</v>
      </c>
      <c r="U31" s="267">
        <f t="shared" si="13"/>
        <v>100</v>
      </c>
      <c r="V31" s="266" t="s">
        <v>1440</v>
      </c>
      <c r="W31" s="267">
        <f t="shared" si="14"/>
        <v>100</v>
      </c>
      <c r="X31" s="268"/>
      <c r="Y31" s="232"/>
      <c r="Z31" s="286" t="str">
        <f t="shared" si="15"/>
        <v>是否封闭</v>
      </c>
      <c r="AA31" s="285">
        <f t="shared" si="3"/>
        <v>1</v>
      </c>
      <c r="AB31" s="285">
        <f t="shared" si="4"/>
        <v>1</v>
      </c>
      <c r="AC31" s="285">
        <f t="shared" si="5"/>
        <v>1</v>
      </c>
    </row>
    <row r="32" ht="15" spans="1:29">
      <c r="A32" s="121"/>
      <c r="B32" s="74">
        <v>111</v>
      </c>
      <c r="C32" s="68"/>
      <c r="D32" s="79">
        <v>100</v>
      </c>
      <c r="E32" s="1411"/>
      <c r="F32" s="1417">
        <f>SUMIF(91:91,E32,92:92)-SUMIF(91:91,C32,92:92)+100</f>
        <v>100</v>
      </c>
      <c r="G32" s="1411"/>
      <c r="H32" s="79">
        <f>SUMIF(91:91,G32,92:92)-SUMIF(91:91,C32,92:92)+100</f>
        <v>100</v>
      </c>
      <c r="I32" s="1411"/>
      <c r="J32" s="79">
        <f>SUMIF(91:91,I32,92:92)-SUMIF(91:91,C32,92:92)+100</f>
        <v>100</v>
      </c>
      <c r="K32" s="227"/>
      <c r="L32" s="221"/>
      <c r="M32" s="205"/>
      <c r="N32" s="205"/>
      <c r="O32" s="220"/>
      <c r="P32" s="232" t="s">
        <v>1461</v>
      </c>
      <c r="Q32" s="169">
        <f t="shared" si="11"/>
        <v>111</v>
      </c>
      <c r="R32" s="271" t="s">
        <v>1440</v>
      </c>
      <c r="S32" s="272">
        <f t="shared" si="12"/>
        <v>100</v>
      </c>
      <c r="T32" s="271" t="s">
        <v>1440</v>
      </c>
      <c r="U32" s="272">
        <f t="shared" si="13"/>
        <v>100</v>
      </c>
      <c r="V32" s="271" t="s">
        <v>1440</v>
      </c>
      <c r="W32" s="272">
        <f t="shared" si="14"/>
        <v>100</v>
      </c>
      <c r="X32" s="258"/>
      <c r="Y32" s="232" t="s">
        <v>1461</v>
      </c>
      <c r="Z32" s="244">
        <f t="shared" si="15"/>
        <v>111</v>
      </c>
      <c r="AA32" s="287">
        <f t="shared" si="3"/>
        <v>1</v>
      </c>
      <c r="AB32" s="287">
        <f t="shared" si="4"/>
        <v>1</v>
      </c>
      <c r="AC32" s="287">
        <f t="shared" si="5"/>
        <v>1</v>
      </c>
    </row>
    <row r="33" ht="15" spans="1:29">
      <c r="A33" s="121"/>
      <c r="B33" s="74">
        <v>111</v>
      </c>
      <c r="C33" s="68"/>
      <c r="D33" s="79">
        <v>100</v>
      </c>
      <c r="E33" s="1411"/>
      <c r="F33" s="1417">
        <f>SUMIF(93:93,E33,94:94)-SUMIF(93:93,C33,94:94)+100</f>
        <v>100</v>
      </c>
      <c r="G33" s="1411"/>
      <c r="H33" s="79">
        <f>SUMIF(93:93,G33,94:94)-SUMIF(93:93,C33,94:94)+100</f>
        <v>100</v>
      </c>
      <c r="I33" s="1411"/>
      <c r="J33" s="79">
        <f>SUMIF(93:93,I33,94:94)-SUMIF(93:93,C33,94:94)+100</f>
        <v>100</v>
      </c>
      <c r="K33" s="227"/>
      <c r="L33" s="221"/>
      <c r="M33" s="205"/>
      <c r="N33" s="205"/>
      <c r="O33" s="220"/>
      <c r="P33" s="232"/>
      <c r="Q33" s="169">
        <f t="shared" si="11"/>
        <v>111</v>
      </c>
      <c r="R33" s="271" t="s">
        <v>1440</v>
      </c>
      <c r="S33" s="272">
        <f t="shared" si="12"/>
        <v>100</v>
      </c>
      <c r="T33" s="271" t="s">
        <v>1440</v>
      </c>
      <c r="U33" s="272">
        <f t="shared" si="13"/>
        <v>100</v>
      </c>
      <c r="V33" s="271" t="s">
        <v>1440</v>
      </c>
      <c r="W33" s="272">
        <f t="shared" si="14"/>
        <v>100</v>
      </c>
      <c r="X33" s="258"/>
      <c r="Y33" s="232"/>
      <c r="Z33" s="244">
        <f t="shared" si="15"/>
        <v>111</v>
      </c>
      <c r="AA33" s="287">
        <f t="shared" si="3"/>
        <v>1</v>
      </c>
      <c r="AB33" s="287">
        <f t="shared" si="4"/>
        <v>1</v>
      </c>
      <c r="AC33" s="287">
        <f t="shared" si="5"/>
        <v>1</v>
      </c>
    </row>
    <row r="34" ht="15.75" spans="1:29">
      <c r="A34" s="1429"/>
      <c r="B34" s="81">
        <v>111</v>
      </c>
      <c r="C34" s="82"/>
      <c r="D34" s="83">
        <v>100</v>
      </c>
      <c r="E34" s="1412"/>
      <c r="F34" s="1430">
        <f>SUMIF(95:95,E34,96:96)-SUMIF(95:95,C34,96:96)+100</f>
        <v>100</v>
      </c>
      <c r="G34" s="1412"/>
      <c r="H34" s="83">
        <f>SUMIF(95:95,G34,96:96)-SUMIF(95:95,C34,96:96)+100</f>
        <v>100</v>
      </c>
      <c r="I34" s="1412"/>
      <c r="J34" s="83">
        <f>SUMIF(95:95,I34,96:96)-SUMIF(95:95,C34,96:96)+100</f>
        <v>100</v>
      </c>
      <c r="K34" s="227"/>
      <c r="L34" s="221"/>
      <c r="M34" s="205"/>
      <c r="N34" s="205"/>
      <c r="O34" s="220"/>
      <c r="P34" s="232"/>
      <c r="Q34" s="169">
        <f t="shared" si="11"/>
        <v>111</v>
      </c>
      <c r="R34" s="271" t="s">
        <v>1440</v>
      </c>
      <c r="S34" s="272">
        <f t="shared" si="12"/>
        <v>100</v>
      </c>
      <c r="T34" s="271" t="s">
        <v>1440</v>
      </c>
      <c r="U34" s="272">
        <f t="shared" si="13"/>
        <v>100</v>
      </c>
      <c r="V34" s="271" t="s">
        <v>1440</v>
      </c>
      <c r="W34" s="272">
        <f t="shared" si="14"/>
        <v>100</v>
      </c>
      <c r="X34" s="258"/>
      <c r="Y34" s="232"/>
      <c r="Z34" s="244">
        <f t="shared" si="15"/>
        <v>111</v>
      </c>
      <c r="AA34" s="287">
        <f t="shared" si="3"/>
        <v>1</v>
      </c>
      <c r="AB34" s="287">
        <f t="shared" si="4"/>
        <v>1</v>
      </c>
      <c r="AC34" s="287">
        <f t="shared" si="5"/>
        <v>1</v>
      </c>
    </row>
    <row r="35" ht="14.4" spans="1:29">
      <c r="A35" s="128" t="s">
        <v>1472</v>
      </c>
      <c r="B35" s="1431"/>
      <c r="C35" s="1432" t="s">
        <v>124</v>
      </c>
      <c r="D35" s="1433"/>
      <c r="E35" s="1434"/>
      <c r="F35" s="1435"/>
      <c r="G35" s="1436"/>
      <c r="H35" s="1437"/>
      <c r="I35" s="1434"/>
      <c r="J35" s="1437"/>
      <c r="K35" s="235"/>
      <c r="L35" s="236"/>
      <c r="M35" s="145"/>
      <c r="N35" s="205"/>
      <c r="O35" s="145"/>
      <c r="P35" s="169" t="str">
        <f>A35</f>
        <v>成交单价（元/平方米）</v>
      </c>
      <c r="Q35" s="169"/>
      <c r="R35" s="287">
        <f>E35</f>
        <v>0</v>
      </c>
      <c r="S35" s="287"/>
      <c r="T35" s="287">
        <f>G35</f>
        <v>0</v>
      </c>
      <c r="U35" s="287"/>
      <c r="V35" s="287">
        <f>I35</f>
        <v>0</v>
      </c>
      <c r="W35" s="287"/>
      <c r="X35" s="193"/>
      <c r="Y35" s="289"/>
      <c r="Z35" s="193"/>
      <c r="AA35" s="193"/>
      <c r="AB35" s="193"/>
      <c r="AC35" s="193"/>
    </row>
    <row r="36" ht="15.15" spans="1:29">
      <c r="A36" s="136" t="s">
        <v>1473</v>
      </c>
      <c r="B36" s="1438"/>
      <c r="C36" s="1439" t="e">
        <f>R37</f>
        <v>#DIV/0!</v>
      </c>
      <c r="D36" s="139" t="s">
        <v>1474</v>
      </c>
      <c r="E36" s="1440" t="e">
        <f>R36</f>
        <v>#DIV/0!</v>
      </c>
      <c r="F36" s="140"/>
      <c r="G36" s="1439" t="e">
        <f>T36</f>
        <v>#DIV/0!</v>
      </c>
      <c r="H36" s="140"/>
      <c r="I36" s="1440" t="e">
        <f>V36</f>
        <v>#DIV/0!</v>
      </c>
      <c r="J36" s="140"/>
      <c r="K36" s="237">
        <f>F36+H36+J36</f>
        <v>0</v>
      </c>
      <c r="L36" s="236"/>
      <c r="M36" s="145"/>
      <c r="N36" s="205"/>
      <c r="O36" s="145"/>
      <c r="P36" s="169" t="str">
        <f>A36</f>
        <v>比较价值（元/平方米）</v>
      </c>
      <c r="Q36" s="169"/>
      <c r="R36" s="287" t="e">
        <f>IF(F1="售价",ROUND(PRODUCT(R35,AA7:AA34),0),ROUND(PRODUCT(R35,AA7:AA34),1))</f>
        <v>#DIV/0!</v>
      </c>
      <c r="S36" s="287"/>
      <c r="T36" s="287" t="e">
        <f>IF(F1="售价",ROUND(PRODUCT(T35,AB7:AB34),0),ROUND(PRODUCT(T35,AB7:AB34),1))</f>
        <v>#DIV/0!</v>
      </c>
      <c r="U36" s="287"/>
      <c r="V36" s="287" t="e">
        <f>IF(F1="售价",ROUND(PRODUCT(V35,AC7:AC34),0),ROUND(PRODUCT(V35,AC7:AC34),1))</f>
        <v>#DIV/0!</v>
      </c>
      <c r="W36" s="287"/>
      <c r="X36" s="193"/>
      <c r="Y36" s="193"/>
      <c r="Z36" s="193"/>
      <c r="AA36" s="193"/>
      <c r="AB36" s="193"/>
      <c r="AC36" s="193"/>
    </row>
    <row r="37" ht="15.15" spans="1:29">
      <c r="A37" s="142" t="s">
        <v>1475</v>
      </c>
      <c r="B37" s="143"/>
      <c r="C37" s="1441" t="e">
        <f>R37</f>
        <v>#DIV/0!</v>
      </c>
      <c r="D37" s="1441"/>
      <c r="E37" s="1441"/>
      <c r="F37" s="1441"/>
      <c r="G37" s="1441"/>
      <c r="H37" s="1441"/>
      <c r="I37" s="1441"/>
      <c r="J37" s="1441"/>
      <c r="K37" s="238"/>
      <c r="L37" s="236"/>
      <c r="M37" s="145"/>
      <c r="N37" s="145"/>
      <c r="O37" s="145"/>
      <c r="P37" s="239" t="str">
        <f>A37</f>
        <v>估价对象XX用房的比较价值（楼面单价，元/平方米）</v>
      </c>
      <c r="Q37" s="277"/>
      <c r="R37" s="1457" t="e">
        <f>IF(F1="售价",ROUND(IF(D36="简单平均",AVERAGE(R36:W36),R36*F36+T36*H36+V36*J36),0),ROUND(IF(D36="简单平均",AVERAGE(R36:V36),R36*F36+T36*H36+V36*J36),1))</f>
        <v>#DIV/0!</v>
      </c>
      <c r="S37" s="1457"/>
      <c r="T37" s="1457"/>
      <c r="U37" s="1457"/>
      <c r="V37" s="1457"/>
      <c r="W37" s="1457"/>
      <c r="X37" s="193"/>
      <c r="Y37" s="193"/>
      <c r="Z37" s="193"/>
      <c r="AA37" s="193"/>
      <c r="AB37" s="193"/>
      <c r="AC37" s="193"/>
    </row>
    <row r="38" spans="1:30">
      <c r="A38" s="145"/>
      <c r="B38" s="145"/>
      <c r="C38" s="145"/>
      <c r="D38" s="145"/>
      <c r="E38" s="145"/>
      <c r="F38" s="145"/>
      <c r="G38" s="146"/>
      <c r="H38" s="145"/>
      <c r="I38" s="145"/>
      <c r="J38" s="145"/>
      <c r="K38" s="240"/>
      <c r="L38" s="241"/>
      <c r="M38" s="145"/>
      <c r="N38" s="145"/>
      <c r="O38" s="145"/>
      <c r="P38" s="145"/>
      <c r="Q38" s="145"/>
      <c r="R38" s="145"/>
      <c r="S38" s="145"/>
      <c r="T38" s="145"/>
      <c r="U38" s="145"/>
      <c r="V38" s="145"/>
      <c r="W38" s="145"/>
      <c r="X38" s="145"/>
      <c r="Y38" s="145"/>
      <c r="Z38" s="145"/>
      <c r="AA38" s="145"/>
      <c r="AB38" s="145"/>
      <c r="AC38" s="145"/>
      <c r="AD38" s="145"/>
    </row>
    <row r="39" spans="1:30">
      <c r="A39" s="145"/>
      <c r="B39" s="145"/>
      <c r="C39" s="145"/>
      <c r="D39" s="145"/>
      <c r="E39" s="145"/>
      <c r="F39" s="145"/>
      <c r="G39" s="145"/>
      <c r="H39" s="145"/>
      <c r="I39" s="145"/>
      <c r="J39" s="145"/>
      <c r="K39" s="240"/>
      <c r="L39" s="241"/>
      <c r="M39" s="145"/>
      <c r="N39" s="145"/>
      <c r="O39" s="145"/>
      <c r="P39" s="145"/>
      <c r="Q39" s="145"/>
      <c r="R39" s="145"/>
      <c r="S39" s="145"/>
      <c r="T39" s="145"/>
      <c r="U39" s="145"/>
      <c r="V39" s="145"/>
      <c r="W39" s="145"/>
      <c r="X39" s="145"/>
      <c r="Y39" s="145"/>
      <c r="Z39" s="145"/>
      <c r="AA39" s="145"/>
      <c r="AB39" s="145"/>
      <c r="AC39" s="145"/>
      <c r="AD39" s="145"/>
    </row>
    <row r="40" ht="13.5" customHeight="1" spans="1:30">
      <c r="A40" s="145"/>
      <c r="B40" s="145"/>
      <c r="C40" s="147" t="s">
        <v>1476</v>
      </c>
      <c r="D40" s="148"/>
      <c r="E40" s="149" t="e">
        <f>IF(E35&lt;E36,E36/E35-1,E35/E36-1)</f>
        <v>#DIV/0!</v>
      </c>
      <c r="F40" s="150" t="e">
        <f>IF(OR(E40&gt;=0.3,E40&lt;=-0.3),"超过30%","")</f>
        <v>#DIV/0!</v>
      </c>
      <c r="G40" s="149" t="e">
        <f>IF(G35&lt;G36,G36/G35-1,G35/G36-1)</f>
        <v>#DIV/0!</v>
      </c>
      <c r="H40" s="150" t="e">
        <f>IF(OR(G40&gt;=0.3,G40&lt;=-0.3),"超过30%","")</f>
        <v>#DIV/0!</v>
      </c>
      <c r="I40" s="149" t="e">
        <f>IF(I35&lt;I36,I36/I35-1,I35/I36-1)</f>
        <v>#DIV/0!</v>
      </c>
      <c r="J40" s="150" t="e">
        <f>IF(OR(I40&gt;=0.3,I40&lt;=-0.3),"超过30%","")</f>
        <v>#DIV/0!</v>
      </c>
      <c r="K40" s="240"/>
      <c r="L40" s="241"/>
      <c r="M40" s="145"/>
      <c r="N40" s="145"/>
      <c r="O40" s="145"/>
      <c r="P40" s="145"/>
      <c r="Q40" s="145"/>
      <c r="R40" s="145"/>
      <c r="S40" s="145"/>
      <c r="T40" s="145"/>
      <c r="U40" s="145"/>
      <c r="V40" s="145"/>
      <c r="W40" s="145"/>
      <c r="X40" s="145"/>
      <c r="Y40" s="145"/>
      <c r="Z40" s="145"/>
      <c r="AA40" s="145"/>
      <c r="AB40" s="145"/>
      <c r="AC40" s="145"/>
      <c r="AD40" s="145"/>
    </row>
    <row r="41" ht="13.5" customHeight="1" spans="1:30">
      <c r="A41" s="145"/>
      <c r="B41" s="145"/>
      <c r="C41" s="147" t="s">
        <v>1477</v>
      </c>
      <c r="D41" s="151"/>
      <c r="E41" s="149" t="e">
        <f>IF(E36&lt;G36,G36/E36-1,E36/G36-1)</f>
        <v>#DIV/0!</v>
      </c>
      <c r="F41" s="150" t="e">
        <f>IF(OR(E41&gt;=0.2,E41&lt;=-0.2),"超过20%","")</f>
        <v>#DIV/0!</v>
      </c>
      <c r="G41" s="149" t="e">
        <f>IF(G36&lt;I36,I36/G36-1,G36/I36-1)</f>
        <v>#DIV/0!</v>
      </c>
      <c r="H41" s="150" t="e">
        <f>IF(OR(G41&gt;=0.2,G41&lt;=-0.2),"超过20%","")</f>
        <v>#DIV/0!</v>
      </c>
      <c r="I41" s="149" t="e">
        <f>IF(I36&lt;E36,E36/I36-1,I36/E36-1)</f>
        <v>#DIV/0!</v>
      </c>
      <c r="J41" s="150" t="e">
        <f>IF(OR(I41&gt;=0.2,I41&lt;=-0.2),"超过20%","")</f>
        <v>#DIV/0!</v>
      </c>
      <c r="K41" s="240"/>
      <c r="L41" s="241"/>
      <c r="M41" s="145"/>
      <c r="N41" s="145"/>
      <c r="O41" s="145"/>
      <c r="P41" s="145"/>
      <c r="Q41" s="145"/>
      <c r="R41" s="145"/>
      <c r="S41" s="145"/>
      <c r="T41" s="145"/>
      <c r="U41" s="145"/>
      <c r="V41" s="145"/>
      <c r="W41" s="145"/>
      <c r="X41" s="145"/>
      <c r="Y41" s="145"/>
      <c r="Z41" s="145"/>
      <c r="AA41" s="145"/>
      <c r="AB41" s="145"/>
      <c r="AC41" s="145"/>
      <c r="AD41" s="145"/>
    </row>
    <row r="42" s="18" customFormat="1" ht="13.5" customHeight="1" spans="1:30">
      <c r="A42" s="152"/>
      <c r="B42" s="152"/>
      <c r="C42" s="147" t="s">
        <v>1478</v>
      </c>
      <c r="D42" s="151"/>
      <c r="E42" s="149" t="e">
        <f>IF(E35&lt;G35,G35/E35-1,E35/G35-1)</f>
        <v>#DIV/0!</v>
      </c>
      <c r="F42" s="150" t="e">
        <f>IF(OR(E42&gt;=0.3,E42&lt;=-0.3),"超过30%","")</f>
        <v>#DIV/0!</v>
      </c>
      <c r="G42" s="149" t="e">
        <f>IF(G35&lt;I35,I35/G35-1,G35/I35-1)</f>
        <v>#DIV/0!</v>
      </c>
      <c r="H42" s="150" t="e">
        <f>IF(OR(G42&gt;=0.3,G42&lt;=-0.3),"超过30%","")</f>
        <v>#DIV/0!</v>
      </c>
      <c r="I42" s="149" t="e">
        <f>IF(I35&lt;E35,E35/I35-1,I35/E35-1)</f>
        <v>#DIV/0!</v>
      </c>
      <c r="J42" s="150" t="e">
        <f>IF(OR(I42&gt;=0.3,I42&lt;=-0.3),"超过30%","")</f>
        <v>#DIV/0!</v>
      </c>
      <c r="K42" s="242"/>
      <c r="L42" s="243"/>
      <c r="M42" s="152"/>
      <c r="N42" s="152"/>
      <c r="O42" s="152"/>
      <c r="P42" s="152"/>
      <c r="Q42" s="152"/>
      <c r="R42" s="152"/>
      <c r="S42" s="152"/>
      <c r="T42" s="152"/>
      <c r="U42" s="152"/>
      <c r="V42" s="152"/>
      <c r="W42" s="152"/>
      <c r="X42" s="152"/>
      <c r="Y42" s="152"/>
      <c r="Z42" s="152"/>
      <c r="AA42" s="152"/>
      <c r="AB42" s="152"/>
      <c r="AC42" s="152"/>
      <c r="AD42" s="152"/>
    </row>
    <row r="43" s="18" customFormat="1" spans="1:30">
      <c r="A43" s="152"/>
      <c r="B43" s="153"/>
      <c r="C43" s="1442"/>
      <c r="D43" s="152"/>
      <c r="E43" s="152"/>
      <c r="F43" s="152"/>
      <c r="G43" s="152"/>
      <c r="H43" s="152"/>
      <c r="I43" s="152"/>
      <c r="J43" s="152"/>
      <c r="K43" s="242"/>
      <c r="L43" s="243"/>
      <c r="M43" s="152"/>
      <c r="N43" s="152"/>
      <c r="O43" s="152"/>
      <c r="P43" s="152"/>
      <c r="Q43" s="152"/>
      <c r="R43" s="152"/>
      <c r="S43" s="152"/>
      <c r="T43" s="152"/>
      <c r="U43" s="152"/>
      <c r="V43" s="152"/>
      <c r="W43" s="152"/>
      <c r="X43" s="152"/>
      <c r="Y43" s="152"/>
      <c r="Z43" s="152"/>
      <c r="AA43" s="152"/>
      <c r="AB43" s="152"/>
      <c r="AC43" s="152"/>
      <c r="AD43" s="152"/>
    </row>
    <row r="44" spans="1:30">
      <c r="A44" s="145"/>
      <c r="B44" s="153"/>
      <c r="C44" s="1442"/>
      <c r="D44" s="145"/>
      <c r="E44" s="145"/>
      <c r="F44" s="145"/>
      <c r="G44" s="145"/>
      <c r="H44" s="145"/>
      <c r="I44" s="145"/>
      <c r="J44" s="145"/>
      <c r="K44" s="240"/>
      <c r="L44" s="241"/>
      <c r="M44" s="145"/>
      <c r="N44" s="145"/>
      <c r="O44" s="145"/>
      <c r="P44" s="145"/>
      <c r="Q44" s="145"/>
      <c r="R44" s="145"/>
      <c r="S44" s="145"/>
      <c r="T44" s="145"/>
      <c r="U44" s="145"/>
      <c r="V44" s="145"/>
      <c r="W44" s="145"/>
      <c r="X44" s="145"/>
      <c r="Y44" s="145"/>
      <c r="Z44" s="145"/>
      <c r="AA44" s="145"/>
      <c r="AB44" s="145"/>
      <c r="AC44" s="145"/>
      <c r="AD44" s="145"/>
    </row>
    <row r="45" ht="21.15" spans="1:30">
      <c r="A45" s="192" t="s">
        <v>1479</v>
      </c>
      <c r="B45" s="193"/>
      <c r="C45" s="194"/>
      <c r="D45" s="194"/>
      <c r="E45" s="194"/>
      <c r="F45" s="195"/>
      <c r="G45" s="195"/>
      <c r="H45" s="194"/>
      <c r="I45" s="194"/>
      <c r="J45" s="194"/>
      <c r="K45" s="251"/>
      <c r="L45" s="252"/>
      <c r="M45" s="194"/>
      <c r="N45" s="254"/>
      <c r="O45" s="254"/>
      <c r="P45" s="254"/>
      <c r="Q45" s="279"/>
      <c r="R45" s="145"/>
      <c r="S45" s="145"/>
      <c r="T45" s="145"/>
      <c r="U45" s="145"/>
      <c r="V45" s="145"/>
      <c r="W45" s="145"/>
      <c r="X45" s="145"/>
      <c r="Y45" s="145"/>
      <c r="Z45" s="145"/>
      <c r="AA45" s="145"/>
      <c r="AB45" s="145"/>
      <c r="AC45" s="145"/>
      <c r="AD45" s="145"/>
    </row>
    <row r="46" s="20" customFormat="1" ht="14.4" spans="1:30">
      <c r="A46" s="1443" t="s">
        <v>1438</v>
      </c>
      <c r="B46" s="1444"/>
      <c r="C46" s="1445" t="str">
        <f>YEAR(C7)&amp;"-"&amp;MONTH(C7)</f>
        <v>2022-8</v>
      </c>
      <c r="D46" s="1446">
        <f>EDATE(C46,-1)</f>
        <v>44743</v>
      </c>
      <c r="E46" s="1446">
        <f t="shared" ref="E46:O46" si="16">EDATE(D46,-1)</f>
        <v>44713</v>
      </c>
      <c r="F46" s="1446">
        <f t="shared" si="16"/>
        <v>44682</v>
      </c>
      <c r="G46" s="1446">
        <f t="shared" si="16"/>
        <v>44652</v>
      </c>
      <c r="H46" s="1446">
        <f t="shared" si="16"/>
        <v>44621</v>
      </c>
      <c r="I46" s="1446">
        <f t="shared" si="16"/>
        <v>44593</v>
      </c>
      <c r="J46" s="1446">
        <f t="shared" si="16"/>
        <v>44562</v>
      </c>
      <c r="K46" s="1446">
        <f t="shared" si="16"/>
        <v>44531</v>
      </c>
      <c r="L46" s="1446">
        <f t="shared" si="16"/>
        <v>44501</v>
      </c>
      <c r="M46" s="1446">
        <f t="shared" si="16"/>
        <v>44470</v>
      </c>
      <c r="N46" s="1446">
        <f t="shared" si="16"/>
        <v>44440</v>
      </c>
      <c r="O46" s="1446">
        <f t="shared" si="16"/>
        <v>44409</v>
      </c>
      <c r="P46" s="347"/>
      <c r="Q46" s="401"/>
      <c r="R46" s="401"/>
      <c r="S46" s="401"/>
      <c r="T46" s="401"/>
      <c r="U46" s="401"/>
      <c r="V46" s="401"/>
      <c r="W46" s="401"/>
      <c r="X46" s="401"/>
      <c r="Y46" s="401"/>
      <c r="Z46" s="401"/>
      <c r="AA46" s="401"/>
      <c r="AB46" s="401"/>
      <c r="AC46" s="401"/>
      <c r="AD46" s="401"/>
    </row>
    <row r="47" s="15" customFormat="1" spans="1:30">
      <c r="A47" s="1447"/>
      <c r="B47" s="302"/>
      <c r="C47" s="1448">
        <v>100</v>
      </c>
      <c r="D47" s="306"/>
      <c r="E47" s="306"/>
      <c r="F47" s="306"/>
      <c r="G47" s="306"/>
      <c r="H47" s="306"/>
      <c r="I47" s="306"/>
      <c r="J47" s="306"/>
      <c r="K47" s="306"/>
      <c r="L47" s="306"/>
      <c r="M47" s="1455"/>
      <c r="N47" s="306"/>
      <c r="O47" s="354"/>
      <c r="P47" s="279"/>
      <c r="Q47" s="402"/>
      <c r="R47" s="402"/>
      <c r="S47" s="402"/>
      <c r="T47" s="402"/>
      <c r="U47" s="402"/>
      <c r="V47" s="402"/>
      <c r="W47" s="402"/>
      <c r="X47" s="402"/>
      <c r="Y47" s="402"/>
      <c r="Z47" s="402"/>
      <c r="AA47" s="402"/>
      <c r="AB47" s="402"/>
      <c r="AC47" s="402"/>
      <c r="AD47" s="402"/>
    </row>
    <row r="48" s="15" customFormat="1" ht="15.15" spans="1:30">
      <c r="A48" s="297" t="s">
        <v>1480</v>
      </c>
      <c r="B48" s="298"/>
      <c r="C48" s="299"/>
      <c r="D48" s="300"/>
      <c r="E48" s="300"/>
      <c r="F48" s="300"/>
      <c r="G48" s="300"/>
      <c r="H48" s="300"/>
      <c r="I48" s="300"/>
      <c r="J48" s="300"/>
      <c r="K48" s="300"/>
      <c r="L48" s="300"/>
      <c r="M48" s="348"/>
      <c r="N48" s="300"/>
      <c r="O48" s="349"/>
      <c r="P48" s="279"/>
      <c r="Q48" s="279"/>
      <c r="R48" s="402"/>
      <c r="S48" s="402"/>
      <c r="T48" s="402"/>
      <c r="U48" s="402"/>
      <c r="V48" s="402"/>
      <c r="W48" s="402"/>
      <c r="X48" s="402"/>
      <c r="Y48" s="402"/>
      <c r="Z48" s="402"/>
      <c r="AA48" s="402"/>
      <c r="AB48" s="402"/>
      <c r="AC48" s="402"/>
      <c r="AD48" s="402"/>
    </row>
    <row r="49" s="15" customFormat="1" ht="14.4" spans="1:30">
      <c r="A49" s="301" t="s">
        <v>1441</v>
      </c>
      <c r="B49" s="302"/>
      <c r="C49" s="303" t="s">
        <v>1442</v>
      </c>
      <c r="D49" s="304"/>
      <c r="E49" s="304"/>
      <c r="F49" s="304"/>
      <c r="G49" s="304"/>
      <c r="H49" s="304"/>
      <c r="I49" s="304"/>
      <c r="J49" s="304"/>
      <c r="K49" s="304"/>
      <c r="L49" s="350"/>
      <c r="M49" s="351"/>
      <c r="N49" s="352"/>
      <c r="O49" s="352"/>
      <c r="P49" s="353"/>
      <c r="Q49" s="279"/>
      <c r="R49" s="402"/>
      <c r="S49" s="402"/>
      <c r="T49" s="402"/>
      <c r="U49" s="402"/>
      <c r="V49" s="402"/>
      <c r="W49" s="402"/>
      <c r="X49" s="402"/>
      <c r="Y49" s="402"/>
      <c r="Z49" s="402"/>
      <c r="AA49" s="402"/>
      <c r="AB49" s="402"/>
      <c r="AC49" s="402"/>
      <c r="AD49" s="402"/>
    </row>
    <row r="50" s="15" customFormat="1" ht="14.55" spans="1:30">
      <c r="A50" s="301"/>
      <c r="B50" s="302"/>
      <c r="C50" s="305">
        <v>100</v>
      </c>
      <c r="D50" s="306"/>
      <c r="E50" s="306"/>
      <c r="F50" s="306"/>
      <c r="G50" s="306"/>
      <c r="H50" s="306"/>
      <c r="I50" s="306"/>
      <c r="J50" s="306"/>
      <c r="K50" s="306"/>
      <c r="L50" s="306"/>
      <c r="M50" s="354"/>
      <c r="N50" s="352"/>
      <c r="O50" s="352"/>
      <c r="P50" s="279"/>
      <c r="Q50" s="279"/>
      <c r="R50" s="402"/>
      <c r="S50" s="402"/>
      <c r="T50" s="402"/>
      <c r="U50" s="402"/>
      <c r="V50" s="402"/>
      <c r="W50" s="402"/>
      <c r="X50" s="402"/>
      <c r="Y50" s="402"/>
      <c r="Z50" s="402"/>
      <c r="AA50" s="402"/>
      <c r="AB50" s="402"/>
      <c r="AC50" s="402"/>
      <c r="AD50" s="402"/>
    </row>
    <row r="51" ht="14.4" spans="1:30">
      <c r="A51" s="307" t="s">
        <v>1481</v>
      </c>
      <c r="B51" s="308" t="s">
        <v>1445</v>
      </c>
      <c r="C51" s="330">
        <f>C9</f>
        <v>0</v>
      </c>
      <c r="D51" s="233"/>
      <c r="E51" s="233"/>
      <c r="F51" s="233"/>
      <c r="G51" s="233"/>
      <c r="H51" s="233"/>
      <c r="I51" s="233"/>
      <c r="J51" s="233"/>
      <c r="K51" s="355"/>
      <c r="L51" s="356"/>
      <c r="M51" s="357"/>
      <c r="N51" s="358"/>
      <c r="O51" s="358"/>
      <c r="P51" s="359"/>
      <c r="Q51" s="279"/>
      <c r="R51" s="145"/>
      <c r="S51" s="145"/>
      <c r="T51" s="145"/>
      <c r="U51" s="145"/>
      <c r="V51" s="145"/>
      <c r="W51" s="145"/>
      <c r="X51" s="145"/>
      <c r="Y51" s="145"/>
      <c r="Z51" s="145"/>
      <c r="AA51" s="145"/>
      <c r="AB51" s="145"/>
      <c r="AC51" s="145"/>
      <c r="AD51" s="145"/>
    </row>
    <row r="52" ht="14.55" spans="1:30">
      <c r="A52" s="309"/>
      <c r="B52" s="310"/>
      <c r="C52" s="311">
        <v>100</v>
      </c>
      <c r="D52" s="311"/>
      <c r="E52" s="311"/>
      <c r="F52" s="311"/>
      <c r="G52" s="311"/>
      <c r="H52" s="311"/>
      <c r="I52" s="311"/>
      <c r="J52" s="311"/>
      <c r="K52" s="311"/>
      <c r="L52" s="311"/>
      <c r="M52" s="360"/>
      <c r="N52" s="361"/>
      <c r="O52" s="361"/>
      <c r="P52" s="359"/>
      <c r="Q52" s="279"/>
      <c r="R52" s="145"/>
      <c r="S52" s="145"/>
      <c r="T52" s="145"/>
      <c r="U52" s="145"/>
      <c r="V52" s="145"/>
      <c r="W52" s="145"/>
      <c r="X52" s="145"/>
      <c r="Y52" s="145"/>
      <c r="Z52" s="145"/>
      <c r="AA52" s="145"/>
      <c r="AB52" s="145"/>
      <c r="AC52" s="145"/>
      <c r="AD52" s="145"/>
    </row>
    <row r="53" ht="29.55" spans="1:30">
      <c r="A53" s="309"/>
      <c r="B53" s="312" t="s">
        <v>1448</v>
      </c>
      <c r="C53" s="313" t="s">
        <v>1482</v>
      </c>
      <c r="D53" s="313" t="s">
        <v>1483</v>
      </c>
      <c r="E53" s="313" t="s">
        <v>1484</v>
      </c>
      <c r="F53" s="313" t="s">
        <v>1485</v>
      </c>
      <c r="G53" s="313" t="s">
        <v>1486</v>
      </c>
      <c r="H53" s="313" t="s">
        <v>1487</v>
      </c>
      <c r="I53" s="313" t="s">
        <v>1488</v>
      </c>
      <c r="J53" s="313"/>
      <c r="K53" s="362"/>
      <c r="L53" s="363"/>
      <c r="M53" s="364"/>
      <c r="N53" s="358"/>
      <c r="O53" s="358"/>
      <c r="P53" s="359"/>
      <c r="Q53" s="279"/>
      <c r="R53" s="145"/>
      <c r="S53" s="145"/>
      <c r="T53" s="145"/>
      <c r="U53" s="145"/>
      <c r="V53" s="145"/>
      <c r="W53" s="145"/>
      <c r="X53" s="145"/>
      <c r="Y53" s="145"/>
      <c r="Z53" s="145"/>
      <c r="AA53" s="145"/>
      <c r="AB53" s="145"/>
      <c r="AC53" s="145"/>
      <c r="AD53" s="145"/>
    </row>
    <row r="54" ht="14.55" spans="1:30">
      <c r="A54" s="309"/>
      <c r="B54" s="314"/>
      <c r="C54" s="315" t="s">
        <v>1530</v>
      </c>
      <c r="D54" s="315" t="s">
        <v>1530</v>
      </c>
      <c r="E54" s="315">
        <v>100</v>
      </c>
      <c r="F54" s="315">
        <f>E54-$K10</f>
        <v>100</v>
      </c>
      <c r="G54" s="315">
        <f>F54-$K10</f>
        <v>100</v>
      </c>
      <c r="H54" s="315">
        <f>G54-$K10</f>
        <v>100</v>
      </c>
      <c r="I54" s="315">
        <f>H54-$K10</f>
        <v>100</v>
      </c>
      <c r="J54" s="315"/>
      <c r="K54" s="315"/>
      <c r="L54" s="315"/>
      <c r="M54" s="365"/>
      <c r="N54" s="361"/>
      <c r="O54" s="361"/>
      <c r="P54" s="359"/>
      <c r="Q54" s="279"/>
      <c r="R54" s="145"/>
      <c r="S54" s="145"/>
      <c r="T54" s="145"/>
      <c r="U54" s="145"/>
      <c r="V54" s="145"/>
      <c r="W54" s="145"/>
      <c r="X54" s="145"/>
      <c r="Y54" s="145"/>
      <c r="Z54" s="145"/>
      <c r="AA54" s="145"/>
      <c r="AB54" s="145"/>
      <c r="AC54" s="145"/>
      <c r="AD54" s="145"/>
    </row>
    <row r="55" ht="14.55" spans="1:30">
      <c r="A55" s="309"/>
      <c r="B55" s="336">
        <f>B11</f>
        <v>111</v>
      </c>
      <c r="C55" s="76"/>
      <c r="D55" s="76"/>
      <c r="E55" s="76"/>
      <c r="F55" s="76"/>
      <c r="G55" s="76"/>
      <c r="H55" s="76"/>
      <c r="I55" s="76"/>
      <c r="J55" s="76"/>
      <c r="K55" s="366"/>
      <c r="L55" s="367"/>
      <c r="M55" s="368"/>
      <c r="N55" s="358"/>
      <c r="O55" s="358"/>
      <c r="P55" s="359"/>
      <c r="Q55" s="279"/>
      <c r="R55" s="145"/>
      <c r="S55" s="145"/>
      <c r="T55" s="145"/>
      <c r="U55" s="145"/>
      <c r="V55" s="145"/>
      <c r="W55" s="145"/>
      <c r="X55" s="145"/>
      <c r="Y55" s="145"/>
      <c r="Z55" s="145"/>
      <c r="AA55" s="145"/>
      <c r="AB55" s="145"/>
      <c r="AC55" s="145"/>
      <c r="AD55" s="145"/>
    </row>
    <row r="56" ht="14.55" spans="1:30">
      <c r="A56" s="309"/>
      <c r="B56" s="310"/>
      <c r="C56" s="322"/>
      <c r="D56" s="311"/>
      <c r="E56" s="311"/>
      <c r="F56" s="311"/>
      <c r="G56" s="311"/>
      <c r="H56" s="311"/>
      <c r="I56" s="311"/>
      <c r="J56" s="311"/>
      <c r="K56" s="311"/>
      <c r="L56" s="311"/>
      <c r="M56" s="360"/>
      <c r="N56" s="361"/>
      <c r="O56" s="361"/>
      <c r="P56" s="359"/>
      <c r="Q56" s="279"/>
      <c r="R56" s="145"/>
      <c r="S56" s="145"/>
      <c r="T56" s="145"/>
      <c r="U56" s="145"/>
      <c r="V56" s="145"/>
      <c r="W56" s="145"/>
      <c r="X56" s="145"/>
      <c r="Y56" s="145"/>
      <c r="Z56" s="145"/>
      <c r="AA56" s="145"/>
      <c r="AB56" s="145"/>
      <c r="AC56" s="145"/>
      <c r="AD56" s="145"/>
    </row>
    <row r="57" s="17" customFormat="1" ht="14.55" spans="1:30">
      <c r="A57" s="319"/>
      <c r="B57" s="312">
        <f>B12</f>
        <v>111</v>
      </c>
      <c r="C57" s="76"/>
      <c r="D57" s="76"/>
      <c r="E57" s="76"/>
      <c r="F57" s="76"/>
      <c r="G57" s="320"/>
      <c r="H57" s="321"/>
      <c r="I57" s="321"/>
      <c r="J57" s="321"/>
      <c r="K57" s="321"/>
      <c r="L57" s="369"/>
      <c r="M57" s="370"/>
      <c r="N57" s="371"/>
      <c r="O57" s="371"/>
      <c r="P57" s="372"/>
      <c r="Q57" s="403"/>
      <c r="R57" s="404"/>
      <c r="S57" s="404"/>
      <c r="T57" s="404"/>
      <c r="U57" s="404"/>
      <c r="V57" s="404"/>
      <c r="W57" s="404"/>
      <c r="X57" s="404"/>
      <c r="Y57" s="404"/>
      <c r="Z57" s="404"/>
      <c r="AA57" s="404"/>
      <c r="AB57" s="404"/>
      <c r="AC57" s="404"/>
      <c r="AD57" s="404"/>
    </row>
    <row r="58" s="17" customFormat="1" ht="14.55" spans="1:30">
      <c r="A58" s="319"/>
      <c r="B58" s="314"/>
      <c r="C58" s="322"/>
      <c r="D58" s="311"/>
      <c r="E58" s="311"/>
      <c r="F58" s="311"/>
      <c r="G58" s="311"/>
      <c r="H58" s="311"/>
      <c r="I58" s="311"/>
      <c r="J58" s="311"/>
      <c r="K58" s="311"/>
      <c r="L58" s="311"/>
      <c r="M58" s="360"/>
      <c r="N58" s="361"/>
      <c r="O58" s="361"/>
      <c r="P58" s="372"/>
      <c r="Q58" s="403"/>
      <c r="R58" s="404"/>
      <c r="S58" s="404"/>
      <c r="T58" s="404"/>
      <c r="U58" s="404"/>
      <c r="V58" s="404"/>
      <c r="W58" s="404"/>
      <c r="X58" s="404"/>
      <c r="Y58" s="404"/>
      <c r="Z58" s="404"/>
      <c r="AA58" s="404"/>
      <c r="AB58" s="404"/>
      <c r="AC58" s="404"/>
      <c r="AD58" s="404"/>
    </row>
    <row r="59" s="17" customFormat="1" ht="14.55" spans="1:30">
      <c r="A59" s="319"/>
      <c r="B59" s="312">
        <f>B13</f>
        <v>111</v>
      </c>
      <c r="C59" s="76"/>
      <c r="D59" s="76"/>
      <c r="E59" s="76"/>
      <c r="F59" s="76"/>
      <c r="G59" s="320"/>
      <c r="H59" s="321"/>
      <c r="I59" s="321"/>
      <c r="J59" s="321"/>
      <c r="K59" s="321"/>
      <c r="L59" s="369"/>
      <c r="M59" s="370"/>
      <c r="N59" s="371"/>
      <c r="O59" s="371"/>
      <c r="P59" s="230"/>
      <c r="Q59" s="405"/>
      <c r="R59" s="404"/>
      <c r="S59" s="404"/>
      <c r="T59" s="404"/>
      <c r="U59" s="404"/>
      <c r="V59" s="404"/>
      <c r="W59" s="404"/>
      <c r="X59" s="404"/>
      <c r="Y59" s="404"/>
      <c r="Z59" s="404"/>
      <c r="AA59" s="404"/>
      <c r="AB59" s="404"/>
      <c r="AC59" s="404"/>
      <c r="AD59" s="404"/>
    </row>
    <row r="60" s="17" customFormat="1" ht="14.55" spans="1:30">
      <c r="A60" s="319"/>
      <c r="B60" s="314"/>
      <c r="C60" s="322"/>
      <c r="D60" s="322"/>
      <c r="E60" s="322"/>
      <c r="F60" s="322"/>
      <c r="G60" s="322"/>
      <c r="H60" s="323"/>
      <c r="I60" s="323"/>
      <c r="J60" s="323"/>
      <c r="K60" s="323"/>
      <c r="L60" s="323"/>
      <c r="M60" s="373"/>
      <c r="N60" s="371"/>
      <c r="O60" s="371"/>
      <c r="P60" s="372"/>
      <c r="Q60" s="403"/>
      <c r="R60" s="404"/>
      <c r="S60" s="404"/>
      <c r="T60" s="404"/>
      <c r="U60" s="404"/>
      <c r="V60" s="404"/>
      <c r="W60" s="404"/>
      <c r="X60" s="404"/>
      <c r="Y60" s="404"/>
      <c r="Z60" s="404"/>
      <c r="AA60" s="404"/>
      <c r="AB60" s="404"/>
      <c r="AC60" s="404"/>
      <c r="AD60" s="404"/>
    </row>
    <row r="61" ht="15.15" spans="1:30">
      <c r="A61" s="307" t="s">
        <v>1450</v>
      </c>
      <c r="B61" s="308" t="s">
        <v>1453</v>
      </c>
      <c r="C61" s="329" t="s">
        <v>1489</v>
      </c>
      <c r="D61" s="329" t="s">
        <v>1490</v>
      </c>
      <c r="E61" s="329" t="s">
        <v>1491</v>
      </c>
      <c r="F61" s="329" t="s">
        <v>1492</v>
      </c>
      <c r="G61" s="329" t="s">
        <v>1493</v>
      </c>
      <c r="H61" s="330"/>
      <c r="I61" s="330"/>
      <c r="J61" s="330"/>
      <c r="K61" s="378"/>
      <c r="L61" s="379"/>
      <c r="M61" s="380"/>
      <c r="N61" s="358"/>
      <c r="O61" s="358"/>
      <c r="P61" s="381"/>
      <c r="Q61" s="279"/>
      <c r="R61" s="145"/>
      <c r="S61" s="145"/>
      <c r="T61" s="145"/>
      <c r="U61" s="145"/>
      <c r="V61" s="145"/>
      <c r="W61" s="145"/>
      <c r="X61" s="145"/>
      <c r="Y61" s="145"/>
      <c r="Z61" s="145"/>
      <c r="AA61" s="145"/>
      <c r="AB61" s="145"/>
      <c r="AC61" s="145"/>
      <c r="AD61" s="145"/>
    </row>
    <row r="62" ht="14.55" spans="1:30">
      <c r="A62" s="309"/>
      <c r="B62" s="314"/>
      <c r="C62" s="315">
        <v>100</v>
      </c>
      <c r="D62" s="315">
        <f>C62-$K14</f>
        <v>100</v>
      </c>
      <c r="E62" s="315">
        <f>D62-$K14</f>
        <v>100</v>
      </c>
      <c r="F62" s="315">
        <f>E62-$K14</f>
        <v>100</v>
      </c>
      <c r="G62" s="315">
        <f>F62-$K14</f>
        <v>100</v>
      </c>
      <c r="H62" s="315"/>
      <c r="I62" s="315"/>
      <c r="J62" s="315"/>
      <c r="K62" s="315"/>
      <c r="L62" s="315"/>
      <c r="M62" s="365"/>
      <c r="N62" s="361"/>
      <c r="O62" s="361"/>
      <c r="P62" s="359"/>
      <c r="Q62" s="279"/>
      <c r="R62" s="145"/>
      <c r="S62" s="145"/>
      <c r="T62" s="145"/>
      <c r="U62" s="145"/>
      <c r="V62" s="145"/>
      <c r="W62" s="145"/>
      <c r="X62" s="145"/>
      <c r="Y62" s="145"/>
      <c r="Z62" s="145"/>
      <c r="AA62" s="145"/>
      <c r="AB62" s="145"/>
      <c r="AC62" s="145"/>
      <c r="AD62" s="145"/>
    </row>
    <row r="63" ht="29.55" spans="1:30">
      <c r="A63" s="309"/>
      <c r="B63" s="312" t="s">
        <v>1558</v>
      </c>
      <c r="C63" s="331" t="s">
        <v>1489</v>
      </c>
      <c r="D63" s="331" t="s">
        <v>1490</v>
      </c>
      <c r="E63" s="331" t="s">
        <v>1491</v>
      </c>
      <c r="F63" s="331" t="s">
        <v>1492</v>
      </c>
      <c r="G63" s="331" t="s">
        <v>1493</v>
      </c>
      <c r="H63" s="313"/>
      <c r="I63" s="313"/>
      <c r="J63" s="313"/>
      <c r="K63" s="362"/>
      <c r="L63" s="363"/>
      <c r="M63" s="364"/>
      <c r="N63" s="358"/>
      <c r="O63" s="358"/>
      <c r="P63" s="359"/>
      <c r="Q63" s="279"/>
      <c r="R63" s="145"/>
      <c r="S63" s="145"/>
      <c r="T63" s="145"/>
      <c r="U63" s="145"/>
      <c r="V63" s="145"/>
      <c r="W63" s="145"/>
      <c r="X63" s="145"/>
      <c r="Y63" s="145"/>
      <c r="Z63" s="145"/>
      <c r="AA63" s="145"/>
      <c r="AB63" s="145"/>
      <c r="AC63" s="145"/>
      <c r="AD63" s="145"/>
    </row>
    <row r="64" ht="14.55" spans="1:30">
      <c r="A64" s="309"/>
      <c r="B64" s="314"/>
      <c r="C64" s="315">
        <v>100</v>
      </c>
      <c r="D64" s="315">
        <f>C64-$K16</f>
        <v>100</v>
      </c>
      <c r="E64" s="315">
        <f>D64-$K16</f>
        <v>100</v>
      </c>
      <c r="F64" s="315">
        <f>E64-$K16</f>
        <v>100</v>
      </c>
      <c r="G64" s="315">
        <f>F64-$K16</f>
        <v>100</v>
      </c>
      <c r="H64" s="315"/>
      <c r="I64" s="315"/>
      <c r="J64" s="315"/>
      <c r="K64" s="315"/>
      <c r="L64" s="315"/>
      <c r="M64" s="365"/>
      <c r="N64" s="361"/>
      <c r="O64" s="361"/>
      <c r="P64" s="359"/>
      <c r="Q64" s="279"/>
      <c r="R64" s="145"/>
      <c r="S64" s="145"/>
      <c r="T64" s="145"/>
      <c r="U64" s="145"/>
      <c r="V64" s="145"/>
      <c r="W64" s="145"/>
      <c r="X64" s="145"/>
      <c r="Y64" s="145"/>
      <c r="Z64" s="145"/>
      <c r="AA64" s="145"/>
      <c r="AB64" s="145"/>
      <c r="AC64" s="145"/>
      <c r="AD64" s="145"/>
    </row>
    <row r="65" ht="15.15" spans="1:30">
      <c r="A65" s="309"/>
      <c r="B65" s="316" t="s">
        <v>1455</v>
      </c>
      <c r="C65" s="336" t="s">
        <v>1494</v>
      </c>
      <c r="D65" s="336" t="s">
        <v>1495</v>
      </c>
      <c r="E65" s="336" t="s">
        <v>1496</v>
      </c>
      <c r="F65" s="336" t="s">
        <v>1497</v>
      </c>
      <c r="G65" s="336" t="s">
        <v>1498</v>
      </c>
      <c r="H65" s="313"/>
      <c r="I65" s="313"/>
      <c r="J65" s="313"/>
      <c r="K65" s="313"/>
      <c r="L65" s="313"/>
      <c r="M65" s="1461"/>
      <c r="N65" s="361"/>
      <c r="O65" s="361"/>
      <c r="P65" s="359"/>
      <c r="Q65" s="279"/>
      <c r="R65" s="145"/>
      <c r="S65" s="145"/>
      <c r="T65" s="145"/>
      <c r="U65" s="145"/>
      <c r="V65" s="145"/>
      <c r="W65" s="145"/>
      <c r="X65" s="145"/>
      <c r="Y65" s="145"/>
      <c r="Z65" s="145"/>
      <c r="AA65" s="145"/>
      <c r="AB65" s="145"/>
      <c r="AC65" s="145"/>
      <c r="AD65" s="145"/>
    </row>
    <row r="66" ht="14.55" spans="1:30">
      <c r="A66" s="309"/>
      <c r="B66" s="316"/>
      <c r="C66" s="315">
        <v>100</v>
      </c>
      <c r="D66" s="315">
        <f>C66-$K18</f>
        <v>100</v>
      </c>
      <c r="E66" s="315">
        <f>D66-$K18</f>
        <v>100</v>
      </c>
      <c r="F66" s="315">
        <f>E66-$K18</f>
        <v>100</v>
      </c>
      <c r="G66" s="315">
        <f>F66-$K18</f>
        <v>100</v>
      </c>
      <c r="H66" s="336"/>
      <c r="I66" s="336"/>
      <c r="J66" s="336"/>
      <c r="K66" s="336"/>
      <c r="L66" s="336"/>
      <c r="M66" s="93"/>
      <c r="N66" s="361"/>
      <c r="O66" s="361"/>
      <c r="P66" s="359"/>
      <c r="Q66" s="279"/>
      <c r="R66" s="145"/>
      <c r="S66" s="145"/>
      <c r="T66" s="145"/>
      <c r="U66" s="145"/>
      <c r="V66" s="145"/>
      <c r="W66" s="145"/>
      <c r="X66" s="145"/>
      <c r="Y66" s="145"/>
      <c r="Z66" s="145"/>
      <c r="AA66" s="145"/>
      <c r="AB66" s="145"/>
      <c r="AC66" s="145"/>
      <c r="AD66" s="145"/>
    </row>
    <row r="67" ht="15.15" spans="1:30">
      <c r="A67" s="309"/>
      <c r="B67" s="312" t="s">
        <v>1456</v>
      </c>
      <c r="C67" s="331" t="s">
        <v>1489</v>
      </c>
      <c r="D67" s="331" t="s">
        <v>1490</v>
      </c>
      <c r="E67" s="331" t="s">
        <v>1491</v>
      </c>
      <c r="F67" s="331" t="s">
        <v>1492</v>
      </c>
      <c r="G67" s="331" t="s">
        <v>1493</v>
      </c>
      <c r="H67" s="313"/>
      <c r="I67" s="313"/>
      <c r="J67" s="313"/>
      <c r="K67" s="362"/>
      <c r="L67" s="363"/>
      <c r="M67" s="364"/>
      <c r="N67" s="358"/>
      <c r="O67" s="358"/>
      <c r="P67" s="359"/>
      <c r="Q67" s="279"/>
      <c r="R67" s="145"/>
      <c r="S67" s="145"/>
      <c r="T67" s="145"/>
      <c r="U67" s="145"/>
      <c r="V67" s="145"/>
      <c r="W67" s="145"/>
      <c r="X67" s="145"/>
      <c r="Y67" s="145"/>
      <c r="Z67" s="145"/>
      <c r="AA67" s="145"/>
      <c r="AB67" s="145"/>
      <c r="AC67" s="145"/>
      <c r="AD67" s="145"/>
    </row>
    <row r="68" ht="14.55" spans="1:30">
      <c r="A68" s="309"/>
      <c r="B68" s="314"/>
      <c r="C68" s="315">
        <v>100</v>
      </c>
      <c r="D68" s="315">
        <f>C68-$K20</f>
        <v>100</v>
      </c>
      <c r="E68" s="315">
        <f>D68-$K20</f>
        <v>100</v>
      </c>
      <c r="F68" s="315">
        <f>E68-$K20</f>
        <v>100</v>
      </c>
      <c r="G68" s="315">
        <f>F68-$K20</f>
        <v>100</v>
      </c>
      <c r="H68" s="315"/>
      <c r="I68" s="315"/>
      <c r="J68" s="315"/>
      <c r="K68" s="315"/>
      <c r="L68" s="315"/>
      <c r="M68" s="365"/>
      <c r="N68" s="361"/>
      <c r="O68" s="361"/>
      <c r="P68" s="359"/>
      <c r="Q68" s="279"/>
      <c r="R68" s="145"/>
      <c r="S68" s="145"/>
      <c r="T68" s="145"/>
      <c r="U68" s="145"/>
      <c r="V68" s="145"/>
      <c r="W68" s="145"/>
      <c r="X68" s="145"/>
      <c r="Y68" s="145"/>
      <c r="Z68" s="145"/>
      <c r="AA68" s="145"/>
      <c r="AB68" s="145"/>
      <c r="AC68" s="145"/>
      <c r="AD68" s="145"/>
    </row>
    <row r="69" ht="15.15" spans="1:30">
      <c r="A69" s="309"/>
      <c r="B69" s="312" t="s">
        <v>1524</v>
      </c>
      <c r="C69" s="320"/>
      <c r="D69" s="320"/>
      <c r="E69" s="320"/>
      <c r="F69" s="320"/>
      <c r="G69" s="320"/>
      <c r="H69" s="337"/>
      <c r="I69" s="337"/>
      <c r="J69" s="337"/>
      <c r="K69" s="388"/>
      <c r="L69" s="389"/>
      <c r="M69" s="390"/>
      <c r="N69" s="358"/>
      <c r="O69" s="358"/>
      <c r="P69" s="359"/>
      <c r="Q69" s="279"/>
      <c r="R69" s="145"/>
      <c r="S69" s="145"/>
      <c r="T69" s="145"/>
      <c r="U69" s="145"/>
      <c r="V69" s="145"/>
      <c r="W69" s="145"/>
      <c r="X69" s="145"/>
      <c r="Y69" s="145"/>
      <c r="Z69" s="145"/>
      <c r="AA69" s="145"/>
      <c r="AB69" s="145"/>
      <c r="AC69" s="145"/>
      <c r="AD69" s="145"/>
    </row>
    <row r="70" ht="14.55" spans="1:30">
      <c r="A70" s="309"/>
      <c r="B70" s="314"/>
      <c r="C70" s="315">
        <v>100</v>
      </c>
      <c r="D70" s="315">
        <f>C70-$K22</f>
        <v>100</v>
      </c>
      <c r="E70" s="315"/>
      <c r="F70" s="315"/>
      <c r="G70" s="315"/>
      <c r="H70" s="315"/>
      <c r="I70" s="315"/>
      <c r="J70" s="315"/>
      <c r="K70" s="315"/>
      <c r="L70" s="315"/>
      <c r="M70" s="365"/>
      <c r="N70" s="361"/>
      <c r="O70" s="361"/>
      <c r="P70" s="359"/>
      <c r="Q70" s="279"/>
      <c r="R70" s="145"/>
      <c r="S70" s="145"/>
      <c r="T70" s="145"/>
      <c r="U70" s="145"/>
      <c r="V70" s="145"/>
      <c r="W70" s="145"/>
      <c r="X70" s="145"/>
      <c r="Y70" s="145"/>
      <c r="Z70" s="145"/>
      <c r="AA70" s="145"/>
      <c r="AB70" s="145"/>
      <c r="AC70" s="145"/>
      <c r="AD70" s="145"/>
    </row>
    <row r="71" s="15" customFormat="1" ht="14.55" spans="1:30">
      <c r="A71" s="332"/>
      <c r="B71" s="312">
        <f>B23</f>
        <v>111</v>
      </c>
      <c r="C71" s="76"/>
      <c r="D71" s="76"/>
      <c r="E71" s="76"/>
      <c r="F71" s="76"/>
      <c r="G71" s="320"/>
      <c r="H71" s="320"/>
      <c r="I71" s="320"/>
      <c r="J71" s="320"/>
      <c r="K71" s="320"/>
      <c r="L71" s="1462"/>
      <c r="M71" s="1463"/>
      <c r="N71" s="352"/>
      <c r="O71" s="352"/>
      <c r="P71" s="359"/>
      <c r="Q71" s="279"/>
      <c r="R71" s="402"/>
      <c r="S71" s="402"/>
      <c r="T71" s="402"/>
      <c r="U71" s="402"/>
      <c r="V71" s="402"/>
      <c r="W71" s="402"/>
      <c r="X71" s="402"/>
      <c r="Y71" s="402"/>
      <c r="Z71" s="402"/>
      <c r="AA71" s="402"/>
      <c r="AB71" s="402"/>
      <c r="AC71" s="402"/>
      <c r="AD71" s="402"/>
    </row>
    <row r="72" s="15" customFormat="1" ht="14.55" spans="1:30">
      <c r="A72" s="332"/>
      <c r="B72" s="314"/>
      <c r="C72" s="322"/>
      <c r="D72" s="311"/>
      <c r="E72" s="311"/>
      <c r="F72" s="311"/>
      <c r="G72" s="311"/>
      <c r="H72" s="311"/>
      <c r="I72" s="311"/>
      <c r="J72" s="311"/>
      <c r="K72" s="311"/>
      <c r="L72" s="311"/>
      <c r="M72" s="360"/>
      <c r="N72" s="361"/>
      <c r="O72" s="361"/>
      <c r="P72" s="359"/>
      <c r="Q72" s="279"/>
      <c r="R72" s="402"/>
      <c r="S72" s="402"/>
      <c r="T72" s="402"/>
      <c r="U72" s="402"/>
      <c r="V72" s="402"/>
      <c r="W72" s="402"/>
      <c r="X72" s="402"/>
      <c r="Y72" s="402"/>
      <c r="Z72" s="402"/>
      <c r="AA72" s="402"/>
      <c r="AB72" s="402"/>
      <c r="AC72" s="402"/>
      <c r="AD72" s="402"/>
    </row>
    <row r="73" s="15" customFormat="1" ht="14.55" spans="1:30">
      <c r="A73" s="332"/>
      <c r="B73" s="312">
        <f>B24</f>
        <v>111</v>
      </c>
      <c r="C73" s="76"/>
      <c r="D73" s="76"/>
      <c r="E73" s="76"/>
      <c r="F73" s="76"/>
      <c r="G73" s="320"/>
      <c r="H73" s="320"/>
      <c r="I73" s="320"/>
      <c r="J73" s="320"/>
      <c r="K73" s="320"/>
      <c r="L73" s="320"/>
      <c r="M73" s="1463"/>
      <c r="N73" s="352"/>
      <c r="O73" s="352"/>
      <c r="P73" s="359"/>
      <c r="Q73" s="279"/>
      <c r="R73" s="402"/>
      <c r="S73" s="402"/>
      <c r="T73" s="402"/>
      <c r="U73" s="402"/>
      <c r="V73" s="402"/>
      <c r="W73" s="402"/>
      <c r="X73" s="402"/>
      <c r="Y73" s="402"/>
      <c r="Z73" s="402"/>
      <c r="AA73" s="402"/>
      <c r="AB73" s="402"/>
      <c r="AC73" s="402"/>
      <c r="AD73" s="402"/>
    </row>
    <row r="74" s="15" customFormat="1" ht="14.55" spans="1:30">
      <c r="A74" s="332"/>
      <c r="B74" s="314"/>
      <c r="C74" s="322"/>
      <c r="D74" s="311"/>
      <c r="E74" s="311"/>
      <c r="F74" s="311"/>
      <c r="G74" s="311"/>
      <c r="H74" s="311"/>
      <c r="I74" s="311"/>
      <c r="J74" s="311"/>
      <c r="K74" s="311"/>
      <c r="L74" s="311"/>
      <c r="M74" s="360"/>
      <c r="N74" s="361"/>
      <c r="O74" s="361"/>
      <c r="P74" s="359"/>
      <c r="Q74" s="279"/>
      <c r="R74" s="402"/>
      <c r="S74" s="402"/>
      <c r="T74" s="402"/>
      <c r="U74" s="402"/>
      <c r="V74" s="402"/>
      <c r="W74" s="402"/>
      <c r="X74" s="402"/>
      <c r="Y74" s="402"/>
      <c r="Z74" s="402"/>
      <c r="AA74" s="402"/>
      <c r="AB74" s="402"/>
      <c r="AC74" s="402"/>
      <c r="AD74" s="402"/>
    </row>
    <row r="75" s="17" customFormat="1" ht="14.55" spans="1:30">
      <c r="A75" s="319"/>
      <c r="B75" s="312">
        <f>B25</f>
        <v>111</v>
      </c>
      <c r="C75" s="76"/>
      <c r="D75" s="76"/>
      <c r="E75" s="76"/>
      <c r="F75" s="76"/>
      <c r="G75" s="320"/>
      <c r="H75" s="321"/>
      <c r="I75" s="321"/>
      <c r="J75" s="321"/>
      <c r="K75" s="321"/>
      <c r="L75" s="369"/>
      <c r="M75" s="370"/>
      <c r="N75" s="371"/>
      <c r="O75" s="371"/>
      <c r="P75" s="372"/>
      <c r="Q75" s="403"/>
      <c r="R75" s="404"/>
      <c r="S75" s="404"/>
      <c r="T75" s="404"/>
      <c r="U75" s="404"/>
      <c r="V75" s="404"/>
      <c r="W75" s="404"/>
      <c r="X75" s="404"/>
      <c r="Y75" s="404"/>
      <c r="Z75" s="404"/>
      <c r="AA75" s="404"/>
      <c r="AB75" s="404"/>
      <c r="AC75" s="404"/>
      <c r="AD75" s="404"/>
    </row>
    <row r="76" s="17" customFormat="1" ht="14.55" spans="1:30">
      <c r="A76" s="319"/>
      <c r="B76" s="314"/>
      <c r="C76" s="322"/>
      <c r="D76" s="322"/>
      <c r="E76" s="322"/>
      <c r="F76" s="322"/>
      <c r="G76" s="311"/>
      <c r="H76" s="311"/>
      <c r="I76" s="311"/>
      <c r="J76" s="311"/>
      <c r="K76" s="311"/>
      <c r="L76" s="311"/>
      <c r="M76" s="360"/>
      <c r="N76" s="371"/>
      <c r="O76" s="371"/>
      <c r="P76" s="372"/>
      <c r="Q76" s="403"/>
      <c r="R76" s="404"/>
      <c r="S76" s="404"/>
      <c r="T76" s="404"/>
      <c r="U76" s="404"/>
      <c r="V76" s="404"/>
      <c r="W76" s="404"/>
      <c r="X76" s="404"/>
      <c r="Y76" s="404"/>
      <c r="Z76" s="404"/>
      <c r="AA76" s="404"/>
      <c r="AB76" s="404"/>
      <c r="AC76" s="404"/>
      <c r="AD76" s="404"/>
    </row>
    <row r="77" ht="15.15" spans="1:30">
      <c r="A77" s="307" t="s">
        <v>1459</v>
      </c>
      <c r="B77" s="308" t="s">
        <v>1465</v>
      </c>
      <c r="C77" s="320"/>
      <c r="D77" s="320"/>
      <c r="E77" s="233"/>
      <c r="F77" s="233"/>
      <c r="G77" s="233"/>
      <c r="H77" s="233"/>
      <c r="I77" s="233"/>
      <c r="J77" s="233"/>
      <c r="K77" s="355"/>
      <c r="L77" s="356"/>
      <c r="M77" s="357"/>
      <c r="N77" s="358"/>
      <c r="O77" s="358"/>
      <c r="P77" s="359"/>
      <c r="Q77" s="279"/>
      <c r="R77" s="145"/>
      <c r="S77" s="145"/>
      <c r="T77" s="145"/>
      <c r="U77" s="145"/>
      <c r="V77" s="145"/>
      <c r="W77" s="145"/>
      <c r="X77" s="145"/>
      <c r="Y77" s="145"/>
      <c r="Z77" s="145"/>
      <c r="AA77" s="145"/>
      <c r="AB77" s="145"/>
      <c r="AC77" s="145"/>
      <c r="AD77" s="145"/>
    </row>
    <row r="78" ht="14.55" spans="1:30">
      <c r="A78" s="309"/>
      <c r="B78" s="314"/>
      <c r="C78" s="315">
        <v>100</v>
      </c>
      <c r="D78" s="315">
        <f t="shared" ref="D78:M78" si="17">C78-$K26</f>
        <v>100</v>
      </c>
      <c r="E78" s="315">
        <f t="shared" si="17"/>
        <v>100</v>
      </c>
      <c r="F78" s="315">
        <f t="shared" si="17"/>
        <v>100</v>
      </c>
      <c r="G78" s="315">
        <f t="shared" si="17"/>
        <v>100</v>
      </c>
      <c r="H78" s="315">
        <f t="shared" si="17"/>
        <v>100</v>
      </c>
      <c r="I78" s="315">
        <f t="shared" si="17"/>
        <v>100</v>
      </c>
      <c r="J78" s="315">
        <f t="shared" si="17"/>
        <v>100</v>
      </c>
      <c r="K78" s="315">
        <f t="shared" si="17"/>
        <v>100</v>
      </c>
      <c r="L78" s="315">
        <f t="shared" si="17"/>
        <v>100</v>
      </c>
      <c r="M78" s="365">
        <f t="shared" si="17"/>
        <v>100</v>
      </c>
      <c r="N78" s="361"/>
      <c r="O78" s="361"/>
      <c r="P78" s="359"/>
      <c r="Q78" s="279"/>
      <c r="R78" s="145"/>
      <c r="S78" s="145"/>
      <c r="T78" s="145"/>
      <c r="U78" s="145"/>
      <c r="V78" s="145"/>
      <c r="W78" s="145"/>
      <c r="X78" s="145"/>
      <c r="Y78" s="145"/>
      <c r="Z78" s="145"/>
      <c r="AA78" s="145"/>
      <c r="AB78" s="145"/>
      <c r="AC78" s="145"/>
      <c r="AD78" s="145"/>
    </row>
    <row r="79" ht="15.15" spans="1:30">
      <c r="A79" s="309"/>
      <c r="B79" s="312" t="s">
        <v>1547</v>
      </c>
      <c r="C79" s="331" t="str">
        <f>C80&amp;"(含)"&amp;"-"&amp;D80</f>
        <v>0.5(含)-0.6</v>
      </c>
      <c r="D79" s="331" t="str">
        <f>D80&amp;"(含)"&amp;"-"&amp;E80</f>
        <v>0.6(含)-0.7</v>
      </c>
      <c r="E79" s="331" t="str">
        <f>E80&amp;"(含)"&amp;"-"&amp;F80</f>
        <v>0.7(含)-0.8</v>
      </c>
      <c r="F79" s="331" t="str">
        <f>F80&amp;"(含)"&amp;"-"&amp;G80</f>
        <v>0.8(含)-0.9</v>
      </c>
      <c r="G79" s="331" t="str">
        <f>G80&amp;"(含)"&amp;"-"&amp;ROUND(H80,0)&amp;"(含)"</f>
        <v>0.9(含)-1(含)</v>
      </c>
      <c r="H79" s="331"/>
      <c r="I79" s="313"/>
      <c r="J79" s="313"/>
      <c r="K79" s="362"/>
      <c r="L79" s="363"/>
      <c r="M79" s="364"/>
      <c r="N79" s="352"/>
      <c r="O79" s="352"/>
      <c r="P79" s="359"/>
      <c r="Q79" s="279"/>
      <c r="R79" s="145"/>
      <c r="S79" s="145"/>
      <c r="T79" s="145"/>
      <c r="U79" s="145"/>
      <c r="V79" s="145"/>
      <c r="W79" s="145"/>
      <c r="X79" s="145"/>
      <c r="Y79" s="145"/>
      <c r="Z79" s="145"/>
      <c r="AA79" s="145"/>
      <c r="AB79" s="145"/>
      <c r="AC79" s="145"/>
      <c r="AD79" s="145"/>
    </row>
    <row r="80" spans="1:30">
      <c r="A80" s="309"/>
      <c r="B80" s="316"/>
      <c r="C80" s="295">
        <v>0.5</v>
      </c>
      <c r="D80" s="295">
        <v>0.6</v>
      </c>
      <c r="E80" s="295">
        <v>0.7</v>
      </c>
      <c r="F80" s="295">
        <v>0.8</v>
      </c>
      <c r="G80" s="295">
        <v>0.9</v>
      </c>
      <c r="H80" s="295">
        <v>1.0001</v>
      </c>
      <c r="I80" s="336"/>
      <c r="J80" s="336"/>
      <c r="K80" s="1464"/>
      <c r="L80" s="1465"/>
      <c r="M80" s="1466"/>
      <c r="N80" s="352"/>
      <c r="O80" s="352"/>
      <c r="P80" s="359"/>
      <c r="Q80" s="279"/>
      <c r="R80" s="145"/>
      <c r="S80" s="145"/>
      <c r="T80" s="145"/>
      <c r="U80" s="145"/>
      <c r="V80" s="145"/>
      <c r="W80" s="145"/>
      <c r="X80" s="145"/>
      <c r="Y80" s="145"/>
      <c r="Z80" s="145"/>
      <c r="AA80" s="145"/>
      <c r="AB80" s="145"/>
      <c r="AC80" s="145"/>
      <c r="AD80" s="145"/>
    </row>
    <row r="81" s="17" customFormat="1" ht="14.55" spans="1:30">
      <c r="A81" s="319"/>
      <c r="B81" s="314"/>
      <c r="C81" s="333">
        <v>100</v>
      </c>
      <c r="D81" s="315">
        <f t="shared" ref="D81:M81" si="18">C81+$K27</f>
        <v>100</v>
      </c>
      <c r="E81" s="315">
        <f t="shared" si="18"/>
        <v>100</v>
      </c>
      <c r="F81" s="315">
        <f t="shared" si="18"/>
        <v>100</v>
      </c>
      <c r="G81" s="315">
        <f t="shared" si="18"/>
        <v>100</v>
      </c>
      <c r="H81" s="315">
        <f t="shared" si="18"/>
        <v>100</v>
      </c>
      <c r="I81" s="315">
        <f t="shared" si="18"/>
        <v>100</v>
      </c>
      <c r="J81" s="315">
        <f t="shared" si="18"/>
        <v>100</v>
      </c>
      <c r="K81" s="315">
        <f t="shared" si="18"/>
        <v>100</v>
      </c>
      <c r="L81" s="315">
        <f t="shared" si="18"/>
        <v>100</v>
      </c>
      <c r="M81" s="315">
        <f t="shared" si="18"/>
        <v>100</v>
      </c>
      <c r="N81" s="361"/>
      <c r="O81" s="361"/>
      <c r="P81" s="372"/>
      <c r="Q81" s="403"/>
      <c r="R81" s="404"/>
      <c r="S81" s="404"/>
      <c r="T81" s="404"/>
      <c r="U81" s="404"/>
      <c r="V81" s="404"/>
      <c r="W81" s="404"/>
      <c r="X81" s="404"/>
      <c r="Y81" s="404"/>
      <c r="Z81" s="404"/>
      <c r="AA81" s="404"/>
      <c r="AB81" s="404"/>
      <c r="AC81" s="404"/>
      <c r="AD81" s="404"/>
    </row>
    <row r="82" ht="15.15" spans="1:30">
      <c r="A82" s="344"/>
      <c r="B82" s="316" t="s">
        <v>1548</v>
      </c>
      <c r="C82" s="320"/>
      <c r="D82" s="320"/>
      <c r="E82" s="337"/>
      <c r="F82" s="337"/>
      <c r="G82" s="337"/>
      <c r="H82" s="337"/>
      <c r="I82" s="337"/>
      <c r="J82" s="337"/>
      <c r="K82" s="388"/>
      <c r="L82" s="389"/>
      <c r="M82" s="390"/>
      <c r="N82" s="358"/>
      <c r="O82" s="358"/>
      <c r="P82" s="359"/>
      <c r="Q82" s="279"/>
      <c r="R82" s="145"/>
      <c r="S82" s="145"/>
      <c r="T82" s="145"/>
      <c r="U82" s="145"/>
      <c r="V82" s="145"/>
      <c r="W82" s="145"/>
      <c r="X82" s="145"/>
      <c r="Y82" s="145"/>
      <c r="Z82" s="145"/>
      <c r="AA82" s="145"/>
      <c r="AB82" s="145"/>
      <c r="AC82" s="145"/>
      <c r="AD82" s="145"/>
    </row>
    <row r="83" ht="14.55" spans="1:30">
      <c r="A83" s="309"/>
      <c r="B83" s="314"/>
      <c r="C83" s="315">
        <v>100</v>
      </c>
      <c r="D83" s="315">
        <f t="shared" ref="D83:M83" si="19">C83-$K28</f>
        <v>100</v>
      </c>
      <c r="E83" s="315">
        <f t="shared" si="19"/>
        <v>100</v>
      </c>
      <c r="F83" s="315">
        <f t="shared" si="19"/>
        <v>100</v>
      </c>
      <c r="G83" s="315">
        <f t="shared" si="19"/>
        <v>100</v>
      </c>
      <c r="H83" s="315">
        <f t="shared" si="19"/>
        <v>100</v>
      </c>
      <c r="I83" s="315">
        <f t="shared" si="19"/>
        <v>100</v>
      </c>
      <c r="J83" s="315">
        <f t="shared" si="19"/>
        <v>100</v>
      </c>
      <c r="K83" s="315">
        <f t="shared" si="19"/>
        <v>100</v>
      </c>
      <c r="L83" s="315">
        <f t="shared" si="19"/>
        <v>100</v>
      </c>
      <c r="M83" s="365">
        <f t="shared" si="19"/>
        <v>100</v>
      </c>
      <c r="N83" s="361"/>
      <c r="O83" s="361"/>
      <c r="P83" s="359"/>
      <c r="Q83" s="279"/>
      <c r="R83" s="145"/>
      <c r="S83" s="145"/>
      <c r="T83" s="145"/>
      <c r="U83" s="145"/>
      <c r="V83" s="145"/>
      <c r="W83" s="145"/>
      <c r="X83" s="145"/>
      <c r="Y83" s="145"/>
      <c r="Z83" s="145"/>
      <c r="AA83" s="145"/>
      <c r="AB83" s="145"/>
      <c r="AC83" s="145"/>
      <c r="AD83" s="145"/>
    </row>
    <row r="84" ht="15.15" spans="1:30">
      <c r="A84" s="344"/>
      <c r="B84" s="312" t="s">
        <v>1556</v>
      </c>
      <c r="C84" s="320"/>
      <c r="D84" s="320"/>
      <c r="E84" s="320"/>
      <c r="F84" s="320"/>
      <c r="G84" s="320"/>
      <c r="H84" s="320"/>
      <c r="I84" s="337"/>
      <c r="J84" s="337"/>
      <c r="K84" s="388"/>
      <c r="L84" s="389"/>
      <c r="M84" s="390"/>
      <c r="N84" s="358"/>
      <c r="O84" s="358"/>
      <c r="P84" s="359"/>
      <c r="Q84" s="279"/>
      <c r="R84" s="145"/>
      <c r="S84" s="145"/>
      <c r="T84" s="145"/>
      <c r="U84" s="145"/>
      <c r="V84" s="145"/>
      <c r="W84" s="145"/>
      <c r="X84" s="145"/>
      <c r="Y84" s="145"/>
      <c r="Z84" s="145"/>
      <c r="AA84" s="145"/>
      <c r="AB84" s="145"/>
      <c r="AC84" s="145"/>
      <c r="AD84" s="145"/>
    </row>
    <row r="85" ht="14.55" spans="1:30">
      <c r="A85" s="309"/>
      <c r="B85" s="314"/>
      <c r="C85" s="333">
        <v>100</v>
      </c>
      <c r="D85" s="315">
        <f t="shared" ref="D85:M85" si="20">C85+$K29</f>
        <v>100</v>
      </c>
      <c r="E85" s="315">
        <f t="shared" si="20"/>
        <v>100</v>
      </c>
      <c r="F85" s="315">
        <f t="shared" si="20"/>
        <v>100</v>
      </c>
      <c r="G85" s="315">
        <f t="shared" si="20"/>
        <v>100</v>
      </c>
      <c r="H85" s="315">
        <f t="shared" si="20"/>
        <v>100</v>
      </c>
      <c r="I85" s="315">
        <f t="shared" si="20"/>
        <v>100</v>
      </c>
      <c r="J85" s="315">
        <f t="shared" si="20"/>
        <v>100</v>
      </c>
      <c r="K85" s="315">
        <f t="shared" si="20"/>
        <v>100</v>
      </c>
      <c r="L85" s="315">
        <f t="shared" si="20"/>
        <v>100</v>
      </c>
      <c r="M85" s="315">
        <f t="shared" si="20"/>
        <v>100</v>
      </c>
      <c r="N85" s="361"/>
      <c r="O85" s="361"/>
      <c r="P85" s="359"/>
      <c r="Q85" s="279"/>
      <c r="R85" s="145"/>
      <c r="S85" s="145"/>
      <c r="T85" s="145"/>
      <c r="U85" s="145"/>
      <c r="V85" s="145"/>
      <c r="W85" s="145"/>
      <c r="X85" s="145"/>
      <c r="Y85" s="145"/>
      <c r="Z85" s="145"/>
      <c r="AA85" s="145"/>
      <c r="AB85" s="145"/>
      <c r="AC85" s="145"/>
      <c r="AD85" s="145"/>
    </row>
    <row r="86" ht="15.15" spans="1:30">
      <c r="A86" s="344"/>
      <c r="B86" s="316" t="s">
        <v>526</v>
      </c>
      <c r="C86" s="331" t="str">
        <f t="shared" ref="C86:L86" si="21">C87&amp;"(含)"&amp;"-"&amp;D87</f>
        <v>(含)-</v>
      </c>
      <c r="D86" s="331" t="str">
        <f t="shared" si="21"/>
        <v>(含)-</v>
      </c>
      <c r="E86" s="331" t="str">
        <f t="shared" si="21"/>
        <v>(含)-</v>
      </c>
      <c r="F86" s="331" t="str">
        <f t="shared" si="21"/>
        <v>(含)-</v>
      </c>
      <c r="G86" s="331" t="str">
        <f t="shared" si="21"/>
        <v>(含)-</v>
      </c>
      <c r="H86" s="331" t="str">
        <f t="shared" si="21"/>
        <v>(含)-</v>
      </c>
      <c r="I86" s="331" t="str">
        <f t="shared" si="21"/>
        <v>(含)-</v>
      </c>
      <c r="J86" s="331" t="str">
        <f t="shared" si="21"/>
        <v>(含)-</v>
      </c>
      <c r="K86" s="331" t="str">
        <f t="shared" si="21"/>
        <v>(含)-</v>
      </c>
      <c r="L86" s="331" t="str">
        <f t="shared" si="21"/>
        <v>(含)-</v>
      </c>
      <c r="M86" s="383" t="str">
        <f>M87&amp;"(含)"&amp;"-"&amp;P87</f>
        <v>(含)-</v>
      </c>
      <c r="N86" s="358"/>
      <c r="O86" s="358"/>
      <c r="P86" s="359"/>
      <c r="Q86" s="279"/>
      <c r="R86" s="145"/>
      <c r="S86" s="145"/>
      <c r="T86" s="145"/>
      <c r="U86" s="145"/>
      <c r="V86" s="145"/>
      <c r="W86" s="145"/>
      <c r="X86" s="145"/>
      <c r="Y86" s="145"/>
      <c r="Z86" s="145"/>
      <c r="AA86" s="145"/>
      <c r="AB86" s="145"/>
      <c r="AC86" s="145"/>
      <c r="AD86" s="145"/>
    </row>
    <row r="87" spans="1:30">
      <c r="A87" s="344"/>
      <c r="B87" s="316"/>
      <c r="C87" s="296"/>
      <c r="D87" s="296"/>
      <c r="E87" s="296"/>
      <c r="F87" s="296"/>
      <c r="G87" s="296"/>
      <c r="H87" s="296"/>
      <c r="I87" s="296"/>
      <c r="J87" s="395"/>
      <c r="K87" s="395"/>
      <c r="L87" s="396"/>
      <c r="M87" s="397"/>
      <c r="N87" s="358"/>
      <c r="O87" s="358"/>
      <c r="P87" s="359"/>
      <c r="Q87" s="279"/>
      <c r="R87" s="145"/>
      <c r="S87" s="145"/>
      <c r="T87" s="145"/>
      <c r="U87" s="145"/>
      <c r="V87" s="145"/>
      <c r="W87" s="145"/>
      <c r="X87" s="145"/>
      <c r="Y87" s="145"/>
      <c r="Z87" s="145"/>
      <c r="AA87" s="145"/>
      <c r="AB87" s="145"/>
      <c r="AC87" s="145"/>
      <c r="AD87" s="145"/>
    </row>
    <row r="88" ht="14.55" spans="1:30">
      <c r="A88" s="309"/>
      <c r="B88" s="314"/>
      <c r="C88" s="322"/>
      <c r="D88" s="311"/>
      <c r="E88" s="311"/>
      <c r="F88" s="311"/>
      <c r="G88" s="311"/>
      <c r="H88" s="311"/>
      <c r="I88" s="311"/>
      <c r="J88" s="311"/>
      <c r="K88" s="311"/>
      <c r="L88" s="311"/>
      <c r="M88" s="311"/>
      <c r="N88" s="361"/>
      <c r="O88" s="361"/>
      <c r="P88" s="359"/>
      <c r="Q88" s="279"/>
      <c r="R88" s="145"/>
      <c r="S88" s="145"/>
      <c r="T88" s="145"/>
      <c r="U88" s="145"/>
      <c r="V88" s="145"/>
      <c r="W88" s="145"/>
      <c r="X88" s="145"/>
      <c r="Y88" s="145"/>
      <c r="Z88" s="145"/>
      <c r="AA88" s="145"/>
      <c r="AB88" s="145"/>
      <c r="AC88" s="145"/>
      <c r="AD88" s="145"/>
    </row>
    <row r="89" s="17" customFormat="1" ht="15.15" spans="1:30">
      <c r="A89" s="341"/>
      <c r="B89" s="312" t="s">
        <v>1557</v>
      </c>
      <c r="C89" s="320"/>
      <c r="D89" s="320"/>
      <c r="E89" s="320"/>
      <c r="F89" s="320"/>
      <c r="G89" s="320"/>
      <c r="H89" s="320"/>
      <c r="I89" s="320"/>
      <c r="J89" s="320"/>
      <c r="K89" s="320"/>
      <c r="L89" s="320"/>
      <c r="M89" s="1463"/>
      <c r="N89" s="371"/>
      <c r="O89" s="371"/>
      <c r="P89" s="372"/>
      <c r="Q89" s="403"/>
      <c r="R89" s="404"/>
      <c r="S89" s="404"/>
      <c r="T89" s="404"/>
      <c r="U89" s="404"/>
      <c r="V89" s="404"/>
      <c r="W89" s="404"/>
      <c r="X89" s="404"/>
      <c r="Y89" s="404"/>
      <c r="Z89" s="404"/>
      <c r="AA89" s="404"/>
      <c r="AB89" s="404"/>
      <c r="AC89" s="404"/>
      <c r="AD89" s="404"/>
    </row>
    <row r="90" s="17" customFormat="1" ht="14.55" spans="1:30">
      <c r="A90" s="319"/>
      <c r="B90" s="314"/>
      <c r="C90" s="322"/>
      <c r="D90" s="311"/>
      <c r="E90" s="311"/>
      <c r="F90" s="311"/>
      <c r="G90" s="311"/>
      <c r="H90" s="311"/>
      <c r="I90" s="311"/>
      <c r="J90" s="311"/>
      <c r="K90" s="311"/>
      <c r="L90" s="311"/>
      <c r="M90" s="360"/>
      <c r="N90" s="371"/>
      <c r="O90" s="371"/>
      <c r="P90" s="372"/>
      <c r="Q90" s="403"/>
      <c r="R90" s="404"/>
      <c r="S90" s="404"/>
      <c r="T90" s="404"/>
      <c r="U90" s="404"/>
      <c r="V90" s="404"/>
      <c r="W90" s="404"/>
      <c r="X90" s="404"/>
      <c r="Y90" s="404"/>
      <c r="Z90" s="404"/>
      <c r="AA90" s="404"/>
      <c r="AB90" s="404"/>
      <c r="AC90" s="404"/>
      <c r="AD90" s="404"/>
    </row>
    <row r="91" ht="14.55" spans="1:30">
      <c r="A91" s="344"/>
      <c r="B91" s="312">
        <f>B32</f>
        <v>111</v>
      </c>
      <c r="C91" s="76"/>
      <c r="D91" s="76"/>
      <c r="E91" s="76"/>
      <c r="F91" s="76"/>
      <c r="G91" s="320"/>
      <c r="H91" s="321"/>
      <c r="I91" s="321"/>
      <c r="J91" s="321"/>
      <c r="K91" s="321"/>
      <c r="L91" s="369"/>
      <c r="M91" s="370"/>
      <c r="N91" s="358"/>
      <c r="O91" s="358"/>
      <c r="P91" s="359"/>
      <c r="Q91" s="279"/>
      <c r="R91" s="145"/>
      <c r="S91" s="145"/>
      <c r="T91" s="145"/>
      <c r="U91" s="145"/>
      <c r="V91" s="145"/>
      <c r="W91" s="145"/>
      <c r="X91" s="145"/>
      <c r="Y91" s="145"/>
      <c r="Z91" s="145"/>
      <c r="AA91" s="145"/>
      <c r="AB91" s="145"/>
      <c r="AC91" s="145"/>
      <c r="AD91" s="145"/>
    </row>
    <row r="92" ht="14.55" spans="1:30">
      <c r="A92" s="309"/>
      <c r="B92" s="314"/>
      <c r="C92" s="322"/>
      <c r="D92" s="311"/>
      <c r="E92" s="311"/>
      <c r="F92" s="311"/>
      <c r="G92" s="322"/>
      <c r="H92" s="323"/>
      <c r="I92" s="323"/>
      <c r="J92" s="323"/>
      <c r="K92" s="323"/>
      <c r="L92" s="323"/>
      <c r="M92" s="373"/>
      <c r="N92" s="361"/>
      <c r="O92" s="361"/>
      <c r="P92" s="359"/>
      <c r="Q92" s="279"/>
      <c r="R92" s="145"/>
      <c r="S92" s="145"/>
      <c r="T92" s="145"/>
      <c r="U92" s="145"/>
      <c r="V92" s="145"/>
      <c r="W92" s="145"/>
      <c r="X92" s="145"/>
      <c r="Y92" s="145"/>
      <c r="Z92" s="145"/>
      <c r="AA92" s="145"/>
      <c r="AB92" s="145"/>
      <c r="AC92" s="145"/>
      <c r="AD92" s="145"/>
    </row>
    <row r="93" ht="14.55" spans="1:30">
      <c r="A93" s="344"/>
      <c r="B93" s="312">
        <f>B33</f>
        <v>111</v>
      </c>
      <c r="C93" s="76"/>
      <c r="D93" s="76"/>
      <c r="E93" s="76"/>
      <c r="F93" s="76"/>
      <c r="G93" s="320"/>
      <c r="H93" s="321"/>
      <c r="I93" s="321"/>
      <c r="J93" s="321"/>
      <c r="K93" s="321"/>
      <c r="L93" s="369"/>
      <c r="M93" s="370"/>
      <c r="N93" s="358"/>
      <c r="O93" s="358"/>
      <c r="P93" s="359"/>
      <c r="Q93" s="279"/>
      <c r="R93" s="145"/>
      <c r="S93" s="145"/>
      <c r="T93" s="145"/>
      <c r="U93" s="145"/>
      <c r="V93" s="145"/>
      <c r="W93" s="145"/>
      <c r="X93" s="145"/>
      <c r="Y93" s="145"/>
      <c r="Z93" s="145"/>
      <c r="AA93" s="145"/>
      <c r="AB93" s="145"/>
      <c r="AC93" s="145"/>
      <c r="AD93" s="145"/>
    </row>
    <row r="94" ht="14.55" spans="1:30">
      <c r="A94" s="309"/>
      <c r="B94" s="314"/>
      <c r="C94" s="322"/>
      <c r="D94" s="311"/>
      <c r="E94" s="311"/>
      <c r="F94" s="311"/>
      <c r="G94" s="322"/>
      <c r="H94" s="323"/>
      <c r="I94" s="323"/>
      <c r="J94" s="323"/>
      <c r="K94" s="323"/>
      <c r="L94" s="323"/>
      <c r="M94" s="373"/>
      <c r="N94" s="361"/>
      <c r="O94" s="361"/>
      <c r="P94" s="359"/>
      <c r="Q94" s="279"/>
      <c r="R94" s="145"/>
      <c r="S94" s="145"/>
      <c r="T94" s="145"/>
      <c r="U94" s="145"/>
      <c r="V94" s="145"/>
      <c r="W94" s="145"/>
      <c r="X94" s="145"/>
      <c r="Y94" s="145"/>
      <c r="Z94" s="145"/>
      <c r="AA94" s="145"/>
      <c r="AB94" s="145"/>
      <c r="AC94" s="145"/>
      <c r="AD94" s="145"/>
    </row>
    <row r="95" ht="14.55" spans="1:30">
      <c r="A95" s="344"/>
      <c r="B95" s="1459">
        <f>B34</f>
        <v>111</v>
      </c>
      <c r="C95" s="76"/>
      <c r="D95" s="76"/>
      <c r="E95" s="76"/>
      <c r="F95" s="76"/>
      <c r="G95" s="320"/>
      <c r="H95" s="321"/>
      <c r="I95" s="321"/>
      <c r="J95" s="321"/>
      <c r="K95" s="321"/>
      <c r="L95" s="369"/>
      <c r="M95" s="370"/>
      <c r="N95" s="361"/>
      <c r="O95" s="361"/>
      <c r="P95" s="1467"/>
      <c r="Q95" s="1470"/>
      <c r="R95" s="145"/>
      <c r="S95" s="145"/>
      <c r="T95" s="145"/>
      <c r="U95" s="145"/>
      <c r="V95" s="145"/>
      <c r="W95" s="145"/>
      <c r="X95" s="145"/>
      <c r="Y95" s="145"/>
      <c r="Z95" s="145"/>
      <c r="AA95" s="145"/>
      <c r="AB95" s="145"/>
      <c r="AC95" s="145"/>
      <c r="AD95" s="145"/>
    </row>
    <row r="96" ht="14.55" spans="1:30">
      <c r="A96" s="309"/>
      <c r="B96" s="314"/>
      <c r="C96" s="322"/>
      <c r="D96" s="322"/>
      <c r="E96" s="322"/>
      <c r="F96" s="322"/>
      <c r="G96" s="322"/>
      <c r="H96" s="323"/>
      <c r="I96" s="323"/>
      <c r="J96" s="323"/>
      <c r="K96" s="323"/>
      <c r="L96" s="323"/>
      <c r="M96" s="373"/>
      <c r="N96" s="361"/>
      <c r="O96" s="361"/>
      <c r="P96" s="359"/>
      <c r="Q96" s="279"/>
      <c r="R96" s="145"/>
      <c r="S96" s="145"/>
      <c r="T96" s="145"/>
      <c r="U96" s="145"/>
      <c r="V96" s="145"/>
      <c r="W96" s="145"/>
      <c r="X96" s="145"/>
      <c r="Y96" s="145"/>
      <c r="Z96" s="145"/>
      <c r="AA96" s="145"/>
      <c r="AB96" s="145"/>
      <c r="AC96" s="145"/>
      <c r="AD96" s="145"/>
    </row>
    <row r="97" ht="14.55" spans="14:30">
      <c r="N97" s="145"/>
      <c r="O97" s="145"/>
      <c r="P97" s="145"/>
      <c r="Q97" s="145"/>
      <c r="R97" s="145"/>
      <c r="S97" s="145"/>
      <c r="T97" s="145"/>
      <c r="U97" s="145"/>
      <c r="V97" s="145"/>
      <c r="W97" s="145"/>
      <c r="X97" s="145"/>
      <c r="Y97" s="145"/>
      <c r="Z97" s="145"/>
      <c r="AA97" s="145"/>
      <c r="AB97" s="145"/>
      <c r="AC97" s="145"/>
      <c r="AD97" s="145"/>
    </row>
    <row r="98" spans="1:30">
      <c r="A98" s="1460"/>
      <c r="B98" s="1460"/>
      <c r="C98" s="1460"/>
      <c r="D98" s="1460"/>
      <c r="E98" s="1460"/>
      <c r="F98" s="1460"/>
      <c r="G98" s="1460"/>
      <c r="H98" s="1460"/>
      <c r="I98" s="1460"/>
      <c r="J98" s="1460"/>
      <c r="K98" s="1468"/>
      <c r="L98" s="1469"/>
      <c r="M98" s="1460"/>
      <c r="N98" s="145"/>
      <c r="O98" s="145"/>
      <c r="P98" s="145"/>
      <c r="Q98" s="145"/>
      <c r="R98" s="145"/>
      <c r="S98" s="145"/>
      <c r="T98" s="145"/>
      <c r="U98" s="145"/>
      <c r="V98" s="145"/>
      <c r="W98" s="145"/>
      <c r="X98" s="145"/>
      <c r="Y98" s="145"/>
      <c r="Z98" s="145"/>
      <c r="AA98" s="145"/>
      <c r="AB98" s="145"/>
      <c r="AC98" s="145"/>
      <c r="AD98" s="145"/>
    </row>
    <row r="99" spans="1:30">
      <c r="A99" s="1460"/>
      <c r="B99" s="1460"/>
      <c r="C99" s="1460"/>
      <c r="D99" s="1460"/>
      <c r="E99" s="1460"/>
      <c r="F99" s="1460"/>
      <c r="G99" s="1460"/>
      <c r="H99" s="1460"/>
      <c r="I99" s="1460"/>
      <c r="J99" s="1460"/>
      <c r="K99" s="1468"/>
      <c r="L99" s="1469"/>
      <c r="M99" s="1460"/>
      <c r="N99" s="145"/>
      <c r="O99" s="145"/>
      <c r="P99" s="145"/>
      <c r="Q99" s="145"/>
      <c r="R99" s="145"/>
      <c r="S99" s="145"/>
      <c r="T99" s="145"/>
      <c r="U99" s="145"/>
      <c r="V99" s="145"/>
      <c r="W99" s="145"/>
      <c r="X99" s="145"/>
      <c r="Y99" s="145"/>
      <c r="Z99" s="145"/>
      <c r="AA99" s="145"/>
      <c r="AB99" s="145"/>
      <c r="AC99" s="145"/>
      <c r="AD99" s="145"/>
    </row>
    <row r="100" spans="1:30">
      <c r="A100" s="1460"/>
      <c r="B100" s="1460"/>
      <c r="C100" s="1460"/>
      <c r="D100" s="1460"/>
      <c r="E100" s="1460"/>
      <c r="F100" s="1460"/>
      <c r="G100" s="1460"/>
      <c r="H100" s="1460"/>
      <c r="I100" s="1460"/>
      <c r="J100" s="1460"/>
      <c r="K100" s="1468"/>
      <c r="L100" s="1469"/>
      <c r="M100" s="1460"/>
      <c r="N100" s="145"/>
      <c r="O100" s="145"/>
      <c r="P100" s="145"/>
      <c r="Q100" s="145"/>
      <c r="R100" s="145"/>
      <c r="S100" s="145"/>
      <c r="T100" s="145"/>
      <c r="U100" s="145"/>
      <c r="V100" s="145"/>
      <c r="W100" s="145"/>
      <c r="X100" s="145"/>
      <c r="Y100" s="145"/>
      <c r="Z100" s="145"/>
      <c r="AA100" s="145"/>
      <c r="AB100" s="145"/>
      <c r="AC100" s="145"/>
      <c r="AD100" s="145"/>
    </row>
    <row r="101" spans="1:30">
      <c r="A101" s="1460"/>
      <c r="B101" s="1460"/>
      <c r="C101" s="1460"/>
      <c r="D101" s="1460"/>
      <c r="E101" s="1460"/>
      <c r="F101" s="1460"/>
      <c r="G101" s="1460"/>
      <c r="H101" s="1460"/>
      <c r="I101" s="1460"/>
      <c r="J101" s="1460"/>
      <c r="K101" s="1468"/>
      <c r="L101" s="1469"/>
      <c r="M101" s="1460"/>
      <c r="N101" s="145"/>
      <c r="O101" s="145"/>
      <c r="P101" s="145"/>
      <c r="Q101" s="145"/>
      <c r="R101" s="145"/>
      <c r="S101" s="145"/>
      <c r="T101" s="145"/>
      <c r="U101" s="145"/>
      <c r="V101" s="145"/>
      <c r="W101" s="145"/>
      <c r="X101" s="145"/>
      <c r="Y101" s="145"/>
      <c r="Z101" s="145"/>
      <c r="AA101" s="145"/>
      <c r="AB101" s="145"/>
      <c r="AC101" s="145"/>
      <c r="AD101" s="145"/>
    </row>
    <row r="102" spans="1:30">
      <c r="A102" s="1460"/>
      <c r="B102" s="1460"/>
      <c r="C102" s="1460"/>
      <c r="D102" s="1460"/>
      <c r="E102" s="1460"/>
      <c r="F102" s="1460"/>
      <c r="G102" s="1460"/>
      <c r="H102" s="1460"/>
      <c r="I102" s="1460"/>
      <c r="J102" s="1460"/>
      <c r="K102" s="1468"/>
      <c r="L102" s="1469"/>
      <c r="M102" s="1460"/>
      <c r="N102" s="145"/>
      <c r="O102" s="145"/>
      <c r="P102" s="145"/>
      <c r="Q102" s="145"/>
      <c r="R102" s="145"/>
      <c r="S102" s="145"/>
      <c r="T102" s="145"/>
      <c r="U102" s="145"/>
      <c r="V102" s="145"/>
      <c r="W102" s="145"/>
      <c r="X102" s="145"/>
      <c r="Y102" s="145"/>
      <c r="Z102" s="145"/>
      <c r="AA102" s="145"/>
      <c r="AB102" s="145"/>
      <c r="AC102" s="145"/>
      <c r="AD102" s="145"/>
    </row>
    <row r="103" spans="1:30">
      <c r="A103" s="1460"/>
      <c r="B103" s="1460"/>
      <c r="C103" s="1460"/>
      <c r="D103" s="1460"/>
      <c r="E103" s="1460"/>
      <c r="F103" s="1460"/>
      <c r="G103" s="1460"/>
      <c r="H103" s="1460"/>
      <c r="I103" s="1460"/>
      <c r="J103" s="1460"/>
      <c r="K103" s="1468"/>
      <c r="L103" s="1469"/>
      <c r="M103" s="1460"/>
      <c r="N103" s="1460"/>
      <c r="O103" s="1460"/>
      <c r="P103" s="145"/>
      <c r="Q103" s="145"/>
      <c r="R103" s="145"/>
      <c r="S103" s="145"/>
      <c r="T103" s="145"/>
      <c r="U103" s="145"/>
      <c r="V103" s="145"/>
      <c r="W103" s="145"/>
      <c r="X103" s="145"/>
      <c r="Y103" s="145"/>
      <c r="Z103" s="145"/>
      <c r="AA103" s="145"/>
      <c r="AB103" s="145"/>
      <c r="AC103" s="145"/>
      <c r="AD103" s="145"/>
    </row>
    <row r="104" spans="1:20">
      <c r="A104" s="1460"/>
      <c r="B104" s="1460"/>
      <c r="C104" s="1460"/>
      <c r="D104" s="1460"/>
      <c r="E104" s="1460"/>
      <c r="F104" s="1460"/>
      <c r="G104" s="1460"/>
      <c r="H104" s="1460"/>
      <c r="I104" s="1460"/>
      <c r="J104" s="1460"/>
      <c r="K104" s="1468"/>
      <c r="L104" s="1469"/>
      <c r="M104" s="1460"/>
      <c r="N104" s="1460"/>
      <c r="O104" s="1460"/>
      <c r="P104" s="1460"/>
      <c r="Q104" s="1460"/>
      <c r="R104" s="1460"/>
      <c r="S104" s="1460"/>
      <c r="T104" s="1460"/>
    </row>
    <row r="105" spans="1:20">
      <c r="A105" s="1460"/>
      <c r="B105" s="1460"/>
      <c r="C105" s="1460"/>
      <c r="D105" s="1460"/>
      <c r="E105" s="1460"/>
      <c r="F105" s="1460"/>
      <c r="G105" s="1460"/>
      <c r="H105" s="1460"/>
      <c r="I105" s="1460"/>
      <c r="J105" s="1460"/>
      <c r="K105" s="1468"/>
      <c r="L105" s="1469"/>
      <c r="M105" s="1460"/>
      <c r="N105" s="1460"/>
      <c r="O105" s="1460"/>
      <c r="P105" s="1460"/>
      <c r="Q105" s="1460"/>
      <c r="R105" s="1460"/>
      <c r="S105" s="1460"/>
      <c r="T105" s="1460"/>
    </row>
    <row r="106" spans="1:20">
      <c r="A106" s="1460"/>
      <c r="B106" s="1460"/>
      <c r="C106" s="1460"/>
      <c r="D106" s="1460"/>
      <c r="E106" s="1460"/>
      <c r="F106" s="1460"/>
      <c r="G106" s="1460"/>
      <c r="H106" s="1460"/>
      <c r="I106" s="1460"/>
      <c r="J106" s="1460"/>
      <c r="K106" s="1468"/>
      <c r="L106" s="1469"/>
      <c r="M106" s="1460"/>
      <c r="N106" s="1460"/>
      <c r="O106" s="1460"/>
      <c r="P106" s="1460"/>
      <c r="Q106" s="1460"/>
      <c r="R106" s="1460"/>
      <c r="S106" s="1460"/>
      <c r="T106" s="1460"/>
    </row>
    <row r="107" spans="1:20">
      <c r="A107" s="1460"/>
      <c r="B107" s="1460"/>
      <c r="C107" s="1460"/>
      <c r="D107" s="1460"/>
      <c r="E107" s="1460"/>
      <c r="F107" s="1460"/>
      <c r="G107" s="1460"/>
      <c r="H107" s="1460"/>
      <c r="I107" s="1460"/>
      <c r="J107" s="1460"/>
      <c r="K107" s="1468"/>
      <c r="L107" s="1469"/>
      <c r="M107" s="1460"/>
      <c r="N107" s="1460"/>
      <c r="O107" s="1460"/>
      <c r="P107" s="1460"/>
      <c r="Q107" s="1460"/>
      <c r="R107" s="1460"/>
      <c r="S107" s="1460"/>
      <c r="T107" s="1460"/>
    </row>
    <row r="108" spans="1:20">
      <c r="A108" s="1460"/>
      <c r="B108" s="1460"/>
      <c r="C108" s="1460"/>
      <c r="D108" s="1460"/>
      <c r="E108" s="1460"/>
      <c r="F108" s="1460"/>
      <c r="G108" s="1460"/>
      <c r="H108" s="1460"/>
      <c r="I108" s="1460"/>
      <c r="J108" s="1460"/>
      <c r="K108" s="1468"/>
      <c r="L108" s="1469"/>
      <c r="M108" s="1460"/>
      <c r="N108" s="1460"/>
      <c r="O108" s="1460"/>
      <c r="P108" s="1460"/>
      <c r="Q108" s="1460"/>
      <c r="R108" s="1460"/>
      <c r="S108" s="1460"/>
      <c r="T108" s="1460"/>
    </row>
    <row r="109" spans="1:20">
      <c r="A109" s="1460"/>
      <c r="B109" s="1460"/>
      <c r="C109" s="1460"/>
      <c r="D109" s="1460"/>
      <c r="E109" s="1460"/>
      <c r="F109" s="1460"/>
      <c r="G109" s="1460"/>
      <c r="H109" s="1460"/>
      <c r="I109" s="1460"/>
      <c r="J109" s="1460"/>
      <c r="K109" s="1468"/>
      <c r="L109" s="1469"/>
      <c r="M109" s="1460"/>
      <c r="N109" s="1460"/>
      <c r="O109" s="1460"/>
      <c r="P109" s="1460"/>
      <c r="Q109" s="1460"/>
      <c r="R109" s="1460"/>
      <c r="S109" s="1460"/>
      <c r="T109" s="1460"/>
    </row>
    <row r="110" spans="1:20">
      <c r="A110" s="1460"/>
      <c r="B110" s="1460"/>
      <c r="C110" s="1460"/>
      <c r="D110" s="1460"/>
      <c r="E110" s="1460"/>
      <c r="F110" s="1460"/>
      <c r="G110" s="1460"/>
      <c r="H110" s="1460"/>
      <c r="I110" s="1460"/>
      <c r="J110" s="1460"/>
      <c r="K110" s="1468"/>
      <c r="L110" s="1469"/>
      <c r="M110" s="1460"/>
      <c r="N110" s="1460"/>
      <c r="O110" s="1460"/>
      <c r="P110" s="1460"/>
      <c r="Q110" s="1460"/>
      <c r="R110" s="1460"/>
      <c r="S110" s="1460"/>
      <c r="T110" s="1460"/>
    </row>
    <row r="111" spans="1:20">
      <c r="A111" s="1460"/>
      <c r="B111" s="1460"/>
      <c r="C111" s="1460"/>
      <c r="D111" s="1460"/>
      <c r="E111" s="1460"/>
      <c r="F111" s="1460"/>
      <c r="G111" s="1460"/>
      <c r="H111" s="1460"/>
      <c r="I111" s="1460"/>
      <c r="J111" s="1460"/>
      <c r="K111" s="1468"/>
      <c r="L111" s="1469"/>
      <c r="M111" s="1460"/>
      <c r="N111" s="1460"/>
      <c r="O111" s="1460"/>
      <c r="P111" s="1460"/>
      <c r="Q111" s="1460"/>
      <c r="R111" s="1460"/>
      <c r="S111" s="1460"/>
      <c r="T111" s="1460"/>
    </row>
    <row r="112" spans="1:20">
      <c r="A112" s="1460"/>
      <c r="B112" s="1460"/>
      <c r="C112" s="1460"/>
      <c r="D112" s="1460"/>
      <c r="E112" s="1460"/>
      <c r="F112" s="1460"/>
      <c r="G112" s="1460"/>
      <c r="H112" s="1460"/>
      <c r="I112" s="1460"/>
      <c r="J112" s="1460"/>
      <c r="K112" s="1468"/>
      <c r="L112" s="1469"/>
      <c r="M112" s="1460"/>
      <c r="N112" s="1460"/>
      <c r="O112" s="1460"/>
      <c r="P112" s="1460"/>
      <c r="Q112" s="1460"/>
      <c r="R112" s="1460"/>
      <c r="S112" s="1460"/>
      <c r="T112" s="1460"/>
    </row>
    <row r="113" spans="1:20">
      <c r="A113" s="1460"/>
      <c r="B113" s="1460"/>
      <c r="C113" s="1460"/>
      <c r="D113" s="1460"/>
      <c r="E113" s="1460"/>
      <c r="F113" s="1460"/>
      <c r="G113" s="1460"/>
      <c r="H113" s="1460"/>
      <c r="I113" s="1460"/>
      <c r="J113" s="1460"/>
      <c r="K113" s="1468"/>
      <c r="L113" s="1469"/>
      <c r="M113" s="1460"/>
      <c r="N113" s="1460"/>
      <c r="O113" s="1460"/>
      <c r="P113" s="1460"/>
      <c r="Q113" s="1460"/>
      <c r="R113" s="1460"/>
      <c r="S113" s="1460"/>
      <c r="T113" s="1460"/>
    </row>
    <row r="114" spans="1:20">
      <c r="A114" s="1460"/>
      <c r="B114" s="1460"/>
      <c r="C114" s="1460"/>
      <c r="D114" s="1460"/>
      <c r="E114" s="1460"/>
      <c r="F114" s="1460"/>
      <c r="G114" s="1460"/>
      <c r="H114" s="1460"/>
      <c r="I114" s="1460"/>
      <c r="J114" s="1460"/>
      <c r="K114" s="1468"/>
      <c r="L114" s="1469"/>
      <c r="M114" s="1460"/>
      <c r="N114" s="1460"/>
      <c r="O114" s="1460"/>
      <c r="P114" s="1460"/>
      <c r="Q114" s="1460"/>
      <c r="R114" s="1460"/>
      <c r="S114" s="1460"/>
      <c r="T114" s="1460"/>
    </row>
    <row r="115" spans="1:20">
      <c r="A115" s="1460"/>
      <c r="B115" s="1460"/>
      <c r="C115" s="1460"/>
      <c r="D115" s="1460"/>
      <c r="E115" s="1460"/>
      <c r="F115" s="1460"/>
      <c r="G115" s="1460"/>
      <c r="H115" s="1460"/>
      <c r="I115" s="1460"/>
      <c r="J115" s="1460"/>
      <c r="K115" s="1468"/>
      <c r="L115" s="1469"/>
      <c r="M115" s="1460"/>
      <c r="N115" s="1460"/>
      <c r="O115" s="1460"/>
      <c r="P115" s="1460"/>
      <c r="Q115" s="1460"/>
      <c r="R115" s="1460"/>
      <c r="S115" s="1460"/>
      <c r="T115" s="1460"/>
    </row>
    <row r="116" spans="1:20">
      <c r="A116" s="1460"/>
      <c r="B116" s="1460"/>
      <c r="C116" s="1460"/>
      <c r="D116" s="1460"/>
      <c r="E116" s="1460"/>
      <c r="F116" s="1460"/>
      <c r="G116" s="1460"/>
      <c r="H116" s="1460"/>
      <c r="I116" s="1460"/>
      <c r="J116" s="1460"/>
      <c r="K116" s="1468"/>
      <c r="L116" s="1469"/>
      <c r="M116" s="1460"/>
      <c r="N116" s="1460"/>
      <c r="O116" s="1460"/>
      <c r="P116" s="1460"/>
      <c r="Q116" s="1460"/>
      <c r="R116" s="1460"/>
      <c r="S116" s="1460"/>
      <c r="T116" s="1460"/>
    </row>
    <row r="117" spans="1:20">
      <c r="A117" s="1460"/>
      <c r="B117" s="1460"/>
      <c r="C117" s="1460"/>
      <c r="D117" s="1460"/>
      <c r="E117" s="1460"/>
      <c r="F117" s="1460"/>
      <c r="G117" s="1460"/>
      <c r="H117" s="1460"/>
      <c r="I117" s="1460"/>
      <c r="J117" s="1460"/>
      <c r="K117" s="1468"/>
      <c r="L117" s="1469"/>
      <c r="M117" s="1460"/>
      <c r="N117" s="1460"/>
      <c r="O117" s="1460"/>
      <c r="P117" s="1460"/>
      <c r="Q117" s="1460"/>
      <c r="R117" s="1460"/>
      <c r="S117" s="1460"/>
      <c r="T117" s="1460"/>
    </row>
    <row r="118" spans="1:20">
      <c r="A118" s="1460"/>
      <c r="B118" s="1460"/>
      <c r="C118" s="1460"/>
      <c r="D118" s="1460"/>
      <c r="E118" s="1460"/>
      <c r="F118" s="1460"/>
      <c r="G118" s="1460"/>
      <c r="H118" s="1460"/>
      <c r="I118" s="1460"/>
      <c r="J118" s="1460"/>
      <c r="K118" s="1468"/>
      <c r="L118" s="1469"/>
      <c r="M118" s="1460"/>
      <c r="N118" s="1460"/>
      <c r="O118" s="1460"/>
      <c r="P118" s="1460"/>
      <c r="Q118" s="1460"/>
      <c r="R118" s="1460"/>
      <c r="S118" s="1460"/>
      <c r="T118" s="1460"/>
    </row>
    <row r="119" spans="1:20">
      <c r="A119" s="1460"/>
      <c r="B119" s="1460"/>
      <c r="C119" s="1460"/>
      <c r="D119" s="1460"/>
      <c r="E119" s="1460"/>
      <c r="F119" s="1460"/>
      <c r="G119" s="1460"/>
      <c r="H119" s="1460"/>
      <c r="I119" s="1460"/>
      <c r="J119" s="1460"/>
      <c r="K119" s="1468"/>
      <c r="L119" s="1469"/>
      <c r="M119" s="1460"/>
      <c r="N119" s="1460"/>
      <c r="O119" s="1460"/>
      <c r="P119" s="1460"/>
      <c r="Q119" s="1460"/>
      <c r="R119" s="1460"/>
      <c r="S119" s="1460"/>
      <c r="T119" s="1460"/>
    </row>
    <row r="120" spans="1:20">
      <c r="A120" s="1460"/>
      <c r="B120" s="1460"/>
      <c r="C120" s="1460"/>
      <c r="D120" s="1460"/>
      <c r="E120" s="1460"/>
      <c r="F120" s="1460"/>
      <c r="G120" s="1460"/>
      <c r="H120" s="1460"/>
      <c r="I120" s="1460"/>
      <c r="J120" s="1460"/>
      <c r="K120" s="1468"/>
      <c r="L120" s="1469"/>
      <c r="M120" s="1460"/>
      <c r="N120" s="1460"/>
      <c r="O120" s="1460"/>
      <c r="P120" s="1460"/>
      <c r="Q120" s="1460"/>
      <c r="R120" s="1460"/>
      <c r="S120" s="1460"/>
      <c r="T120" s="1460"/>
    </row>
    <row r="121" spans="1:20">
      <c r="A121" s="1460"/>
      <c r="B121" s="1460"/>
      <c r="C121" s="1460"/>
      <c r="D121" s="1460"/>
      <c r="E121" s="1460"/>
      <c r="F121" s="1460"/>
      <c r="G121" s="1460"/>
      <c r="H121" s="1460"/>
      <c r="I121" s="1460"/>
      <c r="J121" s="1460"/>
      <c r="K121" s="1468"/>
      <c r="L121" s="1469"/>
      <c r="M121" s="1460"/>
      <c r="N121" s="1460"/>
      <c r="O121" s="1460"/>
      <c r="P121" s="1460"/>
      <c r="Q121" s="1460"/>
      <c r="R121" s="1460"/>
      <c r="S121" s="1460"/>
      <c r="T121" s="1460"/>
    </row>
    <row r="122" spans="1:20">
      <c r="A122" s="1460"/>
      <c r="B122" s="1460"/>
      <c r="C122" s="1460"/>
      <c r="D122" s="1460"/>
      <c r="E122" s="1460"/>
      <c r="F122" s="1460"/>
      <c r="G122" s="1460"/>
      <c r="H122" s="1460"/>
      <c r="I122" s="1460"/>
      <c r="J122" s="1460"/>
      <c r="K122" s="1468"/>
      <c r="L122" s="1469"/>
      <c r="M122" s="1460"/>
      <c r="N122" s="1460"/>
      <c r="O122" s="1460"/>
      <c r="P122" s="1460"/>
      <c r="Q122" s="1460"/>
      <c r="R122" s="1460"/>
      <c r="S122" s="1460"/>
      <c r="T122" s="1460"/>
    </row>
    <row r="123" spans="1:20">
      <c r="A123" s="1460"/>
      <c r="B123" s="1460"/>
      <c r="C123" s="1460"/>
      <c r="D123" s="1460"/>
      <c r="E123" s="1460"/>
      <c r="F123" s="1460"/>
      <c r="G123" s="1460"/>
      <c r="H123" s="1460"/>
      <c r="I123" s="1460"/>
      <c r="J123" s="1460"/>
      <c r="K123" s="1468"/>
      <c r="L123" s="1469"/>
      <c r="M123" s="1460"/>
      <c r="N123" s="1460"/>
      <c r="O123" s="1460"/>
      <c r="P123" s="1460"/>
      <c r="Q123" s="1460"/>
      <c r="R123" s="1460"/>
      <c r="S123" s="1460"/>
      <c r="T123" s="1460"/>
    </row>
    <row r="124" spans="1:20">
      <c r="A124" s="1460"/>
      <c r="B124" s="1460"/>
      <c r="C124" s="1460"/>
      <c r="D124" s="1460"/>
      <c r="E124" s="1460"/>
      <c r="F124" s="1460"/>
      <c r="G124" s="1460"/>
      <c r="H124" s="1460"/>
      <c r="I124" s="1460"/>
      <c r="J124" s="1460"/>
      <c r="K124" s="1468"/>
      <c r="L124" s="1469"/>
      <c r="M124" s="1460"/>
      <c r="N124" s="1460"/>
      <c r="O124" s="1460"/>
      <c r="P124" s="1460"/>
      <c r="Q124" s="1460"/>
      <c r="R124" s="1460"/>
      <c r="S124" s="1460"/>
      <c r="T124" s="1460"/>
    </row>
    <row r="125" spans="1:20">
      <c r="A125" s="1460"/>
      <c r="B125" s="1460"/>
      <c r="C125" s="1460"/>
      <c r="D125" s="1460"/>
      <c r="E125" s="1460"/>
      <c r="F125" s="1460"/>
      <c r="G125" s="1460"/>
      <c r="H125" s="1460"/>
      <c r="I125" s="1460"/>
      <c r="J125" s="1460"/>
      <c r="K125" s="1468"/>
      <c r="L125" s="1469"/>
      <c r="M125" s="1460"/>
      <c r="N125" s="1460"/>
      <c r="O125" s="1460"/>
      <c r="P125" s="1460"/>
      <c r="Q125" s="1460"/>
      <c r="R125" s="1460"/>
      <c r="S125" s="1460"/>
      <c r="T125" s="1460"/>
    </row>
    <row r="126" spans="1:20">
      <c r="A126" s="1460"/>
      <c r="B126" s="1460"/>
      <c r="C126" s="1460"/>
      <c r="D126" s="1460"/>
      <c r="E126" s="1460"/>
      <c r="F126" s="1460"/>
      <c r="G126" s="1460"/>
      <c r="H126" s="1460"/>
      <c r="I126" s="1460"/>
      <c r="J126" s="1460"/>
      <c r="K126" s="1468"/>
      <c r="L126" s="1469"/>
      <c r="M126" s="1460"/>
      <c r="N126" s="1460"/>
      <c r="O126" s="1460"/>
      <c r="P126" s="1460"/>
      <c r="Q126" s="1460"/>
      <c r="R126" s="1460"/>
      <c r="S126" s="1460"/>
      <c r="T126" s="1460"/>
    </row>
    <row r="127" spans="1:20">
      <c r="A127" s="1460"/>
      <c r="B127" s="1460"/>
      <c r="C127" s="1460"/>
      <c r="D127" s="1460"/>
      <c r="E127" s="1460"/>
      <c r="F127" s="1460"/>
      <c r="G127" s="1460"/>
      <c r="H127" s="1460"/>
      <c r="I127" s="1460"/>
      <c r="J127" s="1460"/>
      <c r="K127" s="1468"/>
      <c r="L127" s="1469"/>
      <c r="M127" s="1460"/>
      <c r="N127" s="1460"/>
      <c r="O127" s="1460"/>
      <c r="P127" s="1460"/>
      <c r="Q127" s="1460"/>
      <c r="R127" s="1460"/>
      <c r="S127" s="1460"/>
      <c r="T127" s="1460"/>
    </row>
    <row r="128" spans="1:20">
      <c r="A128" s="1460"/>
      <c r="B128" s="1460"/>
      <c r="C128" s="1460"/>
      <c r="D128" s="1460"/>
      <c r="E128" s="1460"/>
      <c r="F128" s="1460"/>
      <c r="G128" s="1460"/>
      <c r="H128" s="1460"/>
      <c r="I128" s="1460"/>
      <c r="J128" s="1460"/>
      <c r="K128" s="1468"/>
      <c r="L128" s="1469"/>
      <c r="M128" s="1460"/>
      <c r="N128" s="1460"/>
      <c r="O128" s="1460"/>
      <c r="P128" s="1460"/>
      <c r="Q128" s="1460"/>
      <c r="R128" s="1460"/>
      <c r="S128" s="1460"/>
      <c r="T128" s="1460"/>
    </row>
    <row r="129" spans="1:20">
      <c r="A129" s="1460"/>
      <c r="B129" s="1460"/>
      <c r="C129" s="1460"/>
      <c r="D129" s="1460"/>
      <c r="E129" s="1460"/>
      <c r="F129" s="1460"/>
      <c r="G129" s="1460"/>
      <c r="H129" s="1460"/>
      <c r="I129" s="1460"/>
      <c r="J129" s="1460"/>
      <c r="K129" s="1468"/>
      <c r="L129" s="1469"/>
      <c r="M129" s="1460"/>
      <c r="N129" s="1460"/>
      <c r="O129" s="1460"/>
      <c r="P129" s="1460"/>
      <c r="Q129" s="1460"/>
      <c r="R129" s="1460"/>
      <c r="S129" s="1460"/>
      <c r="T129" s="1460"/>
    </row>
    <row r="130" spans="1:20">
      <c r="A130" s="1460"/>
      <c r="B130" s="1460"/>
      <c r="C130" s="1460"/>
      <c r="D130" s="1460"/>
      <c r="E130" s="1460"/>
      <c r="F130" s="1460"/>
      <c r="G130" s="1460"/>
      <c r="H130" s="1460"/>
      <c r="I130" s="1460"/>
      <c r="J130" s="1460"/>
      <c r="K130" s="1468"/>
      <c r="L130" s="1469"/>
      <c r="M130" s="1460"/>
      <c r="N130" s="1460"/>
      <c r="O130" s="1460"/>
      <c r="P130" s="1460"/>
      <c r="Q130" s="1460"/>
      <c r="R130" s="1460"/>
      <c r="S130" s="1460"/>
      <c r="T130" s="1460"/>
    </row>
    <row r="131" spans="1:20">
      <c r="A131" s="1460"/>
      <c r="B131" s="1460"/>
      <c r="C131" s="1460"/>
      <c r="D131" s="1460"/>
      <c r="E131" s="1460"/>
      <c r="F131" s="1460"/>
      <c r="G131" s="1460"/>
      <c r="H131" s="1460"/>
      <c r="I131" s="1460"/>
      <c r="J131" s="1460"/>
      <c r="K131" s="1468"/>
      <c r="L131" s="1469"/>
      <c r="M131" s="1460"/>
      <c r="N131" s="1460"/>
      <c r="O131" s="1460"/>
      <c r="P131" s="1460"/>
      <c r="Q131" s="1460"/>
      <c r="R131" s="1460"/>
      <c r="S131" s="1460"/>
      <c r="T131" s="1460"/>
    </row>
    <row r="132" spans="1:20">
      <c r="A132" s="1460"/>
      <c r="B132" s="1460"/>
      <c r="C132" s="1460"/>
      <c r="D132" s="1460"/>
      <c r="E132" s="1460"/>
      <c r="F132" s="1460"/>
      <c r="G132" s="1460"/>
      <c r="H132" s="1460"/>
      <c r="I132" s="1460"/>
      <c r="J132" s="1460"/>
      <c r="K132" s="1468"/>
      <c r="L132" s="1469"/>
      <c r="M132" s="1460"/>
      <c r="N132" s="1460"/>
      <c r="O132" s="1460"/>
      <c r="P132" s="1460"/>
      <c r="Q132" s="1460"/>
      <c r="R132" s="1460"/>
      <c r="S132" s="1460"/>
      <c r="T132" s="1460"/>
    </row>
    <row r="133" spans="1:20">
      <c r="A133" s="1460"/>
      <c r="B133" s="1460"/>
      <c r="C133" s="1460"/>
      <c r="D133" s="1460"/>
      <c r="E133" s="1460"/>
      <c r="F133" s="1460"/>
      <c r="G133" s="1460"/>
      <c r="H133" s="1460"/>
      <c r="I133" s="1460"/>
      <c r="J133" s="1460"/>
      <c r="K133" s="1468"/>
      <c r="L133" s="1469"/>
      <c r="M133" s="1460"/>
      <c r="N133" s="1460"/>
      <c r="O133" s="1460"/>
      <c r="P133" s="1460"/>
      <c r="Q133" s="1460"/>
      <c r="R133" s="1460"/>
      <c r="S133" s="1460"/>
      <c r="T133" s="1460"/>
    </row>
    <row r="134" spans="1:20">
      <c r="A134" s="1460"/>
      <c r="B134" s="1460"/>
      <c r="C134" s="1460"/>
      <c r="D134" s="1460"/>
      <c r="E134" s="1460"/>
      <c r="F134" s="1460"/>
      <c r="G134" s="1460"/>
      <c r="H134" s="1460"/>
      <c r="I134" s="1460"/>
      <c r="J134" s="1460"/>
      <c r="K134" s="1468"/>
      <c r="L134" s="1469"/>
      <c r="M134" s="1460"/>
      <c r="N134" s="1460"/>
      <c r="O134" s="1460"/>
      <c r="P134" s="1460"/>
      <c r="Q134" s="1460"/>
      <c r="R134" s="1460"/>
      <c r="S134" s="1460"/>
      <c r="T134" s="1460"/>
    </row>
    <row r="135" spans="1:20">
      <c r="A135" s="1460"/>
      <c r="B135" s="1460"/>
      <c r="C135" s="1460"/>
      <c r="D135" s="1460"/>
      <c r="E135" s="1460"/>
      <c r="F135" s="1460"/>
      <c r="G135" s="1460"/>
      <c r="H135" s="1460"/>
      <c r="I135" s="1460"/>
      <c r="J135" s="1460"/>
      <c r="K135" s="1468"/>
      <c r="L135" s="1469"/>
      <c r="M135" s="1460"/>
      <c r="N135" s="1460"/>
      <c r="O135" s="1460"/>
      <c r="P135" s="1460"/>
      <c r="Q135" s="1460"/>
      <c r="R135" s="1460"/>
      <c r="S135" s="1460"/>
      <c r="T135" s="1460"/>
    </row>
    <row r="136" spans="1:20">
      <c r="A136" s="1460"/>
      <c r="B136" s="1460"/>
      <c r="C136" s="1460"/>
      <c r="D136" s="1460"/>
      <c r="E136" s="1460"/>
      <c r="F136" s="1460"/>
      <c r="G136" s="1460"/>
      <c r="H136" s="1460"/>
      <c r="I136" s="1460"/>
      <c r="J136" s="1460"/>
      <c r="K136" s="1468"/>
      <c r="L136" s="1469"/>
      <c r="M136" s="1460"/>
      <c r="N136" s="1460"/>
      <c r="O136" s="1460"/>
      <c r="P136" s="1460"/>
      <c r="Q136" s="1460"/>
      <c r="R136" s="1460"/>
      <c r="S136" s="1460"/>
      <c r="T136" s="1460"/>
    </row>
    <row r="137" spans="1:20">
      <c r="A137" s="1460"/>
      <c r="B137" s="1460"/>
      <c r="C137" s="1460"/>
      <c r="D137" s="1460"/>
      <c r="E137" s="1460"/>
      <c r="F137" s="1460"/>
      <c r="G137" s="1460"/>
      <c r="H137" s="1460"/>
      <c r="I137" s="1460"/>
      <c r="J137" s="1460"/>
      <c r="K137" s="1468"/>
      <c r="L137" s="1469"/>
      <c r="M137" s="1460"/>
      <c r="N137" s="1460"/>
      <c r="O137" s="1460"/>
      <c r="P137" s="1460"/>
      <c r="Q137" s="1460"/>
      <c r="R137" s="1460"/>
      <c r="S137" s="1460"/>
      <c r="T137" s="1460"/>
    </row>
    <row r="138" spans="1:20">
      <c r="A138" s="1460"/>
      <c r="B138" s="1460"/>
      <c r="C138" s="1460"/>
      <c r="D138" s="1460"/>
      <c r="E138" s="1460"/>
      <c r="F138" s="1460"/>
      <c r="G138" s="1460"/>
      <c r="H138" s="1460"/>
      <c r="I138" s="1460"/>
      <c r="J138" s="1460"/>
      <c r="K138" s="1468"/>
      <c r="L138" s="1469"/>
      <c r="M138" s="1460"/>
      <c r="N138" s="1460"/>
      <c r="O138" s="1460"/>
      <c r="P138" s="1460"/>
      <c r="Q138" s="1460"/>
      <c r="R138" s="1460"/>
      <c r="S138" s="1460"/>
      <c r="T138" s="1460"/>
    </row>
    <row r="139" spans="1:20">
      <c r="A139" s="1460"/>
      <c r="B139" s="1460"/>
      <c r="C139" s="1460"/>
      <c r="D139" s="1460"/>
      <c r="E139" s="1460"/>
      <c r="F139" s="1460"/>
      <c r="G139" s="1460"/>
      <c r="H139" s="1460"/>
      <c r="I139" s="1460"/>
      <c r="J139" s="1460"/>
      <c r="K139" s="1468"/>
      <c r="L139" s="1469"/>
      <c r="M139" s="1460"/>
      <c r="N139" s="1460"/>
      <c r="O139" s="1460"/>
      <c r="P139" s="1460"/>
      <c r="Q139" s="1460"/>
      <c r="R139" s="1460"/>
      <c r="S139" s="1460"/>
      <c r="T139" s="1460"/>
    </row>
    <row r="140" spans="1:20">
      <c r="A140" s="1460"/>
      <c r="B140" s="1460"/>
      <c r="C140" s="1460"/>
      <c r="D140" s="1460"/>
      <c r="E140" s="1460"/>
      <c r="F140" s="1460"/>
      <c r="G140" s="1460"/>
      <c r="H140" s="1460"/>
      <c r="I140" s="1460"/>
      <c r="J140" s="1460"/>
      <c r="K140" s="1468"/>
      <c r="L140" s="1469"/>
      <c r="M140" s="1460"/>
      <c r="N140" s="1460"/>
      <c r="O140" s="1460"/>
      <c r="P140" s="1460"/>
      <c r="Q140" s="1460"/>
      <c r="R140" s="1460"/>
      <c r="S140" s="1460"/>
      <c r="T140" s="1460"/>
    </row>
    <row r="141" spans="1:20">
      <c r="A141" s="1460"/>
      <c r="B141" s="1460"/>
      <c r="C141" s="1460"/>
      <c r="D141" s="1460"/>
      <c r="E141" s="1460"/>
      <c r="F141" s="1460"/>
      <c r="G141" s="1460"/>
      <c r="H141" s="1460"/>
      <c r="I141" s="1460"/>
      <c r="J141" s="1460"/>
      <c r="K141" s="1468"/>
      <c r="L141" s="1469"/>
      <c r="M141" s="1460"/>
      <c r="N141" s="1460"/>
      <c r="O141" s="1460"/>
      <c r="P141" s="1460"/>
      <c r="Q141" s="1460"/>
      <c r="R141" s="1460"/>
      <c r="S141" s="1460"/>
      <c r="T141" s="1460"/>
    </row>
    <row r="142" spans="1:20">
      <c r="A142" s="1460"/>
      <c r="B142" s="1460"/>
      <c r="C142" s="1460"/>
      <c r="D142" s="1460"/>
      <c r="E142" s="1460"/>
      <c r="F142" s="1460"/>
      <c r="G142" s="1460"/>
      <c r="H142" s="1460"/>
      <c r="I142" s="1460"/>
      <c r="J142" s="1460"/>
      <c r="K142" s="1468"/>
      <c r="L142" s="1469"/>
      <c r="M142" s="1460"/>
      <c r="N142" s="1460"/>
      <c r="O142" s="1460"/>
      <c r="P142" s="1460"/>
      <c r="Q142" s="1460"/>
      <c r="R142" s="1460"/>
      <c r="S142" s="1460"/>
      <c r="T142" s="1460"/>
    </row>
    <row r="143" spans="1:20">
      <c r="A143" s="1460"/>
      <c r="B143" s="1460"/>
      <c r="C143" s="1460"/>
      <c r="D143" s="1460"/>
      <c r="E143" s="1460"/>
      <c r="F143" s="1460"/>
      <c r="G143" s="1460"/>
      <c r="H143" s="1460"/>
      <c r="I143" s="1460"/>
      <c r="J143" s="1460"/>
      <c r="K143" s="1468"/>
      <c r="L143" s="1469"/>
      <c r="M143" s="1460"/>
      <c r="N143" s="1460"/>
      <c r="O143" s="1460"/>
      <c r="P143" s="1460"/>
      <c r="Q143" s="1460"/>
      <c r="R143" s="1460"/>
      <c r="S143" s="1460"/>
      <c r="T143" s="1460"/>
    </row>
    <row r="144" spans="1:20">
      <c r="A144" s="1460"/>
      <c r="B144" s="1460"/>
      <c r="C144" s="1460"/>
      <c r="D144" s="1460"/>
      <c r="E144" s="1460"/>
      <c r="F144" s="1460"/>
      <c r="G144" s="1460"/>
      <c r="H144" s="1460"/>
      <c r="I144" s="1460"/>
      <c r="J144" s="1460"/>
      <c r="K144" s="1468"/>
      <c r="L144" s="1469"/>
      <c r="M144" s="1460"/>
      <c r="N144" s="1460"/>
      <c r="O144" s="1460"/>
      <c r="P144" s="1460"/>
      <c r="Q144" s="1460"/>
      <c r="R144" s="1460"/>
      <c r="S144" s="1460"/>
      <c r="T144" s="1460"/>
    </row>
    <row r="145" spans="1:20">
      <c r="A145" s="1460"/>
      <c r="B145" s="1460"/>
      <c r="C145" s="1460"/>
      <c r="D145" s="1460"/>
      <c r="E145" s="1460"/>
      <c r="F145" s="1460"/>
      <c r="G145" s="1460"/>
      <c r="H145" s="1460"/>
      <c r="I145" s="1460"/>
      <c r="J145" s="1460"/>
      <c r="K145" s="1468"/>
      <c r="L145" s="1469"/>
      <c r="M145" s="1460"/>
      <c r="N145" s="1460"/>
      <c r="O145" s="1460"/>
      <c r="P145" s="1460"/>
      <c r="Q145" s="1460"/>
      <c r="R145" s="1460"/>
      <c r="S145" s="1460"/>
      <c r="T145" s="1460"/>
    </row>
    <row r="146" spans="1:20">
      <c r="A146" s="1460"/>
      <c r="B146" s="1460"/>
      <c r="C146" s="1460"/>
      <c r="D146" s="1460"/>
      <c r="E146" s="1460"/>
      <c r="F146" s="1460"/>
      <c r="G146" s="1460"/>
      <c r="H146" s="1460"/>
      <c r="I146" s="1460"/>
      <c r="J146" s="1460"/>
      <c r="K146" s="1468"/>
      <c r="L146" s="1469"/>
      <c r="M146" s="1460"/>
      <c r="N146" s="1460"/>
      <c r="O146" s="1460"/>
      <c r="P146" s="1460"/>
      <c r="Q146" s="1460"/>
      <c r="R146" s="1460"/>
      <c r="S146" s="1460"/>
      <c r="T146" s="1460"/>
    </row>
    <row r="147" spans="1:20">
      <c r="A147" s="1460"/>
      <c r="B147" s="1460"/>
      <c r="C147" s="1460"/>
      <c r="D147" s="1460"/>
      <c r="E147" s="1460"/>
      <c r="F147" s="1460"/>
      <c r="G147" s="1460"/>
      <c r="H147" s="1460"/>
      <c r="I147" s="1460"/>
      <c r="J147" s="1460"/>
      <c r="K147" s="1468"/>
      <c r="L147" s="1469"/>
      <c r="M147" s="1460"/>
      <c r="N147" s="1460"/>
      <c r="O147" s="1460"/>
      <c r="P147" s="1460"/>
      <c r="Q147" s="1460"/>
      <c r="R147" s="1460"/>
      <c r="S147" s="1460"/>
      <c r="T147" s="1460"/>
    </row>
    <row r="148" spans="1:20">
      <c r="A148" s="1460"/>
      <c r="B148" s="1460"/>
      <c r="C148" s="1460"/>
      <c r="D148" s="1460"/>
      <c r="E148" s="1460"/>
      <c r="F148" s="1460"/>
      <c r="G148" s="1460"/>
      <c r="H148" s="1460"/>
      <c r="I148" s="1460"/>
      <c r="J148" s="1460"/>
      <c r="K148" s="1468"/>
      <c r="L148" s="1469"/>
      <c r="M148" s="1460"/>
      <c r="N148" s="1460"/>
      <c r="O148" s="1460"/>
      <c r="P148" s="1460"/>
      <c r="Q148" s="1460"/>
      <c r="R148" s="1460"/>
      <c r="S148" s="1460"/>
      <c r="T148" s="1460"/>
    </row>
    <row r="149" spans="1:20">
      <c r="A149" s="1460"/>
      <c r="B149" s="1460"/>
      <c r="C149" s="1460"/>
      <c r="D149" s="1460"/>
      <c r="E149" s="1460"/>
      <c r="F149" s="1460"/>
      <c r="G149" s="1460"/>
      <c r="H149" s="1460"/>
      <c r="I149" s="1460"/>
      <c r="J149" s="1460"/>
      <c r="K149" s="1468"/>
      <c r="L149" s="1469"/>
      <c r="M149" s="1460"/>
      <c r="N149" s="1460"/>
      <c r="O149" s="1460"/>
      <c r="P149" s="1460"/>
      <c r="Q149" s="1460"/>
      <c r="R149" s="1460"/>
      <c r="S149" s="1460"/>
      <c r="T149" s="1460"/>
    </row>
    <row r="150" spans="1:20">
      <c r="A150" s="1460"/>
      <c r="B150" s="1460"/>
      <c r="C150" s="1460"/>
      <c r="D150" s="1460"/>
      <c r="E150" s="1460"/>
      <c r="F150" s="1460"/>
      <c r="G150" s="1460"/>
      <c r="H150" s="1460"/>
      <c r="I150" s="1460"/>
      <c r="J150" s="1460"/>
      <c r="K150" s="1468"/>
      <c r="L150" s="1469"/>
      <c r="M150" s="1460"/>
      <c r="N150" s="1460"/>
      <c r="O150" s="1460"/>
      <c r="P150" s="1460"/>
      <c r="Q150" s="1460"/>
      <c r="R150" s="1460"/>
      <c r="S150" s="1460"/>
      <c r="T150" s="1460"/>
    </row>
    <row r="151" spans="1:20">
      <c r="A151" s="1460"/>
      <c r="B151" s="1460"/>
      <c r="C151" s="1460"/>
      <c r="D151" s="1460"/>
      <c r="E151" s="1460"/>
      <c r="F151" s="1460"/>
      <c r="G151" s="1460"/>
      <c r="H151" s="1460"/>
      <c r="I151" s="1460"/>
      <c r="J151" s="1460"/>
      <c r="K151" s="1468"/>
      <c r="L151" s="1469"/>
      <c r="M151" s="1460"/>
      <c r="N151" s="1460"/>
      <c r="O151" s="1460"/>
      <c r="P151" s="1460"/>
      <c r="Q151" s="1460"/>
      <c r="R151" s="1460"/>
      <c r="S151" s="1460"/>
      <c r="T151" s="1460"/>
    </row>
    <row r="152" spans="1:20">
      <c r="A152" s="1460"/>
      <c r="B152" s="1460"/>
      <c r="C152" s="1460"/>
      <c r="D152" s="1460"/>
      <c r="E152" s="1460"/>
      <c r="F152" s="1460"/>
      <c r="G152" s="1460"/>
      <c r="H152" s="1460"/>
      <c r="I152" s="1460"/>
      <c r="J152" s="1460"/>
      <c r="K152" s="1468"/>
      <c r="L152" s="1469"/>
      <c r="M152" s="1460"/>
      <c r="N152" s="1460"/>
      <c r="O152" s="1460"/>
      <c r="P152" s="1460"/>
      <c r="Q152" s="1460"/>
      <c r="R152" s="1460"/>
      <c r="S152" s="1460"/>
      <c r="T152" s="1460"/>
    </row>
    <row r="153" spans="1:20">
      <c r="A153" s="1460"/>
      <c r="B153" s="1460"/>
      <c r="C153" s="1460"/>
      <c r="D153" s="1460"/>
      <c r="E153" s="1460"/>
      <c r="F153" s="1460"/>
      <c r="G153" s="1460"/>
      <c r="H153" s="1460"/>
      <c r="I153" s="1460"/>
      <c r="J153" s="1460"/>
      <c r="K153" s="1468"/>
      <c r="L153" s="1469"/>
      <c r="M153" s="1460"/>
      <c r="N153" s="1460"/>
      <c r="O153" s="1460"/>
      <c r="P153" s="1460"/>
      <c r="Q153" s="1460"/>
      <c r="R153" s="1460"/>
      <c r="S153" s="1460"/>
      <c r="T153" s="1460"/>
    </row>
    <row r="154" spans="1:20">
      <c r="A154" s="1460"/>
      <c r="B154" s="1460"/>
      <c r="C154" s="1460"/>
      <c r="D154" s="1460"/>
      <c r="E154" s="1460"/>
      <c r="F154" s="1460"/>
      <c r="G154" s="1460"/>
      <c r="H154" s="1460"/>
      <c r="I154" s="1460"/>
      <c r="J154" s="1460"/>
      <c r="K154" s="1468"/>
      <c r="L154" s="1469"/>
      <c r="M154" s="1460"/>
      <c r="N154" s="1460"/>
      <c r="O154" s="1460"/>
      <c r="P154" s="1460"/>
      <c r="Q154" s="1460"/>
      <c r="R154" s="1460"/>
      <c r="S154" s="1460"/>
      <c r="T154" s="1460"/>
    </row>
    <row r="155" spans="1:20">
      <c r="A155" s="1460"/>
      <c r="B155" s="1460"/>
      <c r="C155" s="1460"/>
      <c r="D155" s="1460"/>
      <c r="E155" s="1460"/>
      <c r="F155" s="1460"/>
      <c r="G155" s="1460"/>
      <c r="H155" s="1460"/>
      <c r="I155" s="1460"/>
      <c r="J155" s="1460"/>
      <c r="K155" s="1468"/>
      <c r="L155" s="1469"/>
      <c r="M155" s="1460"/>
      <c r="N155" s="1460"/>
      <c r="O155" s="1460"/>
      <c r="P155" s="1460"/>
      <c r="Q155" s="1460"/>
      <c r="R155" s="1460"/>
      <c r="S155" s="1460"/>
      <c r="T155" s="1460"/>
    </row>
    <row r="156" spans="1:20">
      <c r="A156" s="1460"/>
      <c r="B156" s="1460"/>
      <c r="C156" s="1460"/>
      <c r="D156" s="1460"/>
      <c r="E156" s="1460"/>
      <c r="F156" s="1460"/>
      <c r="G156" s="1460"/>
      <c r="H156" s="1460"/>
      <c r="I156" s="1460"/>
      <c r="J156" s="1460"/>
      <c r="K156" s="1468"/>
      <c r="L156" s="1469"/>
      <c r="M156" s="1460"/>
      <c r="N156" s="1460"/>
      <c r="O156" s="1460"/>
      <c r="P156" s="1460"/>
      <c r="Q156" s="1460"/>
      <c r="R156" s="1460"/>
      <c r="S156" s="1460"/>
      <c r="T156" s="1460"/>
    </row>
    <row r="157" spans="1:20">
      <c r="A157" s="1460"/>
      <c r="B157" s="1460"/>
      <c r="C157" s="1460"/>
      <c r="D157" s="1460"/>
      <c r="E157" s="1460"/>
      <c r="F157" s="1460"/>
      <c r="G157" s="1460"/>
      <c r="H157" s="1460"/>
      <c r="I157" s="1460"/>
      <c r="J157" s="1460"/>
      <c r="K157" s="1468"/>
      <c r="L157" s="1469"/>
      <c r="M157" s="1460"/>
      <c r="N157" s="1460"/>
      <c r="O157" s="1460"/>
      <c r="P157" s="1460"/>
      <c r="Q157" s="1460"/>
      <c r="R157" s="1460"/>
      <c r="S157" s="1460"/>
      <c r="T157" s="1460"/>
    </row>
    <row r="158" spans="1:20">
      <c r="A158" s="1460"/>
      <c r="B158" s="1460"/>
      <c r="C158" s="1460"/>
      <c r="D158" s="1460"/>
      <c r="E158" s="1460"/>
      <c r="F158" s="1460"/>
      <c r="G158" s="1460"/>
      <c r="H158" s="1460"/>
      <c r="I158" s="1460"/>
      <c r="J158" s="1460"/>
      <c r="K158" s="1468"/>
      <c r="L158" s="1469"/>
      <c r="M158" s="1460"/>
      <c r="N158" s="1460"/>
      <c r="O158" s="1460"/>
      <c r="P158" s="1460"/>
      <c r="Q158" s="1460"/>
      <c r="R158" s="1460"/>
      <c r="S158" s="1460"/>
      <c r="T158" s="1460"/>
    </row>
    <row r="159" spans="1:20">
      <c r="A159" s="1460"/>
      <c r="B159" s="1460"/>
      <c r="C159" s="1460"/>
      <c r="D159" s="1460"/>
      <c r="E159" s="1460"/>
      <c r="F159" s="1460"/>
      <c r="G159" s="1460"/>
      <c r="H159" s="1460"/>
      <c r="I159" s="1460"/>
      <c r="J159" s="1460"/>
      <c r="K159" s="1468"/>
      <c r="L159" s="1469"/>
      <c r="M159" s="1460"/>
      <c r="N159" s="1460"/>
      <c r="O159" s="1460"/>
      <c r="P159" s="1460"/>
      <c r="Q159" s="1460"/>
      <c r="R159" s="1460"/>
      <c r="S159" s="1460"/>
      <c r="T159" s="1460"/>
    </row>
    <row r="160" spans="1:20">
      <c r="A160" s="1460"/>
      <c r="B160" s="1460"/>
      <c r="C160" s="1460"/>
      <c r="D160" s="1460"/>
      <c r="E160" s="1460"/>
      <c r="F160" s="1460"/>
      <c r="G160" s="1460"/>
      <c r="H160" s="1460"/>
      <c r="I160" s="1460"/>
      <c r="J160" s="1460"/>
      <c r="K160" s="1468"/>
      <c r="L160" s="1469"/>
      <c r="M160" s="1460"/>
      <c r="N160" s="1460"/>
      <c r="O160" s="1460"/>
      <c r="P160" s="1460"/>
      <c r="Q160" s="1460"/>
      <c r="R160" s="1460"/>
      <c r="S160" s="1460"/>
      <c r="T160" s="1460"/>
    </row>
    <row r="161" spans="1:20">
      <c r="A161" s="1460"/>
      <c r="B161" s="1460"/>
      <c r="C161" s="1460"/>
      <c r="D161" s="1460"/>
      <c r="E161" s="1460"/>
      <c r="F161" s="1460"/>
      <c r="G161" s="1460"/>
      <c r="H161" s="1460"/>
      <c r="I161" s="1460"/>
      <c r="J161" s="1460"/>
      <c r="K161" s="1468"/>
      <c r="L161" s="1469"/>
      <c r="M161" s="1460"/>
      <c r="N161" s="1460"/>
      <c r="O161" s="1460"/>
      <c r="P161" s="1460"/>
      <c r="Q161" s="1460"/>
      <c r="R161" s="1460"/>
      <c r="S161" s="1460"/>
      <c r="T161" s="1460"/>
    </row>
    <row r="162" spans="1:20">
      <c r="A162" s="1460"/>
      <c r="B162" s="1460"/>
      <c r="C162" s="1460"/>
      <c r="D162" s="1460"/>
      <c r="E162" s="1460"/>
      <c r="F162" s="1460"/>
      <c r="G162" s="1460"/>
      <c r="H162" s="1460"/>
      <c r="I162" s="1460"/>
      <c r="J162" s="1460"/>
      <c r="K162" s="1468"/>
      <c r="L162" s="1469"/>
      <c r="M162" s="1460"/>
      <c r="N162" s="1460"/>
      <c r="O162" s="1460"/>
      <c r="P162" s="1460"/>
      <c r="Q162" s="1460"/>
      <c r="R162" s="1460"/>
      <c r="S162" s="1460"/>
      <c r="T162" s="1460"/>
    </row>
    <row r="163" spans="1:20">
      <c r="A163" s="1460"/>
      <c r="B163" s="1460"/>
      <c r="C163" s="1460"/>
      <c r="D163" s="1460"/>
      <c r="E163" s="1460"/>
      <c r="F163" s="1460"/>
      <c r="G163" s="1460"/>
      <c r="H163" s="1460"/>
      <c r="I163" s="1460"/>
      <c r="J163" s="1460"/>
      <c r="K163" s="1468"/>
      <c r="L163" s="1469"/>
      <c r="M163" s="1460"/>
      <c r="N163" s="1460"/>
      <c r="O163" s="1460"/>
      <c r="P163" s="1460"/>
      <c r="Q163" s="1460"/>
      <c r="R163" s="1460"/>
      <c r="S163" s="1460"/>
      <c r="T163" s="1460"/>
    </row>
    <row r="164" spans="1:20">
      <c r="A164" s="1460"/>
      <c r="B164" s="1460"/>
      <c r="C164" s="1460"/>
      <c r="D164" s="1460"/>
      <c r="E164" s="1460"/>
      <c r="F164" s="1460"/>
      <c r="G164" s="1460"/>
      <c r="H164" s="1460"/>
      <c r="I164" s="1460"/>
      <c r="J164" s="1460"/>
      <c r="K164" s="1468"/>
      <c r="L164" s="1469"/>
      <c r="M164" s="1460"/>
      <c r="N164" s="1460"/>
      <c r="O164" s="1460"/>
      <c r="P164" s="1460"/>
      <c r="Q164" s="1460"/>
      <c r="R164" s="1460"/>
      <c r="S164" s="1460"/>
      <c r="T164" s="1460"/>
    </row>
    <row r="165" spans="1:20">
      <c r="A165" s="1460"/>
      <c r="B165" s="1460"/>
      <c r="C165" s="1460"/>
      <c r="D165" s="1460"/>
      <c r="E165" s="1460"/>
      <c r="F165" s="1460"/>
      <c r="G165" s="1460"/>
      <c r="H165" s="1460"/>
      <c r="I165" s="1460"/>
      <c r="J165" s="1460"/>
      <c r="K165" s="1468"/>
      <c r="L165" s="1469"/>
      <c r="M165" s="1460"/>
      <c r="N165" s="1460"/>
      <c r="O165" s="1460"/>
      <c r="P165" s="1460"/>
      <c r="Q165" s="1460"/>
      <c r="R165" s="1460"/>
      <c r="S165" s="1460"/>
      <c r="T165" s="1460"/>
    </row>
    <row r="166" spans="1:20">
      <c r="A166" s="1460"/>
      <c r="B166" s="1460"/>
      <c r="C166" s="1460"/>
      <c r="D166" s="1460"/>
      <c r="E166" s="1460"/>
      <c r="F166" s="1460"/>
      <c r="G166" s="1460"/>
      <c r="H166" s="1460"/>
      <c r="I166" s="1460"/>
      <c r="J166" s="1460"/>
      <c r="K166" s="1468"/>
      <c r="L166" s="1469"/>
      <c r="M166" s="1460"/>
      <c r="N166" s="1460"/>
      <c r="O166" s="1460"/>
      <c r="P166" s="1460"/>
      <c r="Q166" s="1460"/>
      <c r="R166" s="1460"/>
      <c r="S166" s="1460"/>
      <c r="T166" s="1460"/>
    </row>
    <row r="167" spans="1:20">
      <c r="A167" s="1460"/>
      <c r="B167" s="1460"/>
      <c r="C167" s="1460"/>
      <c r="D167" s="1460"/>
      <c r="E167" s="1460"/>
      <c r="F167" s="1460"/>
      <c r="G167" s="1460"/>
      <c r="H167" s="1460"/>
      <c r="I167" s="1460"/>
      <c r="J167" s="1460"/>
      <c r="K167" s="1468"/>
      <c r="L167" s="1469"/>
      <c r="M167" s="1460"/>
      <c r="N167" s="1460"/>
      <c r="O167" s="1460"/>
      <c r="P167" s="1460"/>
      <c r="Q167" s="1460"/>
      <c r="R167" s="1460"/>
      <c r="S167" s="1460"/>
      <c r="T167" s="1460"/>
    </row>
    <row r="168" spans="1:20">
      <c r="A168" s="1460"/>
      <c r="B168" s="1460"/>
      <c r="C168" s="1460"/>
      <c r="D168" s="1460"/>
      <c r="E168" s="1460"/>
      <c r="F168" s="1460"/>
      <c r="G168" s="1460"/>
      <c r="H168" s="1460"/>
      <c r="I168" s="1460"/>
      <c r="J168" s="1460"/>
      <c r="K168" s="1468"/>
      <c r="L168" s="1469"/>
      <c r="M168" s="1460"/>
      <c r="N168" s="1460"/>
      <c r="O168" s="1460"/>
      <c r="P168" s="1460"/>
      <c r="Q168" s="1460"/>
      <c r="R168" s="1460"/>
      <c r="S168" s="1460"/>
      <c r="T168" s="1460"/>
    </row>
    <row r="169" spans="1:20">
      <c r="A169" s="1460"/>
      <c r="B169" s="1460"/>
      <c r="C169" s="1460"/>
      <c r="D169" s="1460"/>
      <c r="E169" s="1460"/>
      <c r="F169" s="1460"/>
      <c r="G169" s="1460"/>
      <c r="H169" s="1460"/>
      <c r="I169" s="1460"/>
      <c r="J169" s="1460"/>
      <c r="K169" s="1468"/>
      <c r="L169" s="1469"/>
      <c r="M169" s="1460"/>
      <c r="N169" s="1460"/>
      <c r="O169" s="1460"/>
      <c r="P169" s="1460"/>
      <c r="Q169" s="1460"/>
      <c r="R169" s="1460"/>
      <c r="S169" s="1460"/>
      <c r="T169" s="1460"/>
    </row>
    <row r="170" spans="1:20">
      <c r="A170" s="1460"/>
      <c r="B170" s="1460"/>
      <c r="C170" s="1460"/>
      <c r="D170" s="1460"/>
      <c r="E170" s="1460"/>
      <c r="F170" s="1460"/>
      <c r="G170" s="1460"/>
      <c r="H170" s="1460"/>
      <c r="I170" s="1460"/>
      <c r="J170" s="1460"/>
      <c r="K170" s="1468"/>
      <c r="L170" s="1469"/>
      <c r="M170" s="1460"/>
      <c r="N170" s="1460"/>
      <c r="O170" s="1460"/>
      <c r="P170" s="1460"/>
      <c r="Q170" s="1460"/>
      <c r="R170" s="1460"/>
      <c r="S170" s="1460"/>
      <c r="T170" s="1460"/>
    </row>
    <row r="171" spans="1:20">
      <c r="A171" s="1460"/>
      <c r="B171" s="1460"/>
      <c r="C171" s="1460"/>
      <c r="D171" s="1460"/>
      <c r="E171" s="1460"/>
      <c r="F171" s="1460"/>
      <c r="G171" s="1460"/>
      <c r="H171" s="1460"/>
      <c r="I171" s="1460"/>
      <c r="J171" s="1460"/>
      <c r="K171" s="1468"/>
      <c r="L171" s="1469"/>
      <c r="M171" s="1460"/>
      <c r="N171" s="1460"/>
      <c r="O171" s="1460"/>
      <c r="P171" s="1460"/>
      <c r="Q171" s="1460"/>
      <c r="R171" s="1460"/>
      <c r="S171" s="1460"/>
      <c r="T171" s="1460"/>
    </row>
    <row r="172" spans="1:20">
      <c r="A172" s="1460"/>
      <c r="B172" s="1460"/>
      <c r="C172" s="1460"/>
      <c r="D172" s="1460"/>
      <c r="E172" s="1460"/>
      <c r="F172" s="1460"/>
      <c r="G172" s="1460"/>
      <c r="H172" s="1460"/>
      <c r="I172" s="1460"/>
      <c r="J172" s="1460"/>
      <c r="K172" s="1468"/>
      <c r="L172" s="1469"/>
      <c r="M172" s="1460"/>
      <c r="N172" s="1460"/>
      <c r="O172" s="1460"/>
      <c r="P172" s="1460"/>
      <c r="Q172" s="1460"/>
      <c r="R172" s="1460"/>
      <c r="S172" s="1460"/>
      <c r="T172" s="1460"/>
    </row>
    <row r="173" spans="1:20">
      <c r="A173" s="1460"/>
      <c r="B173" s="1460"/>
      <c r="C173" s="1460"/>
      <c r="D173" s="1460"/>
      <c r="E173" s="1460"/>
      <c r="F173" s="1460"/>
      <c r="G173" s="1460"/>
      <c r="H173" s="1460"/>
      <c r="I173" s="1460"/>
      <c r="J173" s="1460"/>
      <c r="K173" s="1468"/>
      <c r="L173" s="1469"/>
      <c r="M173" s="1460"/>
      <c r="N173" s="1460"/>
      <c r="O173" s="1460"/>
      <c r="P173" s="1460"/>
      <c r="Q173" s="1460"/>
      <c r="R173" s="1460"/>
      <c r="S173" s="1460"/>
      <c r="T173" s="1460"/>
    </row>
    <row r="174" spans="1:20">
      <c r="A174" s="1460"/>
      <c r="B174" s="1460"/>
      <c r="C174" s="1460"/>
      <c r="D174" s="1460"/>
      <c r="E174" s="1460"/>
      <c r="F174" s="1460"/>
      <c r="G174" s="1460"/>
      <c r="H174" s="1460"/>
      <c r="I174" s="1460"/>
      <c r="J174" s="1460"/>
      <c r="K174" s="1468"/>
      <c r="L174" s="1469"/>
      <c r="M174" s="1460"/>
      <c r="N174" s="1460"/>
      <c r="O174" s="1460"/>
      <c r="P174" s="1460"/>
      <c r="Q174" s="1460"/>
      <c r="R174" s="1460"/>
      <c r="S174" s="1460"/>
      <c r="T174" s="1460"/>
    </row>
    <row r="175" spans="1:20">
      <c r="A175" s="1460"/>
      <c r="B175" s="1460"/>
      <c r="C175" s="1460"/>
      <c r="D175" s="1460"/>
      <c r="E175" s="1460"/>
      <c r="F175" s="1460"/>
      <c r="G175" s="1460"/>
      <c r="H175" s="1460"/>
      <c r="I175" s="1460"/>
      <c r="J175" s="1460"/>
      <c r="K175" s="1468"/>
      <c r="L175" s="1469"/>
      <c r="M175" s="1460"/>
      <c r="N175" s="1460"/>
      <c r="O175" s="1460"/>
      <c r="P175" s="1460"/>
      <c r="Q175" s="1460"/>
      <c r="R175" s="1460"/>
      <c r="S175" s="1460"/>
      <c r="T175" s="1460"/>
    </row>
    <row r="176" spans="1:20">
      <c r="A176" s="1460"/>
      <c r="B176" s="1460"/>
      <c r="C176" s="1460"/>
      <c r="D176" s="1460"/>
      <c r="E176" s="1460"/>
      <c r="F176" s="1460"/>
      <c r="G176" s="1460"/>
      <c r="H176" s="1460"/>
      <c r="I176" s="1460"/>
      <c r="J176" s="1460"/>
      <c r="K176" s="1468"/>
      <c r="L176" s="1469"/>
      <c r="M176" s="1460"/>
      <c r="N176" s="1460"/>
      <c r="O176" s="1460"/>
      <c r="P176" s="1460"/>
      <c r="Q176" s="1460"/>
      <c r="R176" s="1460"/>
      <c r="S176" s="1460"/>
      <c r="T176" s="1460"/>
    </row>
    <row r="177" spans="1:20">
      <c r="A177" s="1460"/>
      <c r="B177" s="1460"/>
      <c r="C177" s="1460"/>
      <c r="D177" s="1460"/>
      <c r="E177" s="1460"/>
      <c r="F177" s="1460"/>
      <c r="G177" s="1460"/>
      <c r="H177" s="1460"/>
      <c r="I177" s="1460"/>
      <c r="J177" s="1460"/>
      <c r="K177" s="1468"/>
      <c r="L177" s="1469"/>
      <c r="M177" s="1460"/>
      <c r="N177" s="1460"/>
      <c r="O177" s="1460"/>
      <c r="P177" s="1460"/>
      <c r="Q177" s="1460"/>
      <c r="R177" s="1460"/>
      <c r="S177" s="1460"/>
      <c r="T177" s="1460"/>
    </row>
    <row r="178" spans="1:20">
      <c r="A178" s="1460"/>
      <c r="B178" s="1460"/>
      <c r="C178" s="1460"/>
      <c r="D178" s="1460"/>
      <c r="E178" s="1460"/>
      <c r="F178" s="1460"/>
      <c r="G178" s="1460"/>
      <c r="H178" s="1460"/>
      <c r="I178" s="1460"/>
      <c r="J178" s="1460"/>
      <c r="K178" s="1468"/>
      <c r="L178" s="1469"/>
      <c r="M178" s="1460"/>
      <c r="N178" s="1460"/>
      <c r="O178" s="1460"/>
      <c r="P178" s="1460"/>
      <c r="Q178" s="1460"/>
      <c r="R178" s="1460"/>
      <c r="S178" s="1460"/>
      <c r="T178" s="1460"/>
    </row>
    <row r="179" spans="1:20">
      <c r="A179" s="1460"/>
      <c r="B179" s="1460"/>
      <c r="C179" s="1460"/>
      <c r="D179" s="1460"/>
      <c r="E179" s="1460"/>
      <c r="F179" s="1460"/>
      <c r="G179" s="1460"/>
      <c r="H179" s="1460"/>
      <c r="I179" s="1460"/>
      <c r="J179" s="1460"/>
      <c r="K179" s="1468"/>
      <c r="L179" s="1469"/>
      <c r="M179" s="1460"/>
      <c r="N179" s="1460"/>
      <c r="O179" s="1460"/>
      <c r="P179" s="1460"/>
      <c r="Q179" s="1460"/>
      <c r="R179" s="1460"/>
      <c r="S179" s="1460"/>
      <c r="T179" s="1460"/>
    </row>
    <row r="180" spans="1:20">
      <c r="A180" s="1460"/>
      <c r="B180" s="1460"/>
      <c r="C180" s="1460"/>
      <c r="D180" s="1460"/>
      <c r="E180" s="1460"/>
      <c r="F180" s="1460"/>
      <c r="G180" s="1460"/>
      <c r="H180" s="1460"/>
      <c r="I180" s="1460"/>
      <c r="J180" s="1460"/>
      <c r="K180" s="1468"/>
      <c r="L180" s="1469"/>
      <c r="M180" s="1460"/>
      <c r="N180" s="1460"/>
      <c r="O180" s="1460"/>
      <c r="P180" s="1460"/>
      <c r="Q180" s="1460"/>
      <c r="R180" s="1460"/>
      <c r="S180" s="1460"/>
      <c r="T180" s="1460"/>
    </row>
    <row r="181" spans="1:20">
      <c r="A181" s="1460"/>
      <c r="B181" s="1460"/>
      <c r="C181" s="1460"/>
      <c r="D181" s="1460"/>
      <c r="E181" s="1460"/>
      <c r="F181" s="1460"/>
      <c r="G181" s="1460"/>
      <c r="H181" s="1460"/>
      <c r="I181" s="1460"/>
      <c r="J181" s="1460"/>
      <c r="K181" s="1468"/>
      <c r="L181" s="1469"/>
      <c r="M181" s="1460"/>
      <c r="N181" s="1460"/>
      <c r="O181" s="1460"/>
      <c r="P181" s="1460"/>
      <c r="Q181" s="1460"/>
      <c r="R181" s="1460"/>
      <c r="S181" s="1460"/>
      <c r="T181" s="1460"/>
    </row>
    <row r="182" spans="1:20">
      <c r="A182" s="1460"/>
      <c r="B182" s="1460"/>
      <c r="C182" s="1460"/>
      <c r="D182" s="1460"/>
      <c r="E182" s="1460"/>
      <c r="F182" s="1460"/>
      <c r="G182" s="1460"/>
      <c r="H182" s="1460"/>
      <c r="I182" s="1460"/>
      <c r="J182" s="1460"/>
      <c r="K182" s="1468"/>
      <c r="L182" s="1469"/>
      <c r="M182" s="1460"/>
      <c r="N182" s="1460"/>
      <c r="O182" s="1460"/>
      <c r="P182" s="1460"/>
      <c r="Q182" s="1460"/>
      <c r="R182" s="1460"/>
      <c r="S182" s="1460"/>
      <c r="T182" s="1460"/>
    </row>
    <row r="183" spans="1:20">
      <c r="A183" s="1460"/>
      <c r="B183" s="1460"/>
      <c r="C183" s="1460"/>
      <c r="D183" s="1460"/>
      <c r="E183" s="1460"/>
      <c r="F183" s="1460"/>
      <c r="G183" s="1460"/>
      <c r="H183" s="1460"/>
      <c r="I183" s="1460"/>
      <c r="J183" s="1460"/>
      <c r="K183" s="1468"/>
      <c r="L183" s="1469"/>
      <c r="M183" s="1460"/>
      <c r="N183" s="1460"/>
      <c r="O183" s="1460"/>
      <c r="P183" s="1460"/>
      <c r="Q183" s="1460"/>
      <c r="R183" s="1460"/>
      <c r="S183" s="1460"/>
      <c r="T183" s="1460"/>
    </row>
    <row r="184" spans="1:20">
      <c r="A184" s="1460"/>
      <c r="B184" s="1460"/>
      <c r="C184" s="1460"/>
      <c r="D184" s="1460"/>
      <c r="E184" s="1460"/>
      <c r="F184" s="1460"/>
      <c r="G184" s="1460"/>
      <c r="H184" s="1460"/>
      <c r="I184" s="1460"/>
      <c r="J184" s="1460"/>
      <c r="K184" s="1468"/>
      <c r="L184" s="1469"/>
      <c r="M184" s="1460"/>
      <c r="N184" s="1460"/>
      <c r="O184" s="1460"/>
      <c r="P184" s="1460"/>
      <c r="Q184" s="1460"/>
      <c r="R184" s="1460"/>
      <c r="S184" s="1460"/>
      <c r="T184" s="1460"/>
    </row>
    <row r="185" spans="1:20">
      <c r="A185" s="1460"/>
      <c r="B185" s="1460"/>
      <c r="C185" s="1460"/>
      <c r="D185" s="1460"/>
      <c r="E185" s="1460"/>
      <c r="F185" s="1460"/>
      <c r="G185" s="1460"/>
      <c r="H185" s="1460"/>
      <c r="I185" s="1460"/>
      <c r="J185" s="1460"/>
      <c r="K185" s="1468"/>
      <c r="L185" s="1469"/>
      <c r="M185" s="1460"/>
      <c r="N185" s="1460"/>
      <c r="O185" s="1460"/>
      <c r="P185" s="1460"/>
      <c r="Q185" s="1460"/>
      <c r="R185" s="1460"/>
      <c r="S185" s="1460"/>
      <c r="T185" s="1460"/>
    </row>
    <row r="186" spans="1:20">
      <c r="A186" s="1460"/>
      <c r="B186" s="1460"/>
      <c r="C186" s="1460"/>
      <c r="D186" s="1460"/>
      <c r="E186" s="1460"/>
      <c r="F186" s="1460"/>
      <c r="G186" s="1460"/>
      <c r="H186" s="1460"/>
      <c r="I186" s="1460"/>
      <c r="J186" s="1460"/>
      <c r="K186" s="1468"/>
      <c r="L186" s="1469"/>
      <c r="M186" s="1460"/>
      <c r="N186" s="1460"/>
      <c r="O186" s="1460"/>
      <c r="P186" s="1460"/>
      <c r="Q186" s="1460"/>
      <c r="R186" s="1460"/>
      <c r="S186" s="1460"/>
      <c r="T186" s="1460"/>
    </row>
    <row r="187" spans="1:20">
      <c r="A187" s="1460"/>
      <c r="B187" s="1460"/>
      <c r="C187" s="1460"/>
      <c r="D187" s="1460"/>
      <c r="E187" s="1460"/>
      <c r="F187" s="1460"/>
      <c r="G187" s="1460"/>
      <c r="H187" s="1460"/>
      <c r="I187" s="1460"/>
      <c r="J187" s="1460"/>
      <c r="K187" s="1468"/>
      <c r="L187" s="1469"/>
      <c r="M187" s="1460"/>
      <c r="N187" s="1460"/>
      <c r="O187" s="1460"/>
      <c r="P187" s="1460"/>
      <c r="Q187" s="1460"/>
      <c r="R187" s="1460"/>
      <c r="S187" s="1460"/>
      <c r="T187" s="1460"/>
    </row>
    <row r="188" spans="1:20">
      <c r="A188" s="1460"/>
      <c r="B188" s="1460"/>
      <c r="C188" s="1460"/>
      <c r="D188" s="1460"/>
      <c r="E188" s="1460"/>
      <c r="F188" s="1460"/>
      <c r="G188" s="1460"/>
      <c r="H188" s="1460"/>
      <c r="I188" s="1460"/>
      <c r="J188" s="1460"/>
      <c r="K188" s="1468"/>
      <c r="L188" s="1469"/>
      <c r="M188" s="1460"/>
      <c r="N188" s="1460"/>
      <c r="O188" s="1460"/>
      <c r="P188" s="1460"/>
      <c r="Q188" s="1460"/>
      <c r="R188" s="1460"/>
      <c r="S188" s="1460"/>
      <c r="T188" s="1460"/>
    </row>
    <row r="189" spans="1:20">
      <c r="A189" s="1460"/>
      <c r="B189" s="1460"/>
      <c r="C189" s="1460"/>
      <c r="D189" s="1460"/>
      <c r="E189" s="1460"/>
      <c r="F189" s="1460"/>
      <c r="G189" s="1460"/>
      <c r="H189" s="1460"/>
      <c r="I189" s="1460"/>
      <c r="J189" s="1460"/>
      <c r="K189" s="1468"/>
      <c r="L189" s="1469"/>
      <c r="M189" s="1460"/>
      <c r="N189" s="1460"/>
      <c r="O189" s="1460"/>
      <c r="P189" s="1460"/>
      <c r="Q189" s="1460"/>
      <c r="R189" s="1460"/>
      <c r="S189" s="1460"/>
      <c r="T189" s="1460"/>
    </row>
    <row r="190" spans="1:20">
      <c r="A190" s="1460"/>
      <c r="B190" s="1460"/>
      <c r="C190" s="1460"/>
      <c r="D190" s="1460"/>
      <c r="E190" s="1460"/>
      <c r="F190" s="1460"/>
      <c r="G190" s="1460"/>
      <c r="H190" s="1460"/>
      <c r="I190" s="1460"/>
      <c r="J190" s="1460"/>
      <c r="K190" s="1468"/>
      <c r="L190" s="1469"/>
      <c r="M190" s="1460"/>
      <c r="N190" s="1460"/>
      <c r="O190" s="1460"/>
      <c r="P190" s="1460"/>
      <c r="Q190" s="1460"/>
      <c r="R190" s="1460"/>
      <c r="S190" s="1460"/>
      <c r="T190" s="1460"/>
    </row>
    <row r="191" spans="1:20">
      <c r="A191" s="1460"/>
      <c r="B191" s="1460"/>
      <c r="C191" s="1460"/>
      <c r="D191" s="1460"/>
      <c r="E191" s="1460"/>
      <c r="F191" s="1460"/>
      <c r="G191" s="1460"/>
      <c r="H191" s="1460"/>
      <c r="I191" s="1460"/>
      <c r="J191" s="1460"/>
      <c r="K191" s="1468"/>
      <c r="L191" s="1469"/>
      <c r="M191" s="1460"/>
      <c r="N191" s="1460"/>
      <c r="O191" s="1460"/>
      <c r="P191" s="1460"/>
      <c r="Q191" s="1460"/>
      <c r="R191" s="1460"/>
      <c r="S191" s="1460"/>
      <c r="T191" s="1460"/>
    </row>
    <row r="192" spans="1:20">
      <c r="A192" s="1460"/>
      <c r="B192" s="1460"/>
      <c r="C192" s="1460"/>
      <c r="D192" s="1460"/>
      <c r="E192" s="1460"/>
      <c r="F192" s="1460"/>
      <c r="G192" s="1460"/>
      <c r="H192" s="1460"/>
      <c r="I192" s="1460"/>
      <c r="J192" s="1460"/>
      <c r="K192" s="1468"/>
      <c r="L192" s="1469"/>
      <c r="M192" s="1460"/>
      <c r="N192" s="1460"/>
      <c r="O192" s="1460"/>
      <c r="P192" s="1460"/>
      <c r="Q192" s="1460"/>
      <c r="R192" s="1460"/>
      <c r="S192" s="1460"/>
      <c r="T192" s="1460"/>
    </row>
    <row r="193" spans="1:20">
      <c r="A193" s="1460"/>
      <c r="B193" s="1460"/>
      <c r="C193" s="1460"/>
      <c r="D193" s="1460"/>
      <c r="E193" s="1460"/>
      <c r="F193" s="1460"/>
      <c r="G193" s="1460"/>
      <c r="H193" s="1460"/>
      <c r="I193" s="1460"/>
      <c r="J193" s="1460"/>
      <c r="K193" s="1468"/>
      <c r="L193" s="1469"/>
      <c r="M193" s="1460"/>
      <c r="N193" s="1460"/>
      <c r="O193" s="1460"/>
      <c r="P193" s="1460"/>
      <c r="Q193" s="1460"/>
      <c r="R193" s="1460"/>
      <c r="S193" s="1460"/>
      <c r="T193" s="1460"/>
    </row>
    <row r="194" spans="1:20">
      <c r="A194" s="1460"/>
      <c r="B194" s="1460"/>
      <c r="C194" s="1460"/>
      <c r="D194" s="1460"/>
      <c r="E194" s="1460"/>
      <c r="F194" s="1460"/>
      <c r="G194" s="1460"/>
      <c r="H194" s="1460"/>
      <c r="I194" s="1460"/>
      <c r="J194" s="1460"/>
      <c r="K194" s="1468"/>
      <c r="L194" s="1469"/>
      <c r="M194" s="1460"/>
      <c r="N194" s="1460"/>
      <c r="O194" s="1460"/>
      <c r="P194" s="1460"/>
      <c r="Q194" s="1460"/>
      <c r="R194" s="1460"/>
      <c r="S194" s="1460"/>
      <c r="T194" s="1460"/>
    </row>
    <row r="195" spans="1:20">
      <c r="A195" s="1460"/>
      <c r="B195" s="1460"/>
      <c r="C195" s="1460"/>
      <c r="D195" s="1460"/>
      <c r="E195" s="1460"/>
      <c r="F195" s="1460"/>
      <c r="G195" s="1460"/>
      <c r="H195" s="1460"/>
      <c r="I195" s="1460"/>
      <c r="J195" s="1460"/>
      <c r="K195" s="1468"/>
      <c r="L195" s="1469"/>
      <c r="M195" s="1460"/>
      <c r="N195" s="1460"/>
      <c r="O195" s="1460"/>
      <c r="P195" s="1460"/>
      <c r="Q195" s="1460"/>
      <c r="R195" s="1460"/>
      <c r="S195" s="1460"/>
      <c r="T195" s="1460"/>
    </row>
    <row r="196" spans="1:20">
      <c r="A196" s="1460"/>
      <c r="B196" s="1460"/>
      <c r="C196" s="1460"/>
      <c r="D196" s="1460"/>
      <c r="E196" s="1460"/>
      <c r="F196" s="1460"/>
      <c r="G196" s="1460"/>
      <c r="H196" s="1460"/>
      <c r="I196" s="1460"/>
      <c r="J196" s="1460"/>
      <c r="K196" s="1468"/>
      <c r="L196" s="1469"/>
      <c r="M196" s="1460"/>
      <c r="N196" s="1460"/>
      <c r="O196" s="1460"/>
      <c r="P196" s="1460"/>
      <c r="Q196" s="1460"/>
      <c r="R196" s="1460"/>
      <c r="S196" s="1460"/>
      <c r="T196" s="1460"/>
    </row>
    <row r="197" spans="1:20">
      <c r="A197" s="1460"/>
      <c r="B197" s="1460"/>
      <c r="C197" s="1460"/>
      <c r="D197" s="1460"/>
      <c r="E197" s="1460"/>
      <c r="F197" s="1460"/>
      <c r="G197" s="1460"/>
      <c r="H197" s="1460"/>
      <c r="I197" s="1460"/>
      <c r="J197" s="1460"/>
      <c r="K197" s="1468"/>
      <c r="L197" s="1469"/>
      <c r="M197" s="1460"/>
      <c r="N197" s="1460"/>
      <c r="O197" s="1460"/>
      <c r="P197" s="1460"/>
      <c r="Q197" s="1460"/>
      <c r="R197" s="1460"/>
      <c r="S197" s="1460"/>
      <c r="T197" s="1460"/>
    </row>
    <row r="198" spans="1:20">
      <c r="A198" s="1460"/>
      <c r="B198" s="1460"/>
      <c r="C198" s="1460"/>
      <c r="D198" s="1460"/>
      <c r="E198" s="1460"/>
      <c r="F198" s="1460"/>
      <c r="G198" s="1460"/>
      <c r="H198" s="1460"/>
      <c r="I198" s="1460"/>
      <c r="J198" s="1460"/>
      <c r="K198" s="1468"/>
      <c r="L198" s="1469"/>
      <c r="M198" s="1460"/>
      <c r="N198" s="1460"/>
      <c r="O198" s="1460"/>
      <c r="P198" s="1460"/>
      <c r="Q198" s="1460"/>
      <c r="R198" s="1460"/>
      <c r="S198" s="1460"/>
      <c r="T198" s="1460"/>
    </row>
    <row r="199" spans="1:20">
      <c r="A199" s="1460"/>
      <c r="B199" s="1460"/>
      <c r="C199" s="1460"/>
      <c r="D199" s="1460"/>
      <c r="E199" s="1460"/>
      <c r="F199" s="1460"/>
      <c r="G199" s="1460"/>
      <c r="H199" s="1460"/>
      <c r="I199" s="1460"/>
      <c r="J199" s="1460"/>
      <c r="K199" s="1468"/>
      <c r="L199" s="1469"/>
      <c r="M199" s="1460"/>
      <c r="N199" s="1460"/>
      <c r="O199" s="1460"/>
      <c r="P199" s="1460"/>
      <c r="Q199" s="1460"/>
      <c r="R199" s="1460"/>
      <c r="S199" s="1460"/>
      <c r="T199" s="1460"/>
    </row>
    <row r="200" spans="1:20">
      <c r="A200" s="1460"/>
      <c r="B200" s="1460"/>
      <c r="C200" s="1460"/>
      <c r="D200" s="1460"/>
      <c r="E200" s="1460"/>
      <c r="F200" s="1460"/>
      <c r="G200" s="1460"/>
      <c r="H200" s="1460"/>
      <c r="I200" s="1460"/>
      <c r="J200" s="1460"/>
      <c r="K200" s="1468"/>
      <c r="L200" s="1469"/>
      <c r="M200" s="1460"/>
      <c r="N200" s="1460"/>
      <c r="O200" s="1460"/>
      <c r="P200" s="1460"/>
      <c r="Q200" s="1460"/>
      <c r="R200" s="1460"/>
      <c r="S200" s="1460"/>
      <c r="T200" s="1460"/>
    </row>
    <row r="201" spans="1:20">
      <c r="A201" s="1460"/>
      <c r="B201" s="1460"/>
      <c r="C201" s="1460"/>
      <c r="D201" s="1460"/>
      <c r="E201" s="1460"/>
      <c r="F201" s="1460"/>
      <c r="G201" s="1460"/>
      <c r="H201" s="1460"/>
      <c r="I201" s="1460"/>
      <c r="J201" s="1460"/>
      <c r="K201" s="1468"/>
      <c r="L201" s="1469"/>
      <c r="M201" s="1460"/>
      <c r="N201" s="1460"/>
      <c r="O201" s="1460"/>
      <c r="P201" s="1460"/>
      <c r="Q201" s="1460"/>
      <c r="R201" s="1460"/>
      <c r="S201" s="1460"/>
      <c r="T201" s="1460"/>
    </row>
    <row r="202" spans="1:20">
      <c r="A202" s="1460"/>
      <c r="B202" s="1460"/>
      <c r="C202" s="1460"/>
      <c r="D202" s="1460"/>
      <c r="E202" s="1460"/>
      <c r="F202" s="1460"/>
      <c r="G202" s="1460"/>
      <c r="H202" s="1460"/>
      <c r="I202" s="1460"/>
      <c r="J202" s="1460"/>
      <c r="K202" s="1468"/>
      <c r="L202" s="1469"/>
      <c r="M202" s="1460"/>
      <c r="N202" s="1460"/>
      <c r="O202" s="1460"/>
      <c r="P202" s="1460"/>
      <c r="Q202" s="1460"/>
      <c r="R202" s="1460"/>
      <c r="S202" s="1460"/>
      <c r="T202" s="1460"/>
    </row>
    <row r="203" spans="1:20">
      <c r="A203" s="1460"/>
      <c r="B203" s="1460"/>
      <c r="C203" s="1460"/>
      <c r="D203" s="1460"/>
      <c r="E203" s="1460"/>
      <c r="F203" s="1460"/>
      <c r="G203" s="1460"/>
      <c r="H203" s="1460"/>
      <c r="I203" s="1460"/>
      <c r="J203" s="1460"/>
      <c r="K203" s="1468"/>
      <c r="L203" s="1469"/>
      <c r="M203" s="1460"/>
      <c r="N203" s="1460"/>
      <c r="O203" s="1460"/>
      <c r="P203" s="1460"/>
      <c r="Q203" s="1460"/>
      <c r="R203" s="1460"/>
      <c r="S203" s="1460"/>
      <c r="T203" s="1460"/>
    </row>
    <row r="204" spans="1:20">
      <c r="A204" s="1460"/>
      <c r="B204" s="1460"/>
      <c r="C204" s="1460"/>
      <c r="D204" s="1460"/>
      <c r="E204" s="1460"/>
      <c r="F204" s="1460"/>
      <c r="G204" s="1460"/>
      <c r="H204" s="1460"/>
      <c r="I204" s="1460"/>
      <c r="J204" s="1460"/>
      <c r="K204" s="1468"/>
      <c r="L204" s="1469"/>
      <c r="M204" s="1460"/>
      <c r="N204" s="1460"/>
      <c r="O204" s="1460"/>
      <c r="P204" s="1460"/>
      <c r="Q204" s="1460"/>
      <c r="R204" s="1460"/>
      <c r="S204" s="1460"/>
      <c r="T204" s="1460"/>
    </row>
    <row r="205" spans="1:20">
      <c r="A205" s="1460"/>
      <c r="B205" s="1460"/>
      <c r="C205" s="1460"/>
      <c r="D205" s="1460"/>
      <c r="E205" s="1460"/>
      <c r="F205" s="1460"/>
      <c r="G205" s="1460"/>
      <c r="H205" s="1460"/>
      <c r="I205" s="1460"/>
      <c r="J205" s="1460"/>
      <c r="K205" s="1468"/>
      <c r="L205" s="1469"/>
      <c r="M205" s="1460"/>
      <c r="N205" s="1460"/>
      <c r="O205" s="1460"/>
      <c r="P205" s="1460"/>
      <c r="Q205" s="1460"/>
      <c r="R205" s="1460"/>
      <c r="S205" s="1460"/>
      <c r="T205" s="1460"/>
    </row>
    <row r="206" spans="1:20">
      <c r="A206" s="1460"/>
      <c r="B206" s="1460"/>
      <c r="C206" s="1460"/>
      <c r="D206" s="1460"/>
      <c r="E206" s="1460"/>
      <c r="F206" s="1460"/>
      <c r="G206" s="1460"/>
      <c r="H206" s="1460"/>
      <c r="I206" s="1460"/>
      <c r="J206" s="1460"/>
      <c r="K206" s="1468"/>
      <c r="L206" s="1469"/>
      <c r="M206" s="1460"/>
      <c r="N206" s="1460"/>
      <c r="O206" s="1460"/>
      <c r="P206" s="1460"/>
      <c r="Q206" s="1460"/>
      <c r="R206" s="1460"/>
      <c r="S206" s="1460"/>
      <c r="T206" s="1460"/>
    </row>
    <row r="207" spans="1:20">
      <c r="A207" s="1460"/>
      <c r="B207" s="1460"/>
      <c r="C207" s="1460"/>
      <c r="D207" s="1460"/>
      <c r="E207" s="1460"/>
      <c r="F207" s="1460"/>
      <c r="G207" s="1460"/>
      <c r="H207" s="1460"/>
      <c r="I207" s="1460"/>
      <c r="J207" s="1460"/>
      <c r="K207" s="1468"/>
      <c r="L207" s="1469"/>
      <c r="M207" s="1460"/>
      <c r="N207" s="1460"/>
      <c r="O207" s="1460"/>
      <c r="P207" s="1460"/>
      <c r="Q207" s="1460"/>
      <c r="R207" s="1460"/>
      <c r="S207" s="1460"/>
      <c r="T207" s="1460"/>
    </row>
    <row r="208" spans="1:20">
      <c r="A208" s="1460"/>
      <c r="B208" s="1460"/>
      <c r="C208" s="1460"/>
      <c r="D208" s="1460"/>
      <c r="E208" s="1460"/>
      <c r="F208" s="1460"/>
      <c r="G208" s="1460"/>
      <c r="H208" s="1460"/>
      <c r="I208" s="1460"/>
      <c r="J208" s="1460"/>
      <c r="K208" s="1468"/>
      <c r="L208" s="1469"/>
      <c r="M208" s="1460"/>
      <c r="N208" s="1460"/>
      <c r="O208" s="1460"/>
      <c r="P208" s="1460"/>
      <c r="Q208" s="1460"/>
      <c r="R208" s="1460"/>
      <c r="S208" s="1460"/>
      <c r="T208" s="1460"/>
    </row>
    <row r="209" spans="1:20">
      <c r="A209" s="1460"/>
      <c r="B209" s="1460"/>
      <c r="C209" s="1460"/>
      <c r="D209" s="1460"/>
      <c r="E209" s="1460"/>
      <c r="F209" s="1460"/>
      <c r="G209" s="1460"/>
      <c r="H209" s="1460"/>
      <c r="I209" s="1460"/>
      <c r="J209" s="1460"/>
      <c r="K209" s="1468"/>
      <c r="L209" s="1469"/>
      <c r="M209" s="1460"/>
      <c r="N209" s="1460"/>
      <c r="O209" s="1460"/>
      <c r="P209" s="1460"/>
      <c r="Q209" s="1460"/>
      <c r="R209" s="1460"/>
      <c r="S209" s="1460"/>
      <c r="T209" s="1460"/>
    </row>
    <row r="210" spans="1:20">
      <c r="A210" s="1460"/>
      <c r="B210" s="1460"/>
      <c r="C210" s="1460"/>
      <c r="D210" s="1460"/>
      <c r="E210" s="1460"/>
      <c r="F210" s="1460"/>
      <c r="G210" s="1460"/>
      <c r="H210" s="1460"/>
      <c r="I210" s="1460"/>
      <c r="J210" s="1460"/>
      <c r="K210" s="1468"/>
      <c r="L210" s="1469"/>
      <c r="M210" s="1460"/>
      <c r="N210" s="1460"/>
      <c r="O210" s="1460"/>
      <c r="P210" s="1460"/>
      <c r="Q210" s="1460"/>
      <c r="R210" s="1460"/>
      <c r="S210" s="1460"/>
      <c r="T210" s="1460"/>
    </row>
    <row r="211" spans="1:20">
      <c r="A211" s="1460"/>
      <c r="B211" s="1460"/>
      <c r="C211" s="1460"/>
      <c r="D211" s="1460"/>
      <c r="E211" s="1460"/>
      <c r="F211" s="1460"/>
      <c r="G211" s="1460"/>
      <c r="H211" s="1460"/>
      <c r="I211" s="1460"/>
      <c r="J211" s="1460"/>
      <c r="K211" s="1468"/>
      <c r="L211" s="1469"/>
      <c r="M211" s="1460"/>
      <c r="N211" s="1460"/>
      <c r="O211" s="1460"/>
      <c r="P211" s="1460"/>
      <c r="Q211" s="1460"/>
      <c r="R211" s="1460"/>
      <c r="S211" s="1460"/>
      <c r="T211" s="1460"/>
    </row>
    <row r="212" spans="1:20">
      <c r="A212" s="1460"/>
      <c r="B212" s="1460"/>
      <c r="C212" s="1460"/>
      <c r="D212" s="1460"/>
      <c r="E212" s="1460"/>
      <c r="F212" s="1460"/>
      <c r="G212" s="1460"/>
      <c r="H212" s="1460"/>
      <c r="I212" s="1460"/>
      <c r="J212" s="1460"/>
      <c r="K212" s="1468"/>
      <c r="L212" s="1469"/>
      <c r="M212" s="1460"/>
      <c r="N212" s="1460"/>
      <c r="O212" s="1460"/>
      <c r="P212" s="1460"/>
      <c r="Q212" s="1460"/>
      <c r="R212" s="1460"/>
      <c r="S212" s="1460"/>
      <c r="T212" s="1460"/>
    </row>
    <row r="213" spans="1:20">
      <c r="A213" s="1460"/>
      <c r="B213" s="1460"/>
      <c r="C213" s="1460"/>
      <c r="D213" s="1460"/>
      <c r="E213" s="1460"/>
      <c r="F213" s="1460"/>
      <c r="G213" s="1460"/>
      <c r="H213" s="1460"/>
      <c r="I213" s="1460"/>
      <c r="J213" s="1460"/>
      <c r="K213" s="1468"/>
      <c r="L213" s="1469"/>
      <c r="M213" s="1460"/>
      <c r="N213" s="1460"/>
      <c r="O213" s="1460"/>
      <c r="P213" s="1460"/>
      <c r="Q213" s="1460"/>
      <c r="R213" s="1460"/>
      <c r="S213" s="1460"/>
      <c r="T213" s="1460"/>
    </row>
    <row r="214" spans="1:20">
      <c r="A214" s="1460"/>
      <c r="B214" s="1460"/>
      <c r="C214" s="1460"/>
      <c r="D214" s="1460"/>
      <c r="E214" s="1460"/>
      <c r="F214" s="1460"/>
      <c r="G214" s="1460"/>
      <c r="H214" s="1460"/>
      <c r="I214" s="1460"/>
      <c r="J214" s="1460"/>
      <c r="K214" s="1468"/>
      <c r="L214" s="1469"/>
      <c r="M214" s="1460"/>
      <c r="N214" s="1460"/>
      <c r="O214" s="1460"/>
      <c r="P214" s="1460"/>
      <c r="Q214" s="1460"/>
      <c r="R214" s="1460"/>
      <c r="S214" s="1460"/>
      <c r="T214" s="1460"/>
    </row>
    <row r="215" spans="1:20">
      <c r="A215" s="1460"/>
      <c r="B215" s="1460"/>
      <c r="C215" s="1460"/>
      <c r="D215" s="1460"/>
      <c r="E215" s="1460"/>
      <c r="F215" s="1460"/>
      <c r="G215" s="1460"/>
      <c r="H215" s="1460"/>
      <c r="I215" s="1460"/>
      <c r="J215" s="1460"/>
      <c r="K215" s="1468"/>
      <c r="L215" s="1469"/>
      <c r="M215" s="1460"/>
      <c r="N215" s="1460"/>
      <c r="O215" s="1460"/>
      <c r="P215" s="1460"/>
      <c r="Q215" s="1460"/>
      <c r="R215" s="1460"/>
      <c r="S215" s="1460"/>
      <c r="T215" s="1460"/>
    </row>
    <row r="216" spans="1:20">
      <c r="A216" s="1460"/>
      <c r="B216" s="1460"/>
      <c r="C216" s="1460"/>
      <c r="D216" s="1460"/>
      <c r="E216" s="1460"/>
      <c r="F216" s="1460"/>
      <c r="G216" s="1460"/>
      <c r="H216" s="1460"/>
      <c r="I216" s="1460"/>
      <c r="J216" s="1460"/>
      <c r="K216" s="1468"/>
      <c r="L216" s="1469"/>
      <c r="M216" s="1460"/>
      <c r="N216" s="1460"/>
      <c r="O216" s="1460"/>
      <c r="P216" s="1460"/>
      <c r="Q216" s="1460"/>
      <c r="R216" s="1460"/>
      <c r="S216" s="1460"/>
      <c r="T216" s="1460"/>
    </row>
    <row r="217" spans="1:20">
      <c r="A217" s="1460"/>
      <c r="B217" s="1460"/>
      <c r="C217" s="1460"/>
      <c r="D217" s="1460"/>
      <c r="E217" s="1460"/>
      <c r="F217" s="1460"/>
      <c r="G217" s="1460"/>
      <c r="H217" s="1460"/>
      <c r="I217" s="1460"/>
      <c r="J217" s="1460"/>
      <c r="K217" s="1468"/>
      <c r="L217" s="1469"/>
      <c r="M217" s="1460"/>
      <c r="N217" s="1460"/>
      <c r="O217" s="1460"/>
      <c r="P217" s="1460"/>
      <c r="Q217" s="1460"/>
      <c r="R217" s="1460"/>
      <c r="S217" s="1460"/>
      <c r="T217" s="1460"/>
    </row>
    <row r="218" spans="1:20">
      <c r="A218" s="1460"/>
      <c r="B218" s="1460"/>
      <c r="C218" s="1460"/>
      <c r="D218" s="1460"/>
      <c r="E218" s="1460"/>
      <c r="F218" s="1460"/>
      <c r="G218" s="1460"/>
      <c r="H218" s="1460"/>
      <c r="I218" s="1460"/>
      <c r="J218" s="1460"/>
      <c r="K218" s="1468"/>
      <c r="L218" s="1469"/>
      <c r="M218" s="1460"/>
      <c r="N218" s="1460"/>
      <c r="O218" s="1460"/>
      <c r="P218" s="1460"/>
      <c r="Q218" s="1460"/>
      <c r="R218" s="1460"/>
      <c r="S218" s="1460"/>
      <c r="T218" s="1460"/>
    </row>
    <row r="219" spans="1:20">
      <c r="A219" s="1460"/>
      <c r="B219" s="1460"/>
      <c r="C219" s="1460"/>
      <c r="D219" s="1460"/>
      <c r="E219" s="1460"/>
      <c r="F219" s="1460"/>
      <c r="G219" s="1460"/>
      <c r="H219" s="1460"/>
      <c r="I219" s="1460"/>
      <c r="J219" s="1460"/>
      <c r="K219" s="1468"/>
      <c r="L219" s="1469"/>
      <c r="M219" s="1460"/>
      <c r="N219" s="1460"/>
      <c r="O219" s="1460"/>
      <c r="P219" s="1460"/>
      <c r="Q219" s="1460"/>
      <c r="R219" s="1460"/>
      <c r="S219" s="1460"/>
      <c r="T219" s="1460"/>
    </row>
    <row r="220" spans="1:20">
      <c r="A220" s="1460"/>
      <c r="B220" s="1460"/>
      <c r="C220" s="1460"/>
      <c r="D220" s="1460"/>
      <c r="E220" s="1460"/>
      <c r="F220" s="1460"/>
      <c r="G220" s="1460"/>
      <c r="H220" s="1460"/>
      <c r="I220" s="1460"/>
      <c r="J220" s="1460"/>
      <c r="K220" s="1468"/>
      <c r="L220" s="1469"/>
      <c r="M220" s="1460"/>
      <c r="N220" s="1460"/>
      <c r="O220" s="1460"/>
      <c r="P220" s="1460"/>
      <c r="Q220" s="1460"/>
      <c r="R220" s="1460"/>
      <c r="S220" s="1460"/>
      <c r="T220" s="1460"/>
    </row>
    <row r="221" spans="1:20">
      <c r="A221" s="1460"/>
      <c r="B221" s="1460"/>
      <c r="C221" s="1460"/>
      <c r="D221" s="1460"/>
      <c r="E221" s="1460"/>
      <c r="F221" s="1460"/>
      <c r="G221" s="1460"/>
      <c r="H221" s="1460"/>
      <c r="I221" s="1460"/>
      <c r="J221" s="1460"/>
      <c r="K221" s="1468"/>
      <c r="L221" s="1469"/>
      <c r="M221" s="1460"/>
      <c r="N221" s="1460"/>
      <c r="O221" s="1460"/>
      <c r="P221" s="1460"/>
      <c r="Q221" s="1460"/>
      <c r="R221" s="1460"/>
      <c r="S221" s="1460"/>
      <c r="T221" s="1460"/>
    </row>
    <row r="222" spans="1:20">
      <c r="A222" s="1460"/>
      <c r="B222" s="1460"/>
      <c r="C222" s="1460"/>
      <c r="D222" s="1460"/>
      <c r="E222" s="1460"/>
      <c r="F222" s="1460"/>
      <c r="G222" s="1460"/>
      <c r="H222" s="1460"/>
      <c r="I222" s="1460"/>
      <c r="J222" s="1460"/>
      <c r="K222" s="1468"/>
      <c r="L222" s="1469"/>
      <c r="M222" s="1460"/>
      <c r="N222" s="1460"/>
      <c r="O222" s="1460"/>
      <c r="P222" s="1460"/>
      <c r="Q222" s="1460"/>
      <c r="R222" s="1460"/>
      <c r="S222" s="1460"/>
      <c r="T222" s="1460"/>
    </row>
    <row r="223" spans="1:20">
      <c r="A223" s="1460"/>
      <c r="B223" s="1460"/>
      <c r="C223" s="1460"/>
      <c r="D223" s="1460"/>
      <c r="E223" s="1460"/>
      <c r="F223" s="1460"/>
      <c r="G223" s="1460"/>
      <c r="H223" s="1460"/>
      <c r="I223" s="1460"/>
      <c r="J223" s="1460"/>
      <c r="K223" s="1468"/>
      <c r="L223" s="1469"/>
      <c r="M223" s="1460"/>
      <c r="N223" s="1460"/>
      <c r="O223" s="1460"/>
      <c r="P223" s="1460"/>
      <c r="Q223" s="1460"/>
      <c r="R223" s="1460"/>
      <c r="S223" s="1460"/>
      <c r="T223" s="1460"/>
    </row>
    <row r="224" spans="1:20">
      <c r="A224" s="1460"/>
      <c r="B224" s="1460"/>
      <c r="C224" s="1460"/>
      <c r="D224" s="1460"/>
      <c r="E224" s="1460"/>
      <c r="F224" s="1460"/>
      <c r="G224" s="1460"/>
      <c r="H224" s="1460"/>
      <c r="I224" s="1460"/>
      <c r="J224" s="1460"/>
      <c r="K224" s="1468"/>
      <c r="L224" s="1469"/>
      <c r="M224" s="1460"/>
      <c r="N224" s="1460"/>
      <c r="O224" s="1460"/>
      <c r="P224" s="1460"/>
      <c r="Q224" s="1460"/>
      <c r="R224" s="1460"/>
      <c r="S224" s="1460"/>
      <c r="T224" s="1460"/>
    </row>
    <row r="225" spans="1:20">
      <c r="A225" s="1460"/>
      <c r="B225" s="1460"/>
      <c r="C225" s="1460"/>
      <c r="D225" s="1460"/>
      <c r="E225" s="1460"/>
      <c r="F225" s="1460"/>
      <c r="G225" s="1460"/>
      <c r="H225" s="1460"/>
      <c r="I225" s="1460"/>
      <c r="J225" s="1460"/>
      <c r="K225" s="1468"/>
      <c r="L225" s="1469"/>
      <c r="M225" s="1460"/>
      <c r="N225" s="1460"/>
      <c r="O225" s="1460"/>
      <c r="P225" s="1460"/>
      <c r="Q225" s="1460"/>
      <c r="R225" s="1460"/>
      <c r="S225" s="1460"/>
      <c r="T225" s="1460"/>
    </row>
    <row r="226" spans="1:20">
      <c r="A226" s="1460"/>
      <c r="B226" s="1460"/>
      <c r="C226" s="1460"/>
      <c r="D226" s="1460"/>
      <c r="E226" s="1460"/>
      <c r="F226" s="1460"/>
      <c r="G226" s="1460"/>
      <c r="H226" s="1460"/>
      <c r="I226" s="1460"/>
      <c r="J226" s="1460"/>
      <c r="K226" s="1468"/>
      <c r="L226" s="1469"/>
      <c r="M226" s="1460"/>
      <c r="N226" s="1460"/>
      <c r="O226" s="1460"/>
      <c r="P226" s="1460"/>
      <c r="Q226" s="1460"/>
      <c r="R226" s="1460"/>
      <c r="S226" s="1460"/>
      <c r="T226" s="1460"/>
    </row>
    <row r="227" spans="1:20">
      <c r="A227" s="1460"/>
      <c r="B227" s="1460"/>
      <c r="C227" s="1460"/>
      <c r="D227" s="1460"/>
      <c r="E227" s="1460"/>
      <c r="F227" s="1460"/>
      <c r="G227" s="1460"/>
      <c r="H227" s="1460"/>
      <c r="I227" s="1460"/>
      <c r="J227" s="1460"/>
      <c r="K227" s="1468"/>
      <c r="L227" s="1469"/>
      <c r="M227" s="1460"/>
      <c r="N227" s="1460"/>
      <c r="O227" s="1460"/>
      <c r="P227" s="1460"/>
      <c r="Q227" s="1460"/>
      <c r="R227" s="1460"/>
      <c r="S227" s="1460"/>
      <c r="T227" s="1460"/>
    </row>
    <row r="228" spans="1:20">
      <c r="A228" s="1460"/>
      <c r="B228" s="1460"/>
      <c r="C228" s="1460"/>
      <c r="D228" s="1460"/>
      <c r="E228" s="1460"/>
      <c r="F228" s="1460"/>
      <c r="G228" s="1460"/>
      <c r="H228" s="1460"/>
      <c r="I228" s="1460"/>
      <c r="J228" s="1460"/>
      <c r="K228" s="1468"/>
      <c r="L228" s="1469"/>
      <c r="M228" s="1460"/>
      <c r="N228" s="1460"/>
      <c r="O228" s="1460"/>
      <c r="P228" s="1460"/>
      <c r="Q228" s="1460"/>
      <c r="R228" s="1460"/>
      <c r="S228" s="1460"/>
      <c r="T228" s="1460"/>
    </row>
    <row r="229" spans="1:20">
      <c r="A229" s="1460"/>
      <c r="B229" s="1460"/>
      <c r="C229" s="1460"/>
      <c r="D229" s="1460"/>
      <c r="E229" s="1460"/>
      <c r="F229" s="1460"/>
      <c r="G229" s="1460"/>
      <c r="H229" s="1460"/>
      <c r="I229" s="1460"/>
      <c r="J229" s="1460"/>
      <c r="K229" s="1468"/>
      <c r="L229" s="1469"/>
      <c r="M229" s="1460"/>
      <c r="N229" s="1460"/>
      <c r="O229" s="1460"/>
      <c r="P229" s="1460"/>
      <c r="Q229" s="1460"/>
      <c r="R229" s="1460"/>
      <c r="S229" s="1460"/>
      <c r="T229" s="1460"/>
    </row>
    <row r="230" spans="1:20">
      <c r="A230" s="1460"/>
      <c r="B230" s="1460"/>
      <c r="C230" s="1460"/>
      <c r="D230" s="1460"/>
      <c r="E230" s="1460"/>
      <c r="F230" s="1460"/>
      <c r="G230" s="1460"/>
      <c r="H230" s="1460"/>
      <c r="I230" s="1460"/>
      <c r="J230" s="1460"/>
      <c r="K230" s="1468"/>
      <c r="L230" s="1469"/>
      <c r="M230" s="1460"/>
      <c r="N230" s="1460"/>
      <c r="O230" s="1460"/>
      <c r="P230" s="1460"/>
      <c r="Q230" s="1460"/>
      <c r="R230" s="1460"/>
      <c r="S230" s="1460"/>
      <c r="T230" s="1460"/>
    </row>
    <row r="231" spans="1:20">
      <c r="A231" s="1460"/>
      <c r="B231" s="1460"/>
      <c r="C231" s="1460"/>
      <c r="D231" s="1460"/>
      <c r="E231" s="1460"/>
      <c r="F231" s="1460"/>
      <c r="G231" s="1460"/>
      <c r="H231" s="1460"/>
      <c r="I231" s="1460"/>
      <c r="J231" s="1460"/>
      <c r="K231" s="1468"/>
      <c r="L231" s="1469"/>
      <c r="M231" s="1460"/>
      <c r="N231" s="1460"/>
      <c r="O231" s="1460"/>
      <c r="P231" s="1460"/>
      <c r="Q231" s="1460"/>
      <c r="R231" s="1460"/>
      <c r="S231" s="1460"/>
      <c r="T231" s="1460"/>
    </row>
    <row r="232" spans="1:20">
      <c r="A232" s="1460"/>
      <c r="B232" s="1460"/>
      <c r="C232" s="1460"/>
      <c r="D232" s="1460"/>
      <c r="E232" s="1460"/>
      <c r="F232" s="1460"/>
      <c r="G232" s="1460"/>
      <c r="H232" s="1460"/>
      <c r="I232" s="1460"/>
      <c r="J232" s="1460"/>
      <c r="K232" s="1468"/>
      <c r="L232" s="1469"/>
      <c r="M232" s="1460"/>
      <c r="N232" s="1460"/>
      <c r="O232" s="1460"/>
      <c r="P232" s="1460"/>
      <c r="Q232" s="1460"/>
      <c r="R232" s="1460"/>
      <c r="S232" s="1460"/>
      <c r="T232" s="1460"/>
    </row>
    <row r="233" spans="1:20">
      <c r="A233" s="1460"/>
      <c r="B233" s="1460"/>
      <c r="C233" s="1460"/>
      <c r="D233" s="1460"/>
      <c r="E233" s="1460"/>
      <c r="F233" s="1460"/>
      <c r="G233" s="1460"/>
      <c r="H233" s="1460"/>
      <c r="I233" s="1460"/>
      <c r="J233" s="1460"/>
      <c r="K233" s="1468"/>
      <c r="L233" s="1469"/>
      <c r="M233" s="1460"/>
      <c r="N233" s="1460"/>
      <c r="O233" s="1460"/>
      <c r="P233" s="1460"/>
      <c r="Q233" s="1460"/>
      <c r="R233" s="1460"/>
      <c r="S233" s="1460"/>
      <c r="T233" s="1460"/>
    </row>
    <row r="234" spans="1:20">
      <c r="A234" s="1460"/>
      <c r="B234" s="1460"/>
      <c r="C234" s="1460"/>
      <c r="D234" s="1460"/>
      <c r="E234" s="1460"/>
      <c r="F234" s="1460"/>
      <c r="G234" s="1460"/>
      <c r="H234" s="1460"/>
      <c r="I234" s="1460"/>
      <c r="J234" s="1460"/>
      <c r="K234" s="1468"/>
      <c r="L234" s="1469"/>
      <c r="M234" s="1460"/>
      <c r="N234" s="1460"/>
      <c r="O234" s="1460"/>
      <c r="P234" s="1460"/>
      <c r="Q234" s="1460"/>
      <c r="R234" s="1460"/>
      <c r="S234" s="1460"/>
      <c r="T234" s="1460"/>
    </row>
    <row r="235" spans="1:20">
      <c r="A235" s="1460"/>
      <c r="B235" s="1460"/>
      <c r="C235" s="1460"/>
      <c r="D235" s="1460"/>
      <c r="E235" s="1460"/>
      <c r="F235" s="1460"/>
      <c r="G235" s="1460"/>
      <c r="H235" s="1460"/>
      <c r="I235" s="1460"/>
      <c r="J235" s="1460"/>
      <c r="K235" s="1468"/>
      <c r="L235" s="1469"/>
      <c r="M235" s="1460"/>
      <c r="N235" s="1460"/>
      <c r="O235" s="1460"/>
      <c r="P235" s="1460"/>
      <c r="Q235" s="1460"/>
      <c r="R235" s="1460"/>
      <c r="S235" s="1460"/>
      <c r="T235" s="1460"/>
    </row>
    <row r="236" spans="1:20">
      <c r="A236" s="1460"/>
      <c r="B236" s="1460"/>
      <c r="C236" s="1460"/>
      <c r="D236" s="1460"/>
      <c r="E236" s="1460"/>
      <c r="F236" s="1460"/>
      <c r="G236" s="1460"/>
      <c r="H236" s="1460"/>
      <c r="I236" s="1460"/>
      <c r="J236" s="1460"/>
      <c r="K236" s="1468"/>
      <c r="L236" s="1469"/>
      <c r="M236" s="1460"/>
      <c r="N236" s="1460"/>
      <c r="O236" s="1460"/>
      <c r="P236" s="1460"/>
      <c r="Q236" s="1460"/>
      <c r="R236" s="1460"/>
      <c r="S236" s="1460"/>
      <c r="T236" s="1460"/>
    </row>
    <row r="237" spans="1:20">
      <c r="A237" s="1460"/>
      <c r="B237" s="1460"/>
      <c r="C237" s="1460"/>
      <c r="D237" s="1460"/>
      <c r="E237" s="1460"/>
      <c r="F237" s="1460"/>
      <c r="G237" s="1460"/>
      <c r="H237" s="1460"/>
      <c r="I237" s="1460"/>
      <c r="J237" s="1460"/>
      <c r="K237" s="1468"/>
      <c r="L237" s="1469"/>
      <c r="M237" s="1460"/>
      <c r="N237" s="1460"/>
      <c r="O237" s="1460"/>
      <c r="P237" s="1460"/>
      <c r="Q237" s="1460"/>
      <c r="R237" s="1460"/>
      <c r="S237" s="1460"/>
      <c r="T237" s="1460"/>
    </row>
    <row r="238" spans="1:20">
      <c r="A238" s="1460"/>
      <c r="B238" s="1460"/>
      <c r="C238" s="1460"/>
      <c r="D238" s="1460"/>
      <c r="E238" s="1460"/>
      <c r="F238" s="1460"/>
      <c r="G238" s="1460"/>
      <c r="H238" s="1460"/>
      <c r="I238" s="1460"/>
      <c r="J238" s="1460"/>
      <c r="K238" s="1468"/>
      <c r="L238" s="1469"/>
      <c r="M238" s="1460"/>
      <c r="N238" s="1460"/>
      <c r="O238" s="1460"/>
      <c r="P238" s="1460"/>
      <c r="Q238" s="1460"/>
      <c r="R238" s="1460"/>
      <c r="S238" s="1460"/>
      <c r="T238" s="1460"/>
    </row>
    <row r="239" spans="1:20">
      <c r="A239" s="1460"/>
      <c r="B239" s="1460"/>
      <c r="C239" s="1460"/>
      <c r="D239" s="1460"/>
      <c r="E239" s="1460"/>
      <c r="F239" s="1460"/>
      <c r="G239" s="1460"/>
      <c r="H239" s="1460"/>
      <c r="I239" s="1460"/>
      <c r="J239" s="1460"/>
      <c r="K239" s="1468"/>
      <c r="L239" s="1469"/>
      <c r="M239" s="1460"/>
      <c r="N239" s="1460"/>
      <c r="O239" s="1460"/>
      <c r="P239" s="1460"/>
      <c r="Q239" s="1460"/>
      <c r="R239" s="1460"/>
      <c r="S239" s="1460"/>
      <c r="T239" s="1460"/>
    </row>
    <row r="240" spans="1:20">
      <c r="A240" s="1460"/>
      <c r="B240" s="1460"/>
      <c r="C240" s="1460"/>
      <c r="D240" s="1460"/>
      <c r="E240" s="1460"/>
      <c r="F240" s="1460"/>
      <c r="G240" s="1460"/>
      <c r="H240" s="1460"/>
      <c r="I240" s="1460"/>
      <c r="J240" s="1460"/>
      <c r="K240" s="1468"/>
      <c r="L240" s="1469"/>
      <c r="M240" s="1460"/>
      <c r="N240" s="1460"/>
      <c r="O240" s="1460"/>
      <c r="P240" s="1460"/>
      <c r="Q240" s="1460"/>
      <c r="R240" s="1460"/>
      <c r="S240" s="1460"/>
      <c r="T240" s="1460"/>
    </row>
    <row r="241" spans="1:20">
      <c r="A241" s="1460"/>
      <c r="B241" s="1460"/>
      <c r="C241" s="1460"/>
      <c r="D241" s="1460"/>
      <c r="E241" s="1460"/>
      <c r="F241" s="1460"/>
      <c r="G241" s="1460"/>
      <c r="H241" s="1460"/>
      <c r="I241" s="1460"/>
      <c r="J241" s="1460"/>
      <c r="K241" s="1468"/>
      <c r="L241" s="1469"/>
      <c r="M241" s="1460"/>
      <c r="N241" s="1460"/>
      <c r="O241" s="1460"/>
      <c r="P241" s="1460"/>
      <c r="Q241" s="1460"/>
      <c r="R241" s="1460"/>
      <c r="S241" s="1460"/>
      <c r="T241" s="146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C19 E19 G19 I19">
      <formula1>基础设施水平</formula1>
    </dataValidation>
    <dataValidation type="list" allowBlank="1" showInputMessage="1" showErrorMessage="1" sqref="D1">
      <formula1>项目类型</formula1>
    </dataValidation>
    <dataValidation type="list" allowBlank="1" showInputMessage="1" showErrorMessage="1" sqref="B1">
      <formula1>地类判定</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9 E29 G29 I29">
      <formula1>有无电梯</formula1>
    </dataValidation>
    <dataValidation type="list" allowBlank="1" showInputMessage="1" showErrorMessage="1" sqref="C10 E10 G10 I10">
      <formula1>土地年限区间</formula1>
    </dataValidation>
    <dataValidation type="list" allowBlank="1" showInputMessage="1" showErrorMessage="1" sqref="C22 E22 G22 I22">
      <formula1>仓储楼层</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21 E21 G21 I21">
      <formula1>环境</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3.8"/>
  <cols>
    <col min="1" max="1" width="14.3333333333333" style="21" customWidth="1"/>
    <col min="2" max="2" width="15.7777777777778" style="21" customWidth="1"/>
    <col min="3" max="3" width="14.3333333333333" style="21" customWidth="1"/>
    <col min="4" max="4" width="14.1111111111111" style="21" customWidth="1"/>
    <col min="5" max="5" width="14.3333333333333" style="21" customWidth="1"/>
    <col min="6" max="6" width="12.2222222222222" style="21" customWidth="1"/>
    <col min="7" max="7" width="14.4444444444444" style="21" customWidth="1"/>
    <col min="8" max="8" width="12.2222222222222" style="21" customWidth="1"/>
    <col min="9" max="9" width="14.4444444444444" style="21" customWidth="1"/>
    <col min="10" max="10" width="12.2222222222222" style="21" customWidth="1"/>
    <col min="11" max="11" width="12.2222222222222" style="22" customWidth="1"/>
    <col min="12" max="12" width="12.2222222222222" style="23" customWidth="1"/>
    <col min="13" max="15" width="12.2222222222222" style="21" customWidth="1"/>
    <col min="16" max="16" width="4.77777777777778" style="21" customWidth="1"/>
    <col min="17" max="17" width="19.4444444444444" style="21" customWidth="1"/>
    <col min="18" max="22" width="6.11111111111111" style="21" customWidth="1"/>
    <col min="23" max="23" width="5.77777777777778" style="21" customWidth="1"/>
    <col min="24" max="24" width="4.22222222222222" style="21" customWidth="1"/>
    <col min="25" max="25" width="3.44444444444444" style="21" customWidth="1"/>
    <col min="26" max="26" width="19.7777777777778" style="21" customWidth="1"/>
    <col min="27" max="28" width="9.33333333333333" style="21" customWidth="1"/>
    <col min="29" max="16384" width="9" style="21"/>
  </cols>
  <sheetData>
    <row r="1" s="14" customFormat="1" ht="28.5" customHeight="1" spans="1:30">
      <c r="A1" s="24" t="s">
        <v>1559</v>
      </c>
      <c r="B1" s="25"/>
      <c r="C1" s="26" t="s">
        <v>1560</v>
      </c>
      <c r="D1" s="27"/>
      <c r="E1" s="27"/>
      <c r="F1" s="28" t="s">
        <v>1423</v>
      </c>
      <c r="G1" s="27"/>
      <c r="H1" s="27"/>
      <c r="I1" s="27"/>
      <c r="J1" s="27"/>
      <c r="K1" s="196"/>
      <c r="L1" s="197"/>
      <c r="M1" s="198"/>
      <c r="N1" s="198"/>
      <c r="O1" s="198"/>
      <c r="P1" s="199"/>
      <c r="Q1" s="199"/>
      <c r="R1" s="199"/>
      <c r="S1" s="199"/>
      <c r="T1" s="199"/>
      <c r="U1" s="199"/>
      <c r="V1" s="199"/>
      <c r="W1" s="199"/>
      <c r="X1" s="199"/>
      <c r="Y1" s="199"/>
      <c r="Z1" s="199"/>
      <c r="AA1" s="199"/>
      <c r="AB1" s="199"/>
      <c r="AC1" s="280"/>
      <c r="AD1" s="1382"/>
    </row>
    <row r="2" s="14" customFormat="1" ht="28.5" customHeight="1" spans="1:30">
      <c r="A2" s="29" t="s">
        <v>937</v>
      </c>
      <c r="B2" s="30" t="e">
        <f>F65</f>
        <v>#DIV/0!</v>
      </c>
      <c r="C2" s="1352"/>
      <c r="D2" s="1352"/>
      <c r="E2" s="31"/>
      <c r="F2" s="32"/>
      <c r="G2" s="31"/>
      <c r="H2" s="31"/>
      <c r="I2" s="31"/>
      <c r="J2" s="31"/>
      <c r="K2" s="200"/>
      <c r="L2" s="201"/>
      <c r="M2" s="202"/>
      <c r="N2" s="202"/>
      <c r="O2" s="202"/>
      <c r="P2" s="199"/>
      <c r="Q2" s="199"/>
      <c r="R2" s="199"/>
      <c r="S2" s="199"/>
      <c r="T2" s="199"/>
      <c r="U2" s="199"/>
      <c r="V2" s="199"/>
      <c r="W2" s="199"/>
      <c r="X2" s="199"/>
      <c r="Y2" s="199"/>
      <c r="Z2" s="199"/>
      <c r="AA2" s="199"/>
      <c r="AB2" s="199"/>
      <c r="AC2" s="280"/>
      <c r="AD2" s="1382"/>
    </row>
    <row r="3" s="14" customFormat="1" ht="28.5" customHeight="1" spans="1:29">
      <c r="A3" s="33" t="s">
        <v>939</v>
      </c>
      <c r="B3" s="34" t="e">
        <f>ROUND(IF(D3="",B2*10000/'数据-汇总表'!E3,B2*10000/D3),0)</f>
        <v>#DIV/0!</v>
      </c>
      <c r="C3" s="33" t="s">
        <v>1424</v>
      </c>
      <c r="D3" s="35"/>
      <c r="E3" s="31"/>
      <c r="F3" s="32"/>
      <c r="G3" s="31"/>
      <c r="H3" s="31"/>
      <c r="I3" s="31"/>
      <c r="J3" s="31"/>
      <c r="K3" s="200"/>
      <c r="L3" s="201"/>
      <c r="M3" s="202"/>
      <c r="N3" s="202"/>
      <c r="O3" s="202"/>
      <c r="P3" s="199"/>
      <c r="Q3" s="199"/>
      <c r="R3" s="199"/>
      <c r="S3" s="199"/>
      <c r="T3" s="199"/>
      <c r="U3" s="199"/>
      <c r="V3" s="199"/>
      <c r="W3" s="199"/>
      <c r="X3" s="199"/>
      <c r="Y3" s="199"/>
      <c r="Z3" s="199"/>
      <c r="AA3" s="199"/>
      <c r="AB3" s="281"/>
      <c r="AC3" s="282"/>
    </row>
    <row r="4" ht="14.4" spans="1:29">
      <c r="A4" s="36" t="s">
        <v>1425</v>
      </c>
      <c r="B4" s="37"/>
      <c r="C4" s="38" t="s">
        <v>1426</v>
      </c>
      <c r="D4" s="39"/>
      <c r="E4" s="40" t="s">
        <v>1427</v>
      </c>
      <c r="F4" s="41"/>
      <c r="G4" s="38" t="s">
        <v>1428</v>
      </c>
      <c r="H4" s="39"/>
      <c r="I4" s="38" t="s">
        <v>1429</v>
      </c>
      <c r="J4" s="39"/>
      <c r="K4" s="203" t="s">
        <v>1430</v>
      </c>
      <c r="L4" s="204"/>
      <c r="M4" s="205"/>
      <c r="N4" s="205"/>
      <c r="O4" s="205"/>
      <c r="P4" s="206" t="s">
        <v>1431</v>
      </c>
      <c r="Q4" s="255"/>
      <c r="R4" s="256" t="s">
        <v>1427</v>
      </c>
      <c r="S4" s="257"/>
      <c r="T4" s="256" t="s">
        <v>1428</v>
      </c>
      <c r="U4" s="257"/>
      <c r="V4" s="244" t="s">
        <v>1429</v>
      </c>
      <c r="W4" s="244"/>
      <c r="X4" s="258"/>
      <c r="Y4" s="256" t="s">
        <v>1431</v>
      </c>
      <c r="Z4" s="257"/>
      <c r="AA4" s="283" t="s">
        <v>1427</v>
      </c>
      <c r="AB4" s="258" t="s">
        <v>1428</v>
      </c>
      <c r="AC4" s="283" t="s">
        <v>1429</v>
      </c>
    </row>
    <row r="5" spans="1:29">
      <c r="A5" s="42"/>
      <c r="B5" s="43"/>
      <c r="C5" s="44" t="s">
        <v>1432</v>
      </c>
      <c r="D5" s="45"/>
      <c r="E5" s="46" t="s">
        <v>1433</v>
      </c>
      <c r="F5" s="47"/>
      <c r="G5" s="44" t="s">
        <v>1434</v>
      </c>
      <c r="H5" s="45"/>
      <c r="I5" s="44" t="s">
        <v>1435</v>
      </c>
      <c r="J5" s="45"/>
      <c r="K5" s="203"/>
      <c r="L5" s="204"/>
      <c r="M5" s="205"/>
      <c r="N5" s="205"/>
      <c r="O5" s="205"/>
      <c r="P5" s="207"/>
      <c r="Q5" s="259"/>
      <c r="R5" s="260"/>
      <c r="S5" s="261"/>
      <c r="T5" s="260"/>
      <c r="U5" s="261"/>
      <c r="V5" s="244"/>
      <c r="W5" s="244"/>
      <c r="X5" s="258"/>
      <c r="Y5" s="260"/>
      <c r="Z5" s="261"/>
      <c r="AA5" s="258"/>
      <c r="AB5" s="258"/>
      <c r="AC5" s="258"/>
    </row>
    <row r="6" ht="15.15" spans="1:29">
      <c r="A6" s="48"/>
      <c r="B6" s="49"/>
      <c r="C6" s="1353" t="s">
        <v>1436</v>
      </c>
      <c r="D6" s="1354"/>
      <c r="E6" s="1355" t="s">
        <v>1436</v>
      </c>
      <c r="F6" s="1356"/>
      <c r="G6" s="1353" t="s">
        <v>1436</v>
      </c>
      <c r="H6" s="1354"/>
      <c r="I6" s="1353" t="s">
        <v>1436</v>
      </c>
      <c r="J6" s="1354"/>
      <c r="K6" s="203" t="s">
        <v>1437</v>
      </c>
      <c r="L6" s="204"/>
      <c r="M6" s="205"/>
      <c r="N6" s="205"/>
      <c r="O6" s="205"/>
      <c r="P6" s="208"/>
      <c r="Q6" s="262"/>
      <c r="R6" s="260"/>
      <c r="S6" s="261"/>
      <c r="T6" s="263"/>
      <c r="U6" s="264"/>
      <c r="V6" s="244"/>
      <c r="W6" s="244"/>
      <c r="X6" s="258"/>
      <c r="Y6" s="263"/>
      <c r="Z6" s="264"/>
      <c r="AA6" s="284"/>
      <c r="AB6" s="284"/>
      <c r="AC6" s="284"/>
    </row>
    <row r="7" s="15" customFormat="1" ht="15.15" spans="1:29">
      <c r="A7" s="54" t="s">
        <v>1438</v>
      </c>
      <c r="B7" s="55"/>
      <c r="C7" s="56">
        <f>'数据-取费表'!B2</f>
        <v>44802</v>
      </c>
      <c r="D7" s="57">
        <v>100</v>
      </c>
      <c r="E7" s="58"/>
      <c r="F7" s="59">
        <f>SUMIF(69:69,YEAR(E7)&amp;"-"&amp;INT((MONTH(E7)+2)/3),70:70)</f>
        <v>0</v>
      </c>
      <c r="G7" s="60"/>
      <c r="H7" s="57">
        <f>SUMIF(69:69,YEAR(G7)&amp;"-"&amp;INT((MONTH(G7)+2)/3),70:70)</f>
        <v>0</v>
      </c>
      <c r="I7" s="60"/>
      <c r="J7" s="57">
        <f>SUMIF(69:69,YEAR(I7)&amp;"-"&amp;INT((MONTH(I7)+2)/3),70:70)</f>
        <v>0</v>
      </c>
      <c r="K7" s="209"/>
      <c r="L7" s="210"/>
      <c r="M7" s="211"/>
      <c r="N7" s="211"/>
      <c r="O7" s="211"/>
      <c r="P7" s="212" t="s">
        <v>1439</v>
      </c>
      <c r="Q7" s="265"/>
      <c r="R7" s="266" t="s">
        <v>1440</v>
      </c>
      <c r="S7" s="267">
        <f t="shared" ref="S7:S15" si="0">F7</f>
        <v>0</v>
      </c>
      <c r="T7" s="266" t="s">
        <v>1440</v>
      </c>
      <c r="U7" s="267">
        <f t="shared" ref="U7:U15" si="1">H7</f>
        <v>0</v>
      </c>
      <c r="V7" s="266" t="s">
        <v>1440</v>
      </c>
      <c r="W7" s="267">
        <f t="shared" ref="W7:W15" si="2">J7</f>
        <v>0</v>
      </c>
      <c r="X7" s="268"/>
      <c r="Y7" s="212" t="s">
        <v>1439</v>
      </c>
      <c r="Z7" s="269"/>
      <c r="AA7" s="285" t="e">
        <f>D7/F7</f>
        <v>#DIV/0!</v>
      </c>
      <c r="AB7" s="285" t="e">
        <f>D7/H7</f>
        <v>#DIV/0!</v>
      </c>
      <c r="AC7" s="285" t="e">
        <f>D7/J7</f>
        <v>#DIV/0!</v>
      </c>
    </row>
    <row r="8" s="15" customFormat="1" ht="15.15" spans="1:29">
      <c r="A8" s="54" t="s">
        <v>1441</v>
      </c>
      <c r="B8" s="55"/>
      <c r="C8" s="61" t="s">
        <v>1442</v>
      </c>
      <c r="D8" s="57">
        <v>100</v>
      </c>
      <c r="E8" s="61"/>
      <c r="F8" s="59">
        <f>SUMIF(72:72,E8,73:73)-SUMIF(72:72,C8,73:73)+100</f>
        <v>0</v>
      </c>
      <c r="G8" s="61"/>
      <c r="H8" s="57">
        <f>SUMIF(72:72,G8,73:73)-SUMIF(72:72,C8,73:73)+100</f>
        <v>0</v>
      </c>
      <c r="I8" s="61"/>
      <c r="J8" s="57">
        <f>SUMIF(72:72,I8,73:73)-SUMIF(72:72,C8,73:73)+100</f>
        <v>0</v>
      </c>
      <c r="K8" s="209"/>
      <c r="L8" s="210"/>
      <c r="M8" s="211"/>
      <c r="N8" s="211"/>
      <c r="O8" s="211"/>
      <c r="P8" s="212" t="s">
        <v>1443</v>
      </c>
      <c r="Q8" s="269"/>
      <c r="R8" s="266" t="s">
        <v>1440</v>
      </c>
      <c r="S8" s="267">
        <f t="shared" si="0"/>
        <v>0</v>
      </c>
      <c r="T8" s="266" t="s">
        <v>1440</v>
      </c>
      <c r="U8" s="267">
        <f t="shared" si="1"/>
        <v>0</v>
      </c>
      <c r="V8" s="266" t="s">
        <v>1440</v>
      </c>
      <c r="W8" s="267">
        <f t="shared" si="2"/>
        <v>0</v>
      </c>
      <c r="X8" s="268"/>
      <c r="Y8" s="212" t="s">
        <v>1443</v>
      </c>
      <c r="Z8" s="269"/>
      <c r="AA8" s="285" t="e">
        <f t="shared" ref="AA8:AA45" si="3">D8/F8</f>
        <v>#DIV/0!</v>
      </c>
      <c r="AB8" s="285" t="e">
        <f t="shared" ref="AB8:AB45" si="4">D8/H8</f>
        <v>#DIV/0!</v>
      </c>
      <c r="AC8" s="285" t="e">
        <f t="shared" ref="AC8:AC45" si="5">D8/J8</f>
        <v>#DIV/0!</v>
      </c>
    </row>
    <row r="9" s="15" customFormat="1" ht="14.4" spans="1:29">
      <c r="A9" s="62" t="s">
        <v>1444</v>
      </c>
      <c r="B9" s="63" t="s">
        <v>1445</v>
      </c>
      <c r="C9" s="64"/>
      <c r="D9" s="65">
        <v>100</v>
      </c>
      <c r="E9" s="64"/>
      <c r="F9" s="65">
        <f>SUMIF(74:74,E9,75:75)-SUMIF(74:74,C9,75:75)+100</f>
        <v>100</v>
      </c>
      <c r="G9" s="64"/>
      <c r="H9" s="65">
        <f>SUMIF(74:74,G9,75:75)-SUMIF(74:74,C9,75:75)+100</f>
        <v>100</v>
      </c>
      <c r="I9" s="64"/>
      <c r="J9" s="65">
        <f>SUMIF(74:74,I9,75:75)-SUMIF(74:74,C9,75:75)+100</f>
        <v>100</v>
      </c>
      <c r="K9" s="209"/>
      <c r="L9" s="210"/>
      <c r="M9" s="211"/>
      <c r="N9" s="211"/>
      <c r="O9" s="213"/>
      <c r="P9" s="169" t="s">
        <v>1446</v>
      </c>
      <c r="Q9" s="270" t="str">
        <f t="shared" ref="Q9:Q15" si="6">B9</f>
        <v>用途</v>
      </c>
      <c r="R9" s="266" t="s">
        <v>1440</v>
      </c>
      <c r="S9" s="267">
        <f t="shared" si="0"/>
        <v>100</v>
      </c>
      <c r="T9" s="266" t="s">
        <v>1440</v>
      </c>
      <c r="U9" s="267">
        <f t="shared" si="1"/>
        <v>100</v>
      </c>
      <c r="V9" s="266" t="s">
        <v>1440</v>
      </c>
      <c r="W9" s="267">
        <f t="shared" si="2"/>
        <v>100</v>
      </c>
      <c r="X9" s="268"/>
      <c r="Y9" s="270" t="s">
        <v>1447</v>
      </c>
      <c r="Z9" s="286" t="str">
        <f t="shared" ref="Z9:Z15" si="7">Q9</f>
        <v>用途</v>
      </c>
      <c r="AA9" s="285">
        <f t="shared" si="3"/>
        <v>1</v>
      </c>
      <c r="AB9" s="285">
        <f t="shared" si="4"/>
        <v>1</v>
      </c>
      <c r="AC9" s="285">
        <f t="shared" si="5"/>
        <v>1</v>
      </c>
    </row>
    <row r="10" s="16" customFormat="1" ht="28.8" spans="1:29">
      <c r="A10" s="66"/>
      <c r="B10" s="67" t="s">
        <v>1448</v>
      </c>
      <c r="C10" s="68"/>
      <c r="D10" s="69">
        <v>100</v>
      </c>
      <c r="E10" s="1357"/>
      <c r="F10" s="69">
        <f>ROUND(100/'数据-取费表'!G16,0)</f>
        <v>111</v>
      </c>
      <c r="G10" s="1358"/>
      <c r="H10" s="69">
        <f>ROUND(100/'数据-取费表'!G16,0)</f>
        <v>111</v>
      </c>
      <c r="I10" s="1358"/>
      <c r="J10" s="69">
        <f>ROUND(100/'数据-取费表'!G16,0)</f>
        <v>111</v>
      </c>
      <c r="K10" s="214"/>
      <c r="L10" s="215"/>
      <c r="M10" s="216"/>
      <c r="N10" s="216"/>
      <c r="O10" s="217"/>
      <c r="P10" s="169"/>
      <c r="Q10" s="270" t="str">
        <f t="shared" si="6"/>
        <v>土地使用年限（年）</v>
      </c>
      <c r="R10" s="266" t="s">
        <v>1440</v>
      </c>
      <c r="S10" s="267">
        <f t="shared" si="0"/>
        <v>111</v>
      </c>
      <c r="T10" s="266" t="s">
        <v>1440</v>
      </c>
      <c r="U10" s="267">
        <f t="shared" si="1"/>
        <v>111</v>
      </c>
      <c r="V10" s="266" t="s">
        <v>1440</v>
      </c>
      <c r="W10" s="267">
        <f t="shared" si="2"/>
        <v>111</v>
      </c>
      <c r="X10" s="268"/>
      <c r="Y10" s="270"/>
      <c r="Z10" s="286" t="str">
        <f t="shared" si="7"/>
        <v>土地使用年限（年）</v>
      </c>
      <c r="AA10" s="285">
        <f t="shared" si="3"/>
        <v>0.900900900900901</v>
      </c>
      <c r="AB10" s="285">
        <f t="shared" si="4"/>
        <v>0.900900900900901</v>
      </c>
      <c r="AC10" s="285">
        <f t="shared" si="5"/>
        <v>0.900900900900901</v>
      </c>
    </row>
    <row r="11" ht="15" spans="1:29">
      <c r="A11" s="70"/>
      <c r="B11" s="67" t="s">
        <v>1449</v>
      </c>
      <c r="C11" s="71"/>
      <c r="D11" s="69">
        <v>100</v>
      </c>
      <c r="E11" s="71"/>
      <c r="F11" s="69" t="e">
        <f>LOOKUP(E11,79:79,80:80)-LOOKUP(C11,79:79,80:80)+100</f>
        <v>#N/A</v>
      </c>
      <c r="G11" s="72"/>
      <c r="H11" s="69" t="e">
        <f>LOOKUP(G11,79:79,80:80)-LOOKUP(C11,79:79,80:80)+100</f>
        <v>#N/A</v>
      </c>
      <c r="I11" s="71"/>
      <c r="J11" s="69" t="e">
        <f>LOOKUP(I11,79:79,80:80)-LOOKUP(C11,79:79,80:80)+100</f>
        <v>#N/A</v>
      </c>
      <c r="K11" s="218"/>
      <c r="L11" s="219"/>
      <c r="M11" s="205"/>
      <c r="N11" s="205"/>
      <c r="O11" s="220"/>
      <c r="P11" s="169"/>
      <c r="Q11" s="270" t="str">
        <f t="shared" si="6"/>
        <v>容积率</v>
      </c>
      <c r="R11" s="266" t="s">
        <v>1440</v>
      </c>
      <c r="S11" s="267" t="e">
        <f t="shared" si="0"/>
        <v>#N/A</v>
      </c>
      <c r="T11" s="266" t="s">
        <v>1440</v>
      </c>
      <c r="U11" s="267" t="e">
        <f t="shared" si="1"/>
        <v>#N/A</v>
      </c>
      <c r="V11" s="266" t="s">
        <v>1440</v>
      </c>
      <c r="W11" s="267" t="e">
        <f t="shared" si="2"/>
        <v>#N/A</v>
      </c>
      <c r="X11" s="268"/>
      <c r="Y11" s="270"/>
      <c r="Z11" s="286" t="str">
        <f t="shared" si="7"/>
        <v>容积率</v>
      </c>
      <c r="AA11" s="285" t="e">
        <f t="shared" si="3"/>
        <v>#N/A</v>
      </c>
      <c r="AB11" s="285" t="e">
        <f t="shared" si="4"/>
        <v>#N/A</v>
      </c>
      <c r="AC11" s="285" t="e">
        <f t="shared" si="5"/>
        <v>#N/A</v>
      </c>
    </row>
    <row r="12" s="15" customFormat="1" ht="15" spans="1:29">
      <c r="A12" s="73"/>
      <c r="B12" s="74" t="s">
        <v>1561</v>
      </c>
      <c r="C12" s="68"/>
      <c r="D12" s="75">
        <v>100</v>
      </c>
      <c r="E12" s="1357"/>
      <c r="F12" s="69">
        <f>SUMIF(81:81,E12,82:82)-SUMIF(81:81,C12,82:82)+100</f>
        <v>100</v>
      </c>
      <c r="G12" s="1358"/>
      <c r="H12" s="69">
        <f>SUMIF(81:81,G12,82:82)-SUMIF(81:81,C12,82:82)+100</f>
        <v>100</v>
      </c>
      <c r="I12" s="1357"/>
      <c r="J12" s="69">
        <f>SUMIF(81:81,I12,82:82)-SUMIF(81:81,C12,82:82)+100</f>
        <v>100</v>
      </c>
      <c r="K12" s="214"/>
      <c r="L12" s="210"/>
      <c r="M12" s="211"/>
      <c r="N12" s="211"/>
      <c r="O12" s="213"/>
      <c r="P12" s="169"/>
      <c r="Q12" s="270" t="str">
        <f t="shared" si="6"/>
        <v>配建</v>
      </c>
      <c r="R12" s="266" t="s">
        <v>1440</v>
      </c>
      <c r="S12" s="267">
        <f t="shared" si="0"/>
        <v>100</v>
      </c>
      <c r="T12" s="266" t="s">
        <v>1440</v>
      </c>
      <c r="U12" s="267">
        <f t="shared" si="1"/>
        <v>100</v>
      </c>
      <c r="V12" s="266" t="s">
        <v>1440</v>
      </c>
      <c r="W12" s="267">
        <f t="shared" si="2"/>
        <v>100</v>
      </c>
      <c r="X12" s="268"/>
      <c r="Y12" s="270"/>
      <c r="Z12" s="286" t="str">
        <f t="shared" si="7"/>
        <v>配建</v>
      </c>
      <c r="AA12" s="285">
        <f t="shared" si="3"/>
        <v>1</v>
      </c>
      <c r="AB12" s="285">
        <f t="shared" si="4"/>
        <v>1</v>
      </c>
      <c r="AC12" s="285">
        <f t="shared" si="5"/>
        <v>1</v>
      </c>
    </row>
    <row r="13" ht="15" spans="1:29">
      <c r="A13" s="70"/>
      <c r="B13" s="74">
        <v>111</v>
      </c>
      <c r="C13" s="78"/>
      <c r="D13" s="79">
        <v>100</v>
      </c>
      <c r="E13" s="76"/>
      <c r="F13" s="69">
        <f>SUMIF(83:83,E13,84:84)-SUMIF(83:83,C13,84:84)+100</f>
        <v>100</v>
      </c>
      <c r="G13" s="77"/>
      <c r="H13" s="79">
        <f>SUMIF(83:83,G13,84:84)-SUMIF(83:83,C13,84:84)+100</f>
        <v>100</v>
      </c>
      <c r="I13" s="77"/>
      <c r="J13" s="79">
        <f>SUMIF(83:83,I13,84:84)-SUMIF(83:83,C13,84:84)+100</f>
        <v>100</v>
      </c>
      <c r="K13" s="214"/>
      <c r="L13" s="221"/>
      <c r="M13" s="205"/>
      <c r="N13" s="205"/>
      <c r="O13" s="220"/>
      <c r="P13" s="169"/>
      <c r="Q13" s="270">
        <f t="shared" si="6"/>
        <v>111</v>
      </c>
      <c r="R13" s="266" t="s">
        <v>1440</v>
      </c>
      <c r="S13" s="267">
        <f t="shared" si="0"/>
        <v>100</v>
      </c>
      <c r="T13" s="266" t="s">
        <v>1440</v>
      </c>
      <c r="U13" s="267">
        <f t="shared" si="1"/>
        <v>100</v>
      </c>
      <c r="V13" s="266" t="s">
        <v>1440</v>
      </c>
      <c r="W13" s="267">
        <f t="shared" si="2"/>
        <v>100</v>
      </c>
      <c r="X13" s="268"/>
      <c r="Y13" s="270"/>
      <c r="Z13" s="286">
        <f t="shared" si="7"/>
        <v>111</v>
      </c>
      <c r="AA13" s="285">
        <f t="shared" si="3"/>
        <v>1</v>
      </c>
      <c r="AB13" s="285">
        <f t="shared" si="4"/>
        <v>1</v>
      </c>
      <c r="AC13" s="285">
        <f t="shared" si="5"/>
        <v>1</v>
      </c>
    </row>
    <row r="14" ht="15.75" spans="1:29">
      <c r="A14" s="80"/>
      <c r="B14" s="81">
        <v>111</v>
      </c>
      <c r="C14" s="82"/>
      <c r="D14" s="83">
        <v>100</v>
      </c>
      <c r="E14" s="76"/>
      <c r="F14" s="83">
        <f>SUMIF(85:85,E14,86:86)-SUMIF(85:85,C14,86:86)+100</f>
        <v>100</v>
      </c>
      <c r="G14" s="77"/>
      <c r="H14" s="83">
        <f>SUMIF(85:85,G14,86:86)-SUMIF(85:85,C14,86:86)+100</f>
        <v>100</v>
      </c>
      <c r="I14" s="77"/>
      <c r="J14" s="83">
        <f>SUMIF(85:85,I14,86:86)-SUMIF(85:85,C14,86:86)+100</f>
        <v>100</v>
      </c>
      <c r="K14" s="214"/>
      <c r="L14" s="221"/>
      <c r="M14" s="205"/>
      <c r="N14" s="205"/>
      <c r="O14" s="220"/>
      <c r="P14" s="169"/>
      <c r="Q14" s="270">
        <f t="shared" si="6"/>
        <v>111</v>
      </c>
      <c r="R14" s="266" t="s">
        <v>1440</v>
      </c>
      <c r="S14" s="267">
        <f t="shared" si="0"/>
        <v>100</v>
      </c>
      <c r="T14" s="266" t="s">
        <v>1440</v>
      </c>
      <c r="U14" s="267">
        <f t="shared" si="1"/>
        <v>100</v>
      </c>
      <c r="V14" s="266" t="s">
        <v>1440</v>
      </c>
      <c r="W14" s="267">
        <f t="shared" si="2"/>
        <v>100</v>
      </c>
      <c r="X14" s="268"/>
      <c r="Y14" s="270"/>
      <c r="Z14" s="286">
        <f t="shared" si="7"/>
        <v>111</v>
      </c>
      <c r="AA14" s="285">
        <f t="shared" si="3"/>
        <v>1</v>
      </c>
      <c r="AB14" s="285">
        <f t="shared" si="4"/>
        <v>1</v>
      </c>
      <c r="AC14" s="285">
        <f t="shared" si="5"/>
        <v>1</v>
      </c>
    </row>
    <row r="15" ht="100.8" spans="1:29">
      <c r="A15" s="84" t="s">
        <v>1450</v>
      </c>
      <c r="B15" s="1359" t="s">
        <v>1451</v>
      </c>
      <c r="C15" s="1360" t="str">
        <f>估价对象房地状况!C15</f>
        <v>估价对象周边居住用地比例、居住小区规模和社区发展完善程度，综合评价居住社区成熟度一般</v>
      </c>
      <c r="D15" s="87">
        <v>100</v>
      </c>
      <c r="E15" s="88"/>
      <c r="F15" s="87">
        <f>SUMIF(87:87,E16,88:88)-SUMIF(87:87,C16,88:88)+100</f>
        <v>100</v>
      </c>
      <c r="G15" s="88"/>
      <c r="H15" s="87">
        <f>SUMIF(87:87,G16,88:88)-SUMIF(87:87,C16,88:88)+100</f>
        <v>100</v>
      </c>
      <c r="I15" s="222"/>
      <c r="J15" s="87">
        <f>SUMIF(87:87,I16,88:88)-SUMIF(87:87,C16,88:88)+100</f>
        <v>100</v>
      </c>
      <c r="K15" s="218"/>
      <c r="L15" s="221"/>
      <c r="M15" s="205"/>
      <c r="N15" s="205"/>
      <c r="O15" s="220"/>
      <c r="P15" s="223" t="s">
        <v>1452</v>
      </c>
      <c r="Q15" s="169" t="str">
        <f t="shared" si="6"/>
        <v>居住社区成熟度</v>
      </c>
      <c r="R15" s="271" t="s">
        <v>1440</v>
      </c>
      <c r="S15" s="272">
        <f t="shared" si="0"/>
        <v>100</v>
      </c>
      <c r="T15" s="271" t="s">
        <v>1440</v>
      </c>
      <c r="U15" s="272">
        <f t="shared" si="1"/>
        <v>100</v>
      </c>
      <c r="V15" s="271" t="s">
        <v>1440</v>
      </c>
      <c r="W15" s="272">
        <f t="shared" si="2"/>
        <v>100</v>
      </c>
      <c r="X15" s="258"/>
      <c r="Y15" s="223" t="s">
        <v>1452</v>
      </c>
      <c r="Z15" s="244" t="str">
        <f t="shared" si="7"/>
        <v>居住社区成熟度</v>
      </c>
      <c r="AA15" s="287">
        <f t="shared" si="3"/>
        <v>1</v>
      </c>
      <c r="AB15" s="287">
        <f t="shared" si="4"/>
        <v>1</v>
      </c>
      <c r="AC15" s="287">
        <f t="shared" si="5"/>
        <v>1</v>
      </c>
    </row>
    <row r="16" ht="15" spans="1:29">
      <c r="A16" s="70"/>
      <c r="B16" s="1361"/>
      <c r="C16" s="90"/>
      <c r="D16" s="91"/>
      <c r="E16" s="99"/>
      <c r="F16" s="91"/>
      <c r="G16" s="99"/>
      <c r="H16" s="93"/>
      <c r="I16" s="1367"/>
      <c r="J16" s="91"/>
      <c r="K16" s="214"/>
      <c r="L16" s="221"/>
      <c r="M16" s="205"/>
      <c r="N16" s="205"/>
      <c r="O16" s="220"/>
      <c r="P16" s="224"/>
      <c r="Q16" s="169"/>
      <c r="R16" s="271"/>
      <c r="S16" s="272"/>
      <c r="T16" s="271"/>
      <c r="U16" s="272"/>
      <c r="V16" s="271"/>
      <c r="W16" s="272"/>
      <c r="X16" s="258"/>
      <c r="Y16" s="224"/>
      <c r="Z16" s="244"/>
      <c r="AA16" s="287">
        <v>1</v>
      </c>
      <c r="AB16" s="287">
        <v>1</v>
      </c>
      <c r="AC16" s="287">
        <v>1</v>
      </c>
    </row>
    <row r="17" ht="86.4" spans="1:29">
      <c r="A17" s="70"/>
      <c r="B17" s="1362" t="s">
        <v>1520</v>
      </c>
      <c r="C17" s="1121" t="str">
        <f>估价对象房地状况!C16</f>
        <v>估价对象位于XX商圈，周边商业氛围成熟，人流量大，商业繁华度好</v>
      </c>
      <c r="D17" s="93">
        <v>100</v>
      </c>
      <c r="E17" s="96"/>
      <c r="F17" s="93">
        <f>SUMIF(89:89,E18,90:90)-SUMIF(89:89,C18,90:90)+100</f>
        <v>100</v>
      </c>
      <c r="G17" s="96"/>
      <c r="H17" s="97">
        <f>SUMIF(89:89,G18,90:90)-SUMIF(89:89,C18,90:90)+100</f>
        <v>100</v>
      </c>
      <c r="I17" s="225"/>
      <c r="J17" s="97">
        <f>SUMIF(89:89,I18,90:90)-SUMIF(89:89,C18,90:90)+100</f>
        <v>100</v>
      </c>
      <c r="K17" s="218"/>
      <c r="L17" s="221"/>
      <c r="M17" s="205"/>
      <c r="N17" s="205"/>
      <c r="O17" s="220"/>
      <c r="P17" s="224"/>
      <c r="Q17" s="169" t="str">
        <f>B17</f>
        <v>商业繁华度</v>
      </c>
      <c r="R17" s="271" t="s">
        <v>1440</v>
      </c>
      <c r="S17" s="272">
        <f>F17</f>
        <v>100</v>
      </c>
      <c r="T17" s="271" t="s">
        <v>1440</v>
      </c>
      <c r="U17" s="272">
        <f>H17</f>
        <v>100</v>
      </c>
      <c r="V17" s="271" t="s">
        <v>1440</v>
      </c>
      <c r="W17" s="272">
        <f>J17</f>
        <v>100</v>
      </c>
      <c r="X17" s="258"/>
      <c r="Y17" s="224"/>
      <c r="Z17" s="244" t="str">
        <f>Q17</f>
        <v>商业繁华度</v>
      </c>
      <c r="AA17" s="287">
        <f t="shared" si="3"/>
        <v>1</v>
      </c>
      <c r="AB17" s="287">
        <f t="shared" si="4"/>
        <v>1</v>
      </c>
      <c r="AC17" s="287">
        <f t="shared" si="5"/>
        <v>1</v>
      </c>
    </row>
    <row r="18" ht="15" spans="1:29">
      <c r="A18" s="70"/>
      <c r="B18" s="118"/>
      <c r="C18" s="1363"/>
      <c r="D18" s="93"/>
      <c r="E18" s="1364"/>
      <c r="F18" s="93"/>
      <c r="G18" s="1364"/>
      <c r="H18" s="91"/>
      <c r="I18" s="1373"/>
      <c r="J18" s="91"/>
      <c r="K18" s="214"/>
      <c r="L18" s="221"/>
      <c r="M18" s="205"/>
      <c r="N18" s="205"/>
      <c r="O18" s="220"/>
      <c r="P18" s="224"/>
      <c r="Q18" s="169"/>
      <c r="R18" s="271"/>
      <c r="S18" s="272"/>
      <c r="T18" s="271"/>
      <c r="U18" s="272"/>
      <c r="V18" s="271"/>
      <c r="W18" s="272"/>
      <c r="X18" s="258"/>
      <c r="Y18" s="224"/>
      <c r="Z18" s="244"/>
      <c r="AA18" s="287">
        <v>1</v>
      </c>
      <c r="AB18" s="287">
        <v>1</v>
      </c>
      <c r="AC18" s="287">
        <v>1</v>
      </c>
    </row>
    <row r="19" ht="86.4" spans="1:29">
      <c r="A19" s="70"/>
      <c r="B19" s="1362" t="s">
        <v>1533</v>
      </c>
      <c r="C19" s="1121" t="str">
        <f>估价对象房地状况!C17</f>
        <v>估价对象位于XX商圈，周边办公楼项目较多，入驻率高，办公集聚程度较好</v>
      </c>
      <c r="D19" s="97">
        <v>100</v>
      </c>
      <c r="E19" s="1365"/>
      <c r="F19" s="97">
        <f>SUMIF(91:91,E20,92:92)-SUMIF(91:91,C20,92:92)+100</f>
        <v>100</v>
      </c>
      <c r="G19" s="1365"/>
      <c r="H19" s="93">
        <f>SUMIF(91:91,G20,92:92)-SUMIF(91:91,C20,92:92)+100</f>
        <v>100</v>
      </c>
      <c r="I19" s="1374"/>
      <c r="J19" s="93">
        <f>SUMIF(91:91,I20,92:92)-SUMIF(91:91,C20,92:92)+100</f>
        <v>100</v>
      </c>
      <c r="K19" s="218"/>
      <c r="L19" s="221"/>
      <c r="M19" s="205"/>
      <c r="N19" s="205"/>
      <c r="O19" s="220"/>
      <c r="P19" s="224"/>
      <c r="Q19" s="169" t="str">
        <f>B19</f>
        <v>办公集聚程度</v>
      </c>
      <c r="R19" s="271" t="s">
        <v>1440</v>
      </c>
      <c r="S19" s="272">
        <f>F19</f>
        <v>100</v>
      </c>
      <c r="T19" s="271" t="s">
        <v>1440</v>
      </c>
      <c r="U19" s="272">
        <f>H19</f>
        <v>100</v>
      </c>
      <c r="V19" s="271" t="s">
        <v>1440</v>
      </c>
      <c r="W19" s="272">
        <f>J19</f>
        <v>100</v>
      </c>
      <c r="X19" s="258"/>
      <c r="Y19" s="224"/>
      <c r="Z19" s="244" t="str">
        <f>Q19</f>
        <v>办公集聚程度</v>
      </c>
      <c r="AA19" s="287">
        <f t="shared" si="3"/>
        <v>1</v>
      </c>
      <c r="AB19" s="287">
        <f t="shared" si="4"/>
        <v>1</v>
      </c>
      <c r="AC19" s="287">
        <f t="shared" si="5"/>
        <v>1</v>
      </c>
    </row>
    <row r="20" ht="15" spans="1:29">
      <c r="A20" s="70"/>
      <c r="B20" s="118"/>
      <c r="C20" s="90"/>
      <c r="D20" s="91"/>
      <c r="E20" s="99"/>
      <c r="F20" s="91"/>
      <c r="G20" s="99"/>
      <c r="H20" s="91"/>
      <c r="I20" s="1367"/>
      <c r="J20" s="91"/>
      <c r="K20" s="214"/>
      <c r="L20" s="221"/>
      <c r="M20" s="205"/>
      <c r="N20" s="205"/>
      <c r="O20" s="220"/>
      <c r="P20" s="224"/>
      <c r="Q20" s="169"/>
      <c r="R20" s="271"/>
      <c r="S20" s="272"/>
      <c r="T20" s="271"/>
      <c r="U20" s="272"/>
      <c r="V20" s="271"/>
      <c r="W20" s="272"/>
      <c r="X20" s="258"/>
      <c r="Y20" s="224"/>
      <c r="Z20" s="244"/>
      <c r="AA20" s="287">
        <v>1</v>
      </c>
      <c r="AB20" s="287">
        <v>1</v>
      </c>
      <c r="AC20" s="287">
        <v>1</v>
      </c>
    </row>
    <row r="21" ht="100.8" spans="1:29">
      <c r="A21" s="70"/>
      <c r="B21" s="1362" t="s">
        <v>1453</v>
      </c>
      <c r="C21" s="95" t="str">
        <f>估价对象房地状况!C18</f>
        <v>估价对象周边道路状况、公共交通通达情况、停车便捷程度，综合评价交通便捷度较好</v>
      </c>
      <c r="D21" s="93">
        <v>100</v>
      </c>
      <c r="E21" s="96"/>
      <c r="F21" s="97">
        <f>SUMIF(93:93,E22,94:94)-SUMIF(93:93,C22,94:94)+100</f>
        <v>100</v>
      </c>
      <c r="G21" s="96"/>
      <c r="H21" s="93">
        <f>SUMIF(93:93,G22,94:94)-SUMIF(93:93,C22,94:94)+100</f>
        <v>100</v>
      </c>
      <c r="I21" s="225"/>
      <c r="J21" s="93">
        <f>SUMIF(93:93,I22,94:94)-SUMIF(93:93,C22,94:94)+100</f>
        <v>100</v>
      </c>
      <c r="K21" s="218"/>
      <c r="L21" s="221"/>
      <c r="M21" s="205"/>
      <c r="N21" s="205"/>
      <c r="O21" s="220"/>
      <c r="P21" s="224"/>
      <c r="Q21" s="169" t="str">
        <f>B21</f>
        <v>交通便捷度</v>
      </c>
      <c r="R21" s="271" t="s">
        <v>1440</v>
      </c>
      <c r="S21" s="272">
        <f>F21</f>
        <v>100</v>
      </c>
      <c r="T21" s="271" t="s">
        <v>1440</v>
      </c>
      <c r="U21" s="272">
        <f>H21</f>
        <v>100</v>
      </c>
      <c r="V21" s="271" t="s">
        <v>1440</v>
      </c>
      <c r="W21" s="272">
        <f>J21</f>
        <v>100</v>
      </c>
      <c r="X21" s="258"/>
      <c r="Y21" s="224"/>
      <c r="Z21" s="244" t="str">
        <f>Q21</f>
        <v>交通便捷度</v>
      </c>
      <c r="AA21" s="287">
        <f t="shared" si="3"/>
        <v>1</v>
      </c>
      <c r="AB21" s="287">
        <f t="shared" si="4"/>
        <v>1</v>
      </c>
      <c r="AC21" s="287">
        <f t="shared" si="5"/>
        <v>1</v>
      </c>
    </row>
    <row r="22" ht="15" spans="1:29">
      <c r="A22" s="70"/>
      <c r="B22" s="1366"/>
      <c r="C22" s="90"/>
      <c r="D22" s="93"/>
      <c r="E22" s="99"/>
      <c r="F22" s="91"/>
      <c r="G22" s="99"/>
      <c r="H22" s="91"/>
      <c r="I22" s="1367"/>
      <c r="J22" s="91"/>
      <c r="K22" s="214"/>
      <c r="L22" s="221"/>
      <c r="M22" s="205"/>
      <c r="N22" s="205"/>
      <c r="O22" s="220"/>
      <c r="P22" s="224"/>
      <c r="Q22" s="169"/>
      <c r="R22" s="271"/>
      <c r="S22" s="272"/>
      <c r="T22" s="271"/>
      <c r="U22" s="272"/>
      <c r="V22" s="271"/>
      <c r="W22" s="272"/>
      <c r="X22" s="258"/>
      <c r="Y22" s="224"/>
      <c r="Z22" s="244"/>
      <c r="AA22" s="287">
        <v>1</v>
      </c>
      <c r="AB22" s="287">
        <v>1</v>
      </c>
      <c r="AC22" s="287">
        <v>1</v>
      </c>
    </row>
    <row r="23" ht="28.8" spans="1:29">
      <c r="A23" s="42"/>
      <c r="B23" s="1362" t="s">
        <v>1562</v>
      </c>
      <c r="C23" s="108">
        <f>估价对象房地状况!C19</f>
        <v>0</v>
      </c>
      <c r="D23" s="97">
        <v>100</v>
      </c>
      <c r="E23" s="96"/>
      <c r="F23" s="97">
        <f>SUMIF(95:95,E24,96:96)-SUMIF(95:95,C24,96:96)+100</f>
        <v>100</v>
      </c>
      <c r="G23" s="225"/>
      <c r="H23" s="97">
        <f>SUMIF(95:95,G24,96:96)-SUMIF(95:95,C24,96:96)+100</f>
        <v>100</v>
      </c>
      <c r="I23" s="225"/>
      <c r="J23" s="97">
        <f>SUMIF(95:95,I24,96:96)-SUMIF(95:95,C24,96:96)+100</f>
        <v>100</v>
      </c>
      <c r="K23" s="218"/>
      <c r="L23" s="221"/>
      <c r="M23" s="205"/>
      <c r="N23" s="205"/>
      <c r="O23" s="220"/>
      <c r="P23" s="224"/>
      <c r="Q23" s="169" t="str">
        <f t="shared" ref="Q23:Q38" si="8">B23</f>
        <v>区域土地利用方向</v>
      </c>
      <c r="R23" s="271" t="s">
        <v>1440</v>
      </c>
      <c r="S23" s="272">
        <f>F23</f>
        <v>100</v>
      </c>
      <c r="T23" s="271" t="s">
        <v>1440</v>
      </c>
      <c r="U23" s="272">
        <f>H23</f>
        <v>100</v>
      </c>
      <c r="V23" s="271" t="s">
        <v>1440</v>
      </c>
      <c r="W23" s="272">
        <f>J23</f>
        <v>100</v>
      </c>
      <c r="X23" s="258"/>
      <c r="Y23" s="224"/>
      <c r="Z23" s="244" t="str">
        <f>Q23</f>
        <v>区域土地利用方向</v>
      </c>
      <c r="AA23" s="287">
        <f t="shared" si="3"/>
        <v>1</v>
      </c>
      <c r="AB23" s="287">
        <f t="shared" si="4"/>
        <v>1</v>
      </c>
      <c r="AC23" s="287">
        <f t="shared" si="5"/>
        <v>1</v>
      </c>
    </row>
    <row r="24" ht="15" spans="1:29">
      <c r="A24" s="42"/>
      <c r="B24" s="118"/>
      <c r="C24" s="104"/>
      <c r="D24" s="91"/>
      <c r="E24" s="99"/>
      <c r="F24" s="91"/>
      <c r="G24" s="1367"/>
      <c r="H24" s="91"/>
      <c r="I24" s="1367"/>
      <c r="J24" s="91"/>
      <c r="K24" s="226"/>
      <c r="L24" s="221"/>
      <c r="M24" s="205"/>
      <c r="N24" s="205"/>
      <c r="O24" s="220"/>
      <c r="P24" s="224"/>
      <c r="Q24" s="169"/>
      <c r="R24" s="271"/>
      <c r="S24" s="272"/>
      <c r="T24" s="271"/>
      <c r="U24" s="272"/>
      <c r="V24" s="271"/>
      <c r="W24" s="272"/>
      <c r="X24" s="258"/>
      <c r="Y24" s="224"/>
      <c r="Z24" s="244"/>
      <c r="AA24" s="287"/>
      <c r="AB24" s="287"/>
      <c r="AC24" s="287"/>
    </row>
    <row r="25" ht="57.6" spans="1:29">
      <c r="A25" s="42"/>
      <c r="B25" s="1366" t="s">
        <v>1563</v>
      </c>
      <c r="C25" s="1121" t="str">
        <f>估价对象房地状况!C20</f>
        <v>区域自然环境：；人文环境；综合评价环境状况一般</v>
      </c>
      <c r="D25" s="93">
        <v>100</v>
      </c>
      <c r="E25" s="96"/>
      <c r="F25" s="93">
        <f>SUMIF(97:97,E26,98:98)-SUMIF(97:97,C26,98:98)+100</f>
        <v>100</v>
      </c>
      <c r="G25" s="96"/>
      <c r="H25" s="93">
        <f>SUMIF(97:97,G26,98:98)-SUMIF(97:97,C26,98:98)+100</f>
        <v>100</v>
      </c>
      <c r="I25" s="225"/>
      <c r="J25" s="93">
        <f>SUMIF(97:97,I26,98:98)-SUMIF(97:97,C26,98:98)+100</f>
        <v>100</v>
      </c>
      <c r="K25" s="218"/>
      <c r="L25" s="221"/>
      <c r="M25" s="205"/>
      <c r="N25" s="205"/>
      <c r="O25" s="220"/>
      <c r="P25" s="224"/>
      <c r="Q25" s="169" t="str">
        <f t="shared" si="8"/>
        <v>自然及人文环境状况</v>
      </c>
      <c r="R25" s="271" t="s">
        <v>1440</v>
      </c>
      <c r="S25" s="272">
        <f>F25</f>
        <v>100</v>
      </c>
      <c r="T25" s="271" t="s">
        <v>1440</v>
      </c>
      <c r="U25" s="272">
        <f>H25</f>
        <v>100</v>
      </c>
      <c r="V25" s="271" t="s">
        <v>1440</v>
      </c>
      <c r="W25" s="272">
        <f>J25</f>
        <v>100</v>
      </c>
      <c r="X25" s="258"/>
      <c r="Y25" s="224"/>
      <c r="Z25" s="244" t="str">
        <f>Q25</f>
        <v>自然及人文环境状况</v>
      </c>
      <c r="AA25" s="287">
        <f t="shared" si="3"/>
        <v>1</v>
      </c>
      <c r="AB25" s="287">
        <f t="shared" si="4"/>
        <v>1</v>
      </c>
      <c r="AC25" s="287">
        <f t="shared" si="5"/>
        <v>1</v>
      </c>
    </row>
    <row r="26" ht="15" spans="1:29">
      <c r="A26" s="42"/>
      <c r="B26" s="118"/>
      <c r="C26" s="90"/>
      <c r="D26" s="91"/>
      <c r="E26" s="92"/>
      <c r="F26" s="91"/>
      <c r="G26" s="92"/>
      <c r="H26" s="91"/>
      <c r="I26" s="90"/>
      <c r="J26" s="91"/>
      <c r="K26" s="214"/>
      <c r="L26" s="221"/>
      <c r="M26" s="205"/>
      <c r="N26" s="205"/>
      <c r="O26" s="220"/>
      <c r="P26" s="224"/>
      <c r="Q26" s="169"/>
      <c r="R26" s="271"/>
      <c r="S26" s="272"/>
      <c r="T26" s="271"/>
      <c r="U26" s="272"/>
      <c r="V26" s="271"/>
      <c r="W26" s="272"/>
      <c r="X26" s="258"/>
      <c r="Y26" s="224"/>
      <c r="Z26" s="244"/>
      <c r="AA26" s="287">
        <v>1</v>
      </c>
      <c r="AB26" s="287">
        <v>1</v>
      </c>
      <c r="AC26" s="287">
        <v>1</v>
      </c>
    </row>
    <row r="27" s="15" customFormat="1" ht="43.2" spans="1:29">
      <c r="A27" s="100"/>
      <c r="B27" s="1366" t="s">
        <v>1454</v>
      </c>
      <c r="C27" s="95" t="str">
        <f>估价对象房地状况!C21</f>
        <v>估价对象所在区域公共配套设施齐备情况</v>
      </c>
      <c r="D27" s="93">
        <v>100</v>
      </c>
      <c r="E27" s="96"/>
      <c r="F27" s="93">
        <f>SUMIF(99:99,E28,100:100)-SUMIF(99:99,C28,100:100)+100</f>
        <v>100</v>
      </c>
      <c r="G27" s="96"/>
      <c r="H27" s="93">
        <f>SUMIF(99:99,G28,100:100)-SUMIF(99:99,C28,100:100)+100</f>
        <v>100</v>
      </c>
      <c r="I27" s="225"/>
      <c r="J27" s="93">
        <f>SUMIF(99:99,I28,100:100)-SUMIF(99:99,C28,100:100)+100</f>
        <v>100</v>
      </c>
      <c r="K27" s="218"/>
      <c r="L27" s="210"/>
      <c r="M27" s="211"/>
      <c r="N27" s="211"/>
      <c r="O27" s="213"/>
      <c r="P27" s="224"/>
      <c r="Q27" s="270" t="str">
        <f t="shared" si="8"/>
        <v>公共配套设施</v>
      </c>
      <c r="R27" s="266" t="s">
        <v>1440</v>
      </c>
      <c r="S27" s="267">
        <f>F27</f>
        <v>100</v>
      </c>
      <c r="T27" s="266" t="s">
        <v>1440</v>
      </c>
      <c r="U27" s="267">
        <f>H27</f>
        <v>100</v>
      </c>
      <c r="V27" s="266" t="s">
        <v>1440</v>
      </c>
      <c r="W27" s="267">
        <f>J27</f>
        <v>100</v>
      </c>
      <c r="X27" s="268"/>
      <c r="Y27" s="224"/>
      <c r="Z27" s="286" t="str">
        <f>Q27</f>
        <v>公共配套设施</v>
      </c>
      <c r="AA27" s="287">
        <f>D27/F27</f>
        <v>1</v>
      </c>
      <c r="AB27" s="287">
        <f>D27/H27</f>
        <v>1</v>
      </c>
      <c r="AC27" s="287">
        <f>D27/J27</f>
        <v>1</v>
      </c>
    </row>
    <row r="28" s="15" customFormat="1" ht="15" spans="1:29">
      <c r="A28" s="100"/>
      <c r="B28" s="118"/>
      <c r="C28" s="102"/>
      <c r="D28" s="91"/>
      <c r="E28" s="92"/>
      <c r="F28" s="91"/>
      <c r="G28" s="92"/>
      <c r="H28" s="91"/>
      <c r="I28" s="90"/>
      <c r="J28" s="91"/>
      <c r="K28" s="214"/>
      <c r="L28" s="210"/>
      <c r="M28" s="211"/>
      <c r="N28" s="211"/>
      <c r="O28" s="213"/>
      <c r="P28" s="224"/>
      <c r="Q28" s="270"/>
      <c r="R28" s="266"/>
      <c r="S28" s="267"/>
      <c r="T28" s="266"/>
      <c r="U28" s="267"/>
      <c r="V28" s="266"/>
      <c r="W28" s="267"/>
      <c r="X28" s="268"/>
      <c r="Y28" s="224"/>
      <c r="Z28" s="286"/>
      <c r="AA28" s="287">
        <v>1</v>
      </c>
      <c r="AB28" s="287">
        <v>1</v>
      </c>
      <c r="AC28" s="287">
        <v>1</v>
      </c>
    </row>
    <row r="29" s="15" customFormat="1" ht="43.2" spans="1:29">
      <c r="A29" s="100"/>
      <c r="B29" s="1366" t="s">
        <v>1455</v>
      </c>
      <c r="C29" s="95" t="str">
        <f>估价对象房地状况!C22</f>
        <v>估价对象所在区域基础设施水平</v>
      </c>
      <c r="D29" s="93">
        <v>100</v>
      </c>
      <c r="E29" s="96"/>
      <c r="F29" s="93">
        <f>SUMIF(101:101,E30,102:102)-SUMIF(101:101,C30,102:102)+100</f>
        <v>100</v>
      </c>
      <c r="G29" s="96"/>
      <c r="H29" s="93">
        <f>SUMIF(101:101,G30,102:102)-SUMIF(101:101,C30,102:102)+100</f>
        <v>100</v>
      </c>
      <c r="I29" s="225"/>
      <c r="J29" s="93">
        <f>SUMIF(101:101,I30,102:102)-SUMIF(101:101,C30,102:102)+100</f>
        <v>100</v>
      </c>
      <c r="K29" s="218"/>
      <c r="L29" s="210"/>
      <c r="M29" s="211"/>
      <c r="N29" s="211"/>
      <c r="O29" s="213"/>
      <c r="P29" s="224"/>
      <c r="Q29" s="270" t="str">
        <f t="shared" ref="Q29" si="9">B29</f>
        <v>基础设施水平</v>
      </c>
      <c r="R29" s="266" t="s">
        <v>1440</v>
      </c>
      <c r="S29" s="267">
        <f>F29</f>
        <v>100</v>
      </c>
      <c r="T29" s="266" t="s">
        <v>1440</v>
      </c>
      <c r="U29" s="267">
        <f>H29</f>
        <v>100</v>
      </c>
      <c r="V29" s="266" t="s">
        <v>1440</v>
      </c>
      <c r="W29" s="267">
        <f>J29</f>
        <v>100</v>
      </c>
      <c r="X29" s="268"/>
      <c r="Y29" s="224"/>
      <c r="Z29" s="286" t="str">
        <f>Q29</f>
        <v>基础设施水平</v>
      </c>
      <c r="AA29" s="287">
        <f>D29/F29</f>
        <v>1</v>
      </c>
      <c r="AB29" s="287">
        <f>D29/H29</f>
        <v>1</v>
      </c>
      <c r="AC29" s="287">
        <f>D29/J29</f>
        <v>1</v>
      </c>
    </row>
    <row r="30" s="15" customFormat="1" ht="15" spans="1:29">
      <c r="A30" s="100"/>
      <c r="B30" s="118"/>
      <c r="C30" s="102"/>
      <c r="D30" s="91"/>
      <c r="E30" s="103"/>
      <c r="F30" s="91"/>
      <c r="G30" s="103"/>
      <c r="H30" s="91"/>
      <c r="I30" s="103"/>
      <c r="J30" s="91"/>
      <c r="K30" s="214"/>
      <c r="L30" s="210"/>
      <c r="M30" s="211"/>
      <c r="N30" s="211"/>
      <c r="O30" s="213"/>
      <c r="P30" s="224"/>
      <c r="Q30" s="270"/>
      <c r="R30" s="266"/>
      <c r="S30" s="267"/>
      <c r="T30" s="266"/>
      <c r="U30" s="267"/>
      <c r="V30" s="266"/>
      <c r="W30" s="267"/>
      <c r="X30" s="268"/>
      <c r="Y30" s="224"/>
      <c r="Z30" s="286"/>
      <c r="AA30" s="287">
        <v>1</v>
      </c>
      <c r="AB30" s="287">
        <v>1</v>
      </c>
      <c r="AC30" s="287">
        <v>1</v>
      </c>
    </row>
    <row r="31" ht="15" spans="1:29">
      <c r="A31" s="70"/>
      <c r="B31" s="118" t="s">
        <v>1521</v>
      </c>
      <c r="C31" s="104"/>
      <c r="D31" s="79">
        <v>100</v>
      </c>
      <c r="E31" s="105"/>
      <c r="F31" s="79">
        <f>SUMIF(103:103,E31,104:104)-SUMIF(103:103,C31,104:104)+100</f>
        <v>100</v>
      </c>
      <c r="G31" s="105"/>
      <c r="H31" s="79">
        <f>SUMIF(103:103,G31,104:104)-SUMIF(103:103,C31,104:104)+100</f>
        <v>100</v>
      </c>
      <c r="I31" s="105"/>
      <c r="J31" s="79">
        <f>SUMIF(103:103,I31,104:104)-SUMIF(103:103,C31,104:104)+100</f>
        <v>100</v>
      </c>
      <c r="K31" s="218"/>
      <c r="L31" s="221"/>
      <c r="M31" s="205"/>
      <c r="N31" s="205"/>
      <c r="O31" s="220"/>
      <c r="P31" s="224"/>
      <c r="Q31" s="169" t="str">
        <f t="shared" si="8"/>
        <v>临街状况</v>
      </c>
      <c r="R31" s="271" t="s">
        <v>1440</v>
      </c>
      <c r="S31" s="272">
        <f t="shared" ref="S31:S45" si="10">F31</f>
        <v>100</v>
      </c>
      <c r="T31" s="271" t="s">
        <v>1440</v>
      </c>
      <c r="U31" s="272">
        <f t="shared" ref="U31:U45" si="11">H31</f>
        <v>100</v>
      </c>
      <c r="V31" s="271" t="s">
        <v>1440</v>
      </c>
      <c r="W31" s="272">
        <f t="shared" ref="W31:W45" si="12">J31</f>
        <v>100</v>
      </c>
      <c r="X31" s="258"/>
      <c r="Y31" s="224"/>
      <c r="Z31" s="244" t="str">
        <f t="shared" ref="Z31:Z45" si="13">Q31</f>
        <v>临街状况</v>
      </c>
      <c r="AA31" s="287">
        <f t="shared" si="3"/>
        <v>1</v>
      </c>
      <c r="AB31" s="287">
        <f t="shared" si="4"/>
        <v>1</v>
      </c>
      <c r="AC31" s="287">
        <f t="shared" si="5"/>
        <v>1</v>
      </c>
    </row>
    <row r="32" ht="28.8" spans="1:29">
      <c r="A32" s="70"/>
      <c r="B32" s="1366" t="s">
        <v>1535</v>
      </c>
      <c r="C32" s="225"/>
      <c r="D32" s="93">
        <v>100</v>
      </c>
      <c r="E32" s="96"/>
      <c r="F32" s="93">
        <f>SUMIF(105:105,E33,106:106)-SUMIF(105:105,C33,106:106)+100</f>
        <v>100</v>
      </c>
      <c r="G32" s="96"/>
      <c r="H32" s="93">
        <f>SUMIF(105:105,G33,106:106)-SUMIF(105:105,C33,106:106)+100</f>
        <v>100</v>
      </c>
      <c r="I32" s="225"/>
      <c r="J32" s="93">
        <f>SUMIF(105:105,I33,106:106)-SUMIF(105:105,C33,106:106)+100</f>
        <v>100</v>
      </c>
      <c r="K32" s="218"/>
      <c r="L32" s="221"/>
      <c r="M32" s="205"/>
      <c r="N32" s="205"/>
      <c r="O32" s="220"/>
      <c r="P32" s="224"/>
      <c r="Q32" s="169" t="str">
        <f t="shared" si="8"/>
        <v>毗邻道路的类型与等级</v>
      </c>
      <c r="R32" s="271" t="s">
        <v>1440</v>
      </c>
      <c r="S32" s="272">
        <f t="shared" si="10"/>
        <v>100</v>
      </c>
      <c r="T32" s="271" t="s">
        <v>1440</v>
      </c>
      <c r="U32" s="272">
        <f t="shared" si="11"/>
        <v>100</v>
      </c>
      <c r="V32" s="271" t="s">
        <v>1440</v>
      </c>
      <c r="W32" s="272">
        <f t="shared" si="12"/>
        <v>100</v>
      </c>
      <c r="X32" s="258"/>
      <c r="Y32" s="224"/>
      <c r="Z32" s="244" t="str">
        <f t="shared" si="13"/>
        <v>毗邻道路的类型与等级</v>
      </c>
      <c r="AA32" s="287">
        <f t="shared" si="3"/>
        <v>1</v>
      </c>
      <c r="AB32" s="287">
        <f t="shared" si="4"/>
        <v>1</v>
      </c>
      <c r="AC32" s="287">
        <f t="shared" si="5"/>
        <v>1</v>
      </c>
    </row>
    <row r="33" ht="15" spans="1:29">
      <c r="A33" s="70"/>
      <c r="B33" s="118"/>
      <c r="C33" s="90"/>
      <c r="D33" s="91"/>
      <c r="E33" s="92"/>
      <c r="F33" s="91"/>
      <c r="G33" s="92"/>
      <c r="H33" s="91"/>
      <c r="I33" s="90"/>
      <c r="J33" s="91"/>
      <c r="K33" s="227"/>
      <c r="L33" s="221"/>
      <c r="M33" s="205"/>
      <c r="N33" s="205"/>
      <c r="O33" s="220"/>
      <c r="P33" s="224"/>
      <c r="Q33" s="169"/>
      <c r="R33" s="271"/>
      <c r="S33" s="272"/>
      <c r="T33" s="271"/>
      <c r="U33" s="272"/>
      <c r="V33" s="271"/>
      <c r="W33" s="272"/>
      <c r="X33" s="258"/>
      <c r="Y33" s="224"/>
      <c r="Z33" s="244"/>
      <c r="AA33" s="287">
        <v>1</v>
      </c>
      <c r="AB33" s="287">
        <v>1</v>
      </c>
      <c r="AC33" s="287">
        <v>1</v>
      </c>
    </row>
    <row r="34" ht="15" spans="1:29">
      <c r="A34" s="70"/>
      <c r="B34" s="67" t="s">
        <v>1564</v>
      </c>
      <c r="C34" s="104"/>
      <c r="D34" s="79">
        <v>100</v>
      </c>
      <c r="E34" s="105"/>
      <c r="F34" s="79">
        <f>SUMIF(107:107,E34,108:108)-SUMIF(107:107,C34,108:108)+100</f>
        <v>100</v>
      </c>
      <c r="G34" s="105"/>
      <c r="H34" s="79">
        <f>SUMIF(107:107,G34,108:108)-SUMIF(107:107,C34,108:108)+100</f>
        <v>100</v>
      </c>
      <c r="I34" s="104"/>
      <c r="J34" s="79">
        <f>SUMIF(107:107,I34,108:108)-SUMIF(107:107,C34,108:108)+100</f>
        <v>100</v>
      </c>
      <c r="K34" s="228"/>
      <c r="L34" s="221"/>
      <c r="M34" s="205"/>
      <c r="N34" s="205"/>
      <c r="O34" s="220"/>
      <c r="P34" s="224"/>
      <c r="Q34" s="169" t="str">
        <f t="shared" si="8"/>
        <v>土地级别</v>
      </c>
      <c r="R34" s="271" t="s">
        <v>1440</v>
      </c>
      <c r="S34" s="272">
        <f t="shared" si="10"/>
        <v>100</v>
      </c>
      <c r="T34" s="271" t="s">
        <v>1440</v>
      </c>
      <c r="U34" s="272">
        <f t="shared" si="11"/>
        <v>100</v>
      </c>
      <c r="V34" s="271" t="s">
        <v>1440</v>
      </c>
      <c r="W34" s="272">
        <f t="shared" si="12"/>
        <v>100</v>
      </c>
      <c r="X34" s="258"/>
      <c r="Y34" s="224"/>
      <c r="Z34" s="244" t="str">
        <f t="shared" si="13"/>
        <v>土地级别</v>
      </c>
      <c r="AA34" s="287">
        <f t="shared" si="3"/>
        <v>1</v>
      </c>
      <c r="AB34" s="287">
        <f t="shared" si="4"/>
        <v>1</v>
      </c>
      <c r="AC34" s="287">
        <f t="shared" si="5"/>
        <v>1</v>
      </c>
    </row>
    <row r="35" ht="15" spans="1:29">
      <c r="A35" s="42"/>
      <c r="B35" s="1368">
        <v>111</v>
      </c>
      <c r="C35" s="77"/>
      <c r="D35" s="79">
        <v>100</v>
      </c>
      <c r="E35" s="110"/>
      <c r="F35" s="79">
        <f>SUMIF(109:109,E35,110:110)-SUMIF(109:109,C35,110:110)+100</f>
        <v>100</v>
      </c>
      <c r="G35" s="110"/>
      <c r="H35" s="79">
        <f>SUMIF(109:109,G35,110:110)-SUMIF(109:109,C35,110:110)+100</f>
        <v>100</v>
      </c>
      <c r="I35" s="77"/>
      <c r="J35" s="79">
        <f>SUMIF(109:109,I35,110:110)-SUMIF(109:109,C35,110:110)+100</f>
        <v>100</v>
      </c>
      <c r="K35" s="227"/>
      <c r="L35" s="221"/>
      <c r="M35" s="205"/>
      <c r="N35" s="205"/>
      <c r="O35" s="220"/>
      <c r="P35" s="224"/>
      <c r="Q35" s="169">
        <f t="shared" si="8"/>
        <v>111</v>
      </c>
      <c r="R35" s="271" t="s">
        <v>1440</v>
      </c>
      <c r="S35" s="272">
        <f t="shared" si="10"/>
        <v>100</v>
      </c>
      <c r="T35" s="271" t="s">
        <v>1440</v>
      </c>
      <c r="U35" s="272">
        <f t="shared" si="11"/>
        <v>100</v>
      </c>
      <c r="V35" s="271" t="s">
        <v>1440</v>
      </c>
      <c r="W35" s="272">
        <f t="shared" si="12"/>
        <v>100</v>
      </c>
      <c r="X35" s="258"/>
      <c r="Y35" s="224"/>
      <c r="Z35" s="244">
        <f t="shared" si="13"/>
        <v>111</v>
      </c>
      <c r="AA35" s="287">
        <f t="shared" si="3"/>
        <v>1</v>
      </c>
      <c r="AB35" s="287">
        <f t="shared" si="4"/>
        <v>1</v>
      </c>
      <c r="AC35" s="287">
        <f t="shared" si="5"/>
        <v>1</v>
      </c>
    </row>
    <row r="36" ht="15" spans="1:29">
      <c r="A36" s="111"/>
      <c r="B36" s="125">
        <v>111</v>
      </c>
      <c r="C36" s="77"/>
      <c r="D36" s="79">
        <v>100</v>
      </c>
      <c r="E36" s="110"/>
      <c r="F36" s="79">
        <f>SUMIF(111:111,E37,112:112)-SUMIF(111:111,C37,112:112)+100</f>
        <v>100</v>
      </c>
      <c r="G36" s="110"/>
      <c r="H36" s="79">
        <f>SUMIF(111:111,G36,112:112)-SUMIF(111:111,C36,112:112)+100</f>
        <v>100</v>
      </c>
      <c r="I36" s="77"/>
      <c r="J36" s="79">
        <f>SUMIF(111:111,I36,112:112)-SUMIF(111:111,C36,112:112)+100</f>
        <v>100</v>
      </c>
      <c r="K36" s="227"/>
      <c r="L36" s="221"/>
      <c r="M36" s="205"/>
      <c r="N36" s="205"/>
      <c r="O36" s="220"/>
      <c r="P36" s="229" t="s">
        <v>1461</v>
      </c>
      <c r="Q36" s="169">
        <f t="shared" si="8"/>
        <v>111</v>
      </c>
      <c r="R36" s="271" t="s">
        <v>1440</v>
      </c>
      <c r="S36" s="272">
        <f t="shared" si="10"/>
        <v>100</v>
      </c>
      <c r="T36" s="271" t="s">
        <v>1440</v>
      </c>
      <c r="U36" s="272">
        <f t="shared" si="11"/>
        <v>100</v>
      </c>
      <c r="V36" s="271" t="s">
        <v>1440</v>
      </c>
      <c r="W36" s="272">
        <f t="shared" si="12"/>
        <v>100</v>
      </c>
      <c r="X36" s="258"/>
      <c r="Y36" s="232" t="s">
        <v>1461</v>
      </c>
      <c r="Z36" s="244">
        <f t="shared" si="13"/>
        <v>111</v>
      </c>
      <c r="AA36" s="287">
        <f t="shared" si="3"/>
        <v>1</v>
      </c>
      <c r="AB36" s="287">
        <f t="shared" si="4"/>
        <v>1</v>
      </c>
      <c r="AC36" s="287">
        <f t="shared" si="5"/>
        <v>1</v>
      </c>
    </row>
    <row r="37" s="17" customFormat="1" ht="15.75" spans="1:29">
      <c r="A37" s="113"/>
      <c r="B37" s="1369">
        <v>111</v>
      </c>
      <c r="C37" s="115"/>
      <c r="D37" s="116">
        <v>100</v>
      </c>
      <c r="E37" s="117"/>
      <c r="F37" s="83">
        <f>SUMIF(113:113,E37,114:114)-SUMIF(113:113,C37,114:114)+100</f>
        <v>100</v>
      </c>
      <c r="G37" s="117"/>
      <c r="H37" s="83">
        <f>SUMIF(113:113,G37,114:114)-SUMIF(113:113,C37,114:114)+100</f>
        <v>100</v>
      </c>
      <c r="I37" s="115"/>
      <c r="J37" s="83">
        <f>SUMIF(113:113,I37,114:114)-SUMIF(113:113,C37,114:114)+100</f>
        <v>100</v>
      </c>
      <c r="K37" s="227"/>
      <c r="L37" s="219"/>
      <c r="M37" s="230"/>
      <c r="N37" s="230"/>
      <c r="O37" s="231"/>
      <c r="P37" s="232"/>
      <c r="Q37" s="169">
        <f t="shared" si="8"/>
        <v>111</v>
      </c>
      <c r="R37" s="273" t="s">
        <v>1440</v>
      </c>
      <c r="S37" s="274">
        <f t="shared" si="10"/>
        <v>100</v>
      </c>
      <c r="T37" s="273" t="s">
        <v>1440</v>
      </c>
      <c r="U37" s="274">
        <f t="shared" si="11"/>
        <v>100</v>
      </c>
      <c r="V37" s="273" t="s">
        <v>1440</v>
      </c>
      <c r="W37" s="274">
        <f t="shared" si="12"/>
        <v>100</v>
      </c>
      <c r="X37" s="275"/>
      <c r="Y37" s="232"/>
      <c r="Z37" s="288">
        <f t="shared" si="13"/>
        <v>111</v>
      </c>
      <c r="AA37" s="287">
        <f t="shared" si="3"/>
        <v>1</v>
      </c>
      <c r="AB37" s="287">
        <f t="shared" si="4"/>
        <v>1</v>
      </c>
      <c r="AC37" s="287">
        <f t="shared" si="5"/>
        <v>1</v>
      </c>
    </row>
    <row r="38" ht="16.2" spans="1:29">
      <c r="A38" s="121" t="s">
        <v>1459</v>
      </c>
      <c r="B38" s="118" t="s">
        <v>1565</v>
      </c>
      <c r="C38" s="119"/>
      <c r="D38" s="120">
        <v>100</v>
      </c>
      <c r="E38" s="119"/>
      <c r="F38" s="120" t="e">
        <f>LOOKUP(E38,116:116,117:117)-LOOKUP(C38,116:116,117:117)+100</f>
        <v>#N/A</v>
      </c>
      <c r="G38" s="119"/>
      <c r="H38" s="120" t="e">
        <f>LOOKUP(G38,116:116,117:117)-LOOKUP(C38,116:116,117:117)+100</f>
        <v>#N/A</v>
      </c>
      <c r="I38" s="233"/>
      <c r="J38" s="120" t="e">
        <f>LOOKUP(I38,116:116,117:117)-LOOKUP(C38,116:116,117:117)+100</f>
        <v>#N/A</v>
      </c>
      <c r="K38" s="227"/>
      <c r="L38" s="221"/>
      <c r="M38" s="205"/>
      <c r="N38" s="205"/>
      <c r="O38" s="220"/>
      <c r="P38" s="232"/>
      <c r="Q38" s="169" t="str">
        <f t="shared" si="8"/>
        <v>宗地面积</v>
      </c>
      <c r="R38" s="271" t="s">
        <v>1440</v>
      </c>
      <c r="S38" s="272" t="e">
        <f t="shared" si="10"/>
        <v>#N/A</v>
      </c>
      <c r="T38" s="271" t="s">
        <v>1440</v>
      </c>
      <c r="U38" s="272" t="e">
        <f t="shared" si="11"/>
        <v>#N/A</v>
      </c>
      <c r="V38" s="271" t="s">
        <v>1440</v>
      </c>
      <c r="W38" s="272" t="e">
        <f t="shared" si="12"/>
        <v>#N/A</v>
      </c>
      <c r="X38" s="258"/>
      <c r="Y38" s="232"/>
      <c r="Z38" s="244" t="str">
        <f t="shared" si="13"/>
        <v>宗地面积</v>
      </c>
      <c r="AA38" s="287" t="e">
        <f t="shared" si="3"/>
        <v>#N/A</v>
      </c>
      <c r="AB38" s="287" t="e">
        <f t="shared" si="4"/>
        <v>#N/A</v>
      </c>
      <c r="AC38" s="287" t="e">
        <f t="shared" si="5"/>
        <v>#N/A</v>
      </c>
    </row>
    <row r="39" ht="15" spans="1:29">
      <c r="A39" s="121"/>
      <c r="B39" s="67" t="s">
        <v>1566</v>
      </c>
      <c r="C39" s="122"/>
      <c r="D39" s="79">
        <v>100</v>
      </c>
      <c r="E39" s="122"/>
      <c r="F39" s="79">
        <f>SUMIF(118:118,E39,119:119)-SUMIF(118:118,C39,119:119)+100</f>
        <v>100</v>
      </c>
      <c r="G39" s="122"/>
      <c r="H39" s="79">
        <f>SUMIF(118:118,G39,119:119)-SUMIF(118:118,C39,119:119)+100</f>
        <v>100</v>
      </c>
      <c r="I39" s="122"/>
      <c r="J39" s="79">
        <f>SUMIF(118:118,I39,119:119)-SUMIF(118:118,C39,119:119)+100</f>
        <v>100</v>
      </c>
      <c r="K39" s="228"/>
      <c r="L39" s="221"/>
      <c r="M39" s="205"/>
      <c r="N39" s="205"/>
      <c r="O39" s="220"/>
      <c r="P39" s="232"/>
      <c r="Q39" s="169" t="str">
        <f t="shared" ref="Q39:Q45" si="14">B39</f>
        <v>宗地形状</v>
      </c>
      <c r="R39" s="271" t="s">
        <v>1440</v>
      </c>
      <c r="S39" s="272">
        <f t="shared" si="10"/>
        <v>100</v>
      </c>
      <c r="T39" s="271" t="s">
        <v>1440</v>
      </c>
      <c r="U39" s="272">
        <f t="shared" si="11"/>
        <v>100</v>
      </c>
      <c r="V39" s="271" t="s">
        <v>1440</v>
      </c>
      <c r="W39" s="272">
        <f t="shared" si="12"/>
        <v>100</v>
      </c>
      <c r="X39" s="258"/>
      <c r="Y39" s="232"/>
      <c r="Z39" s="244" t="str">
        <f t="shared" si="13"/>
        <v>宗地形状</v>
      </c>
      <c r="AA39" s="287">
        <f t="shared" si="3"/>
        <v>1</v>
      </c>
      <c r="AB39" s="287">
        <f t="shared" si="4"/>
        <v>1</v>
      </c>
      <c r="AC39" s="287">
        <f t="shared" si="5"/>
        <v>1</v>
      </c>
    </row>
    <row r="40" ht="15" spans="1:29">
      <c r="A40" s="121"/>
      <c r="B40" s="67" t="s">
        <v>1567</v>
      </c>
      <c r="C40" s="122"/>
      <c r="D40" s="79">
        <v>100</v>
      </c>
      <c r="E40" s="122"/>
      <c r="F40" s="79">
        <f>SUMIF(120:120,E40,121:121)-SUMIF(120:120,C40,121:121)+100</f>
        <v>100</v>
      </c>
      <c r="G40" s="122"/>
      <c r="H40" s="79">
        <f>SUMIF(120:120,G40,121:121)-SUMIF(120:120,C40,121:121)+100</f>
        <v>100</v>
      </c>
      <c r="I40" s="122"/>
      <c r="J40" s="79">
        <f>SUMIF(120:120,I40,121:121)-SUMIF(120:120,C40,121:121)+100</f>
        <v>100</v>
      </c>
      <c r="K40" s="228"/>
      <c r="L40" s="221"/>
      <c r="M40" s="205"/>
      <c r="N40" s="205"/>
      <c r="O40" s="220"/>
      <c r="P40" s="232"/>
      <c r="Q40" s="169" t="str">
        <f t="shared" si="14"/>
        <v>临街宽度及深度</v>
      </c>
      <c r="R40" s="271" t="s">
        <v>1440</v>
      </c>
      <c r="S40" s="272">
        <f t="shared" si="10"/>
        <v>100</v>
      </c>
      <c r="T40" s="271" t="s">
        <v>1440</v>
      </c>
      <c r="U40" s="272">
        <f t="shared" si="11"/>
        <v>100</v>
      </c>
      <c r="V40" s="271" t="s">
        <v>1440</v>
      </c>
      <c r="W40" s="272">
        <f t="shared" si="12"/>
        <v>100</v>
      </c>
      <c r="X40" s="258"/>
      <c r="Y40" s="232"/>
      <c r="Z40" s="244" t="str">
        <f t="shared" si="13"/>
        <v>临街宽度及深度</v>
      </c>
      <c r="AA40" s="287">
        <f t="shared" si="3"/>
        <v>1</v>
      </c>
      <c r="AB40" s="287">
        <f t="shared" si="4"/>
        <v>1</v>
      </c>
      <c r="AC40" s="287">
        <f t="shared" si="5"/>
        <v>1</v>
      </c>
    </row>
    <row r="41" s="15" customFormat="1" ht="15" spans="1:29">
      <c r="A41" s="123"/>
      <c r="B41" s="67" t="s">
        <v>1568</v>
      </c>
      <c r="C41" s="124"/>
      <c r="D41" s="69">
        <v>100</v>
      </c>
      <c r="E41" s="124"/>
      <c r="F41" s="79">
        <f>SUMIF(122:122,E41,123:123)-SUMIF(122:122,C41,123:123)+100</f>
        <v>100</v>
      </c>
      <c r="G41" s="124"/>
      <c r="H41" s="79">
        <f>SUMIF(122:122,G41,123:123)-SUMIF(122:122,C41,123:123)+100</f>
        <v>100</v>
      </c>
      <c r="I41" s="124"/>
      <c r="J41" s="79">
        <f>SUMIF(122:122,I41,123:123)-SUMIF(122:122,C41,123:123)+100</f>
        <v>100</v>
      </c>
      <c r="K41" s="228"/>
      <c r="L41" s="210"/>
      <c r="M41" s="211"/>
      <c r="N41" s="211"/>
      <c r="O41" s="213"/>
      <c r="P41" s="232"/>
      <c r="Q41" s="169" t="str">
        <f t="shared" si="14"/>
        <v>宗地开发程度</v>
      </c>
      <c r="R41" s="266" t="s">
        <v>1440</v>
      </c>
      <c r="S41" s="267">
        <f t="shared" si="10"/>
        <v>100</v>
      </c>
      <c r="T41" s="266" t="s">
        <v>1440</v>
      </c>
      <c r="U41" s="267">
        <f t="shared" si="11"/>
        <v>100</v>
      </c>
      <c r="V41" s="266" t="s">
        <v>1440</v>
      </c>
      <c r="W41" s="267">
        <f t="shared" si="12"/>
        <v>100</v>
      </c>
      <c r="X41" s="268"/>
      <c r="Y41" s="232"/>
      <c r="Z41" s="286" t="str">
        <f t="shared" si="13"/>
        <v>宗地开发程度</v>
      </c>
      <c r="AA41" s="285">
        <f t="shared" si="3"/>
        <v>1</v>
      </c>
      <c r="AB41" s="285">
        <f t="shared" si="4"/>
        <v>1</v>
      </c>
      <c r="AC41" s="285">
        <f t="shared" si="5"/>
        <v>1</v>
      </c>
    </row>
    <row r="42" ht="15" spans="1:29">
      <c r="A42" s="121"/>
      <c r="B42" s="67" t="s">
        <v>1569</v>
      </c>
      <c r="C42" s="122"/>
      <c r="D42" s="79">
        <v>100</v>
      </c>
      <c r="E42" s="122"/>
      <c r="F42" s="79">
        <f>SUMIF(124:124,E42,125:125)-SUMIF(124:124,C42,125:125)+100</f>
        <v>100</v>
      </c>
      <c r="G42" s="122"/>
      <c r="H42" s="79">
        <f>SUMIF(124:124,G42,125:125)-SUMIF(124:124,C42,125:125)+100</f>
        <v>100</v>
      </c>
      <c r="I42" s="122"/>
      <c r="J42" s="79">
        <f>SUMIF(124:124,I42,125:125)-SUMIF(124:124,C42,125:125)+100</f>
        <v>100</v>
      </c>
      <c r="K42" s="228"/>
      <c r="L42" s="221"/>
      <c r="M42" s="205"/>
      <c r="N42" s="205"/>
      <c r="O42" s="220"/>
      <c r="P42" s="232" t="s">
        <v>1461</v>
      </c>
      <c r="Q42" s="169" t="str">
        <f t="shared" si="14"/>
        <v>工程地质条件</v>
      </c>
      <c r="R42" s="271" t="s">
        <v>1440</v>
      </c>
      <c r="S42" s="272">
        <f t="shared" si="10"/>
        <v>100</v>
      </c>
      <c r="T42" s="271" t="s">
        <v>1440</v>
      </c>
      <c r="U42" s="272">
        <f t="shared" si="11"/>
        <v>100</v>
      </c>
      <c r="V42" s="271" t="s">
        <v>1440</v>
      </c>
      <c r="W42" s="272">
        <f t="shared" si="12"/>
        <v>100</v>
      </c>
      <c r="X42" s="258"/>
      <c r="Y42" s="232" t="s">
        <v>1461</v>
      </c>
      <c r="Z42" s="244" t="str">
        <f t="shared" si="13"/>
        <v>工程地质条件</v>
      </c>
      <c r="AA42" s="287">
        <f t="shared" si="3"/>
        <v>1</v>
      </c>
      <c r="AB42" s="287">
        <f t="shared" si="4"/>
        <v>1</v>
      </c>
      <c r="AC42" s="287">
        <f t="shared" si="5"/>
        <v>1</v>
      </c>
    </row>
    <row r="43" ht="15" spans="1:29">
      <c r="A43" s="121"/>
      <c r="B43" s="125">
        <v>111</v>
      </c>
      <c r="C43" s="77"/>
      <c r="D43" s="79">
        <v>100</v>
      </c>
      <c r="E43" s="77"/>
      <c r="F43" s="79">
        <f>SUMIF(126:126,E43,127:127)-SUMIF(126:126,C43,127:127)+100</f>
        <v>100</v>
      </c>
      <c r="G43" s="77"/>
      <c r="H43" s="79">
        <f>SUMIF(126:126,G43,127:127)-SUMIF(126:126,C43,127:127)+100</f>
        <v>100</v>
      </c>
      <c r="I43" s="76"/>
      <c r="J43" s="79">
        <f>SUMIF(126:126,I43,127:127)-SUMIF(126:126,C43,127:127)+100</f>
        <v>100</v>
      </c>
      <c r="K43" s="227"/>
      <c r="L43" s="221"/>
      <c r="M43" s="205"/>
      <c r="N43" s="205"/>
      <c r="O43" s="220"/>
      <c r="P43" s="232"/>
      <c r="Q43" s="169">
        <f t="shared" si="14"/>
        <v>111</v>
      </c>
      <c r="R43" s="271" t="s">
        <v>1440</v>
      </c>
      <c r="S43" s="272">
        <f t="shared" si="10"/>
        <v>100</v>
      </c>
      <c r="T43" s="271" t="s">
        <v>1440</v>
      </c>
      <c r="U43" s="272">
        <f t="shared" si="11"/>
        <v>100</v>
      </c>
      <c r="V43" s="271" t="s">
        <v>1440</v>
      </c>
      <c r="W43" s="272">
        <f t="shared" si="12"/>
        <v>100</v>
      </c>
      <c r="X43" s="258"/>
      <c r="Y43" s="232"/>
      <c r="Z43" s="244">
        <f t="shared" si="13"/>
        <v>111</v>
      </c>
      <c r="AA43" s="287">
        <f t="shared" si="3"/>
        <v>1</v>
      </c>
      <c r="AB43" s="287">
        <f t="shared" si="4"/>
        <v>1</v>
      </c>
      <c r="AC43" s="287">
        <f t="shared" si="5"/>
        <v>1</v>
      </c>
    </row>
    <row r="44" ht="15" spans="1:29">
      <c r="A44" s="121"/>
      <c r="B44" s="125">
        <v>111</v>
      </c>
      <c r="C44" s="77"/>
      <c r="D44" s="79">
        <v>100</v>
      </c>
      <c r="E44" s="77"/>
      <c r="F44" s="79">
        <f>SUMIF(128:128,E44,129:129)-SUMIF(128:128,C44,129:129)+100</f>
        <v>100</v>
      </c>
      <c r="G44" s="77"/>
      <c r="H44" s="79">
        <f>SUMIF(128:128,G44,129:129)-SUMIF(128:128,C44,129:129)+100</f>
        <v>100</v>
      </c>
      <c r="I44" s="76"/>
      <c r="J44" s="79">
        <f>SUMIF(128:128,I44,129:129)-SUMIF(128:128,C44,129:129)+100</f>
        <v>100</v>
      </c>
      <c r="K44" s="227"/>
      <c r="L44" s="221"/>
      <c r="M44" s="205"/>
      <c r="N44" s="205"/>
      <c r="O44" s="220"/>
      <c r="P44" s="232"/>
      <c r="Q44" s="169">
        <f t="shared" si="14"/>
        <v>111</v>
      </c>
      <c r="R44" s="271" t="s">
        <v>1440</v>
      </c>
      <c r="S44" s="272">
        <f t="shared" si="10"/>
        <v>100</v>
      </c>
      <c r="T44" s="271" t="s">
        <v>1440</v>
      </c>
      <c r="U44" s="272">
        <f t="shared" si="11"/>
        <v>100</v>
      </c>
      <c r="V44" s="271" t="s">
        <v>1440</v>
      </c>
      <c r="W44" s="272">
        <f t="shared" si="12"/>
        <v>100</v>
      </c>
      <c r="X44" s="258"/>
      <c r="Y44" s="232"/>
      <c r="Z44" s="244">
        <f t="shared" si="13"/>
        <v>111</v>
      </c>
      <c r="AA44" s="287">
        <f t="shared" si="3"/>
        <v>1</v>
      </c>
      <c r="AB44" s="287">
        <f t="shared" si="4"/>
        <v>1</v>
      </c>
      <c r="AC44" s="287">
        <f t="shared" si="5"/>
        <v>1</v>
      </c>
    </row>
    <row r="45" s="17" customFormat="1" ht="15.75" spans="1:29">
      <c r="A45" s="126"/>
      <c r="B45" s="125">
        <v>111</v>
      </c>
      <c r="C45" s="127"/>
      <c r="D45" s="1370">
        <v>100</v>
      </c>
      <c r="E45" s="77"/>
      <c r="F45" s="83">
        <f>SUMIF(130:130,E45,131:131)-SUMIF(130:130,C45,131:131)+100</f>
        <v>100</v>
      </c>
      <c r="G45" s="77"/>
      <c r="H45" s="83">
        <f>SUMIF(130:130,G45,131:131)-SUMIF(130:130,C45,131:131)+100</f>
        <v>100</v>
      </c>
      <c r="I45" s="77"/>
      <c r="J45" s="83">
        <f>SUMIF(130:130,I45,131:131)-SUMIF(130:130,C45,131:131)+100</f>
        <v>100</v>
      </c>
      <c r="K45" s="234"/>
      <c r="L45" s="219"/>
      <c r="M45" s="230"/>
      <c r="N45" s="230"/>
      <c r="O45" s="231"/>
      <c r="P45" s="232"/>
      <c r="Q45" s="169">
        <f t="shared" si="14"/>
        <v>111</v>
      </c>
      <c r="R45" s="273" t="s">
        <v>1440</v>
      </c>
      <c r="S45" s="274">
        <f t="shared" si="10"/>
        <v>100</v>
      </c>
      <c r="T45" s="273" t="s">
        <v>1440</v>
      </c>
      <c r="U45" s="274">
        <f t="shared" si="11"/>
        <v>100</v>
      </c>
      <c r="V45" s="273" t="s">
        <v>1440</v>
      </c>
      <c r="W45" s="274">
        <f t="shared" si="12"/>
        <v>100</v>
      </c>
      <c r="X45" s="275"/>
      <c r="Y45" s="232"/>
      <c r="Z45" s="288">
        <f t="shared" si="13"/>
        <v>111</v>
      </c>
      <c r="AA45" s="287">
        <f t="shared" si="3"/>
        <v>1</v>
      </c>
      <c r="AB45" s="287">
        <f t="shared" si="4"/>
        <v>1</v>
      </c>
      <c r="AC45" s="287">
        <f t="shared" si="5"/>
        <v>1</v>
      </c>
    </row>
    <row r="46" ht="14.4" spans="1:29">
      <c r="A46" s="128" t="s">
        <v>1552</v>
      </c>
      <c r="B46" s="129" t="s">
        <v>1570</v>
      </c>
      <c r="C46" s="130" t="s">
        <v>124</v>
      </c>
      <c r="D46" s="131"/>
      <c r="E46" s="132"/>
      <c r="F46" s="133"/>
      <c r="G46" s="134"/>
      <c r="H46" s="135"/>
      <c r="I46" s="132"/>
      <c r="J46" s="135"/>
      <c r="K46" s="235"/>
      <c r="L46" s="236"/>
      <c r="M46" s="145"/>
      <c r="N46" s="205"/>
      <c r="O46" s="145"/>
      <c r="P46" s="169" t="str">
        <f>A46</f>
        <v>成交单价</v>
      </c>
      <c r="Q46" s="169"/>
      <c r="R46" s="244">
        <f>E46</f>
        <v>0</v>
      </c>
      <c r="S46" s="244"/>
      <c r="T46" s="244">
        <f>G46</f>
        <v>0</v>
      </c>
      <c r="U46" s="244"/>
      <c r="V46" s="244">
        <f>I46</f>
        <v>0</v>
      </c>
      <c r="W46" s="244"/>
      <c r="X46" s="193"/>
      <c r="Y46" s="289"/>
      <c r="Z46" s="193"/>
      <c r="AA46" s="193"/>
      <c r="AB46" s="193"/>
      <c r="AC46" s="193"/>
    </row>
    <row r="47" ht="15.15" spans="1:29">
      <c r="A47" s="136" t="s">
        <v>1473</v>
      </c>
      <c r="B47" s="137"/>
      <c r="C47" s="138" t="e">
        <f>R48</f>
        <v>#DIV/0!</v>
      </c>
      <c r="D47" s="139" t="s">
        <v>1474</v>
      </c>
      <c r="E47" s="138" t="e">
        <f>R47</f>
        <v>#DIV/0!</v>
      </c>
      <c r="F47" s="140"/>
      <c r="G47" s="141" t="e">
        <f>T47</f>
        <v>#DIV/0!</v>
      </c>
      <c r="H47" s="140"/>
      <c r="I47" s="138" t="e">
        <f>V47</f>
        <v>#DIV/0!</v>
      </c>
      <c r="J47" s="140"/>
      <c r="K47" s="237">
        <f>F47+H47+J47</f>
        <v>0</v>
      </c>
      <c r="L47" s="236"/>
      <c r="M47" s="145"/>
      <c r="N47" s="145"/>
      <c r="O47" s="145"/>
      <c r="P47" s="169" t="str">
        <f>A47</f>
        <v>比较价值（元/平方米）</v>
      </c>
      <c r="Q47" s="169"/>
      <c r="R47" s="276" t="e">
        <f>ROUND(PRODUCT(R46,AA7:AA45),0)</f>
        <v>#DIV/0!</v>
      </c>
      <c r="S47" s="276"/>
      <c r="T47" s="276" t="e">
        <f>ROUND(PRODUCT(T46,AB7:AB45),0)</f>
        <v>#DIV/0!</v>
      </c>
      <c r="U47" s="276"/>
      <c r="V47" s="276" t="e">
        <f>ROUND(PRODUCT(V46,AC7:AC45),0)</f>
        <v>#DIV/0!</v>
      </c>
      <c r="W47" s="276"/>
      <c r="X47" s="193"/>
      <c r="Y47" s="193"/>
      <c r="Z47" s="193"/>
      <c r="AA47" s="193"/>
      <c r="AB47" s="193"/>
      <c r="AC47" s="193"/>
    </row>
    <row r="48" ht="15.15" spans="1:29">
      <c r="A48" s="142" t="s">
        <v>1571</v>
      </c>
      <c r="B48" s="143"/>
      <c r="C48" s="144" t="e">
        <f>R48</f>
        <v>#DIV/0!</v>
      </c>
      <c r="D48" s="144"/>
      <c r="E48" s="144"/>
      <c r="F48" s="144"/>
      <c r="G48" s="144"/>
      <c r="H48" s="144"/>
      <c r="I48" s="144"/>
      <c r="J48" s="144"/>
      <c r="K48" s="238"/>
      <c r="L48" s="236"/>
      <c r="M48" s="145"/>
      <c r="N48" s="145"/>
      <c r="O48" s="145"/>
      <c r="P48" s="239" t="str">
        <f>A48</f>
        <v>估价对象XX用房的比较价值（楼面单价，元/平方米）</v>
      </c>
      <c r="Q48" s="277"/>
      <c r="R48" s="278" t="e">
        <f>ROUND(IF(D47="简单平均",AVERAGE(R47:W47),R47*F47+T47*H47+V47*J47),0)</f>
        <v>#DIV/0!</v>
      </c>
      <c r="S48" s="278"/>
      <c r="T48" s="278"/>
      <c r="U48" s="278"/>
      <c r="V48" s="278"/>
      <c r="W48" s="278"/>
      <c r="X48" s="193"/>
      <c r="Y48" s="193"/>
      <c r="Z48" s="193"/>
      <c r="AA48" s="193"/>
      <c r="AB48" s="193"/>
      <c r="AC48" s="193"/>
    </row>
    <row r="49" spans="1:29">
      <c r="A49" s="145"/>
      <c r="B49" s="145"/>
      <c r="C49" s="145"/>
      <c r="D49" s="145"/>
      <c r="E49" s="145"/>
      <c r="F49" s="145"/>
      <c r="G49" s="146"/>
      <c r="H49" s="145"/>
      <c r="I49" s="145"/>
      <c r="J49" s="145"/>
      <c r="K49" s="240"/>
      <c r="L49" s="241"/>
      <c r="M49" s="145"/>
      <c r="N49" s="145"/>
      <c r="O49" s="145"/>
      <c r="P49" s="145"/>
      <c r="Q49" s="145"/>
      <c r="R49" s="145"/>
      <c r="S49" s="145"/>
      <c r="T49" s="145"/>
      <c r="U49" s="145"/>
      <c r="V49" s="145"/>
      <c r="W49" s="145"/>
      <c r="X49" s="145"/>
      <c r="Y49" s="145"/>
      <c r="Z49" s="145"/>
      <c r="AA49" s="145"/>
      <c r="AB49" s="145"/>
      <c r="AC49" s="145"/>
    </row>
    <row r="50" spans="1:29">
      <c r="A50" s="145"/>
      <c r="B50" s="145"/>
      <c r="C50" s="145"/>
      <c r="D50" s="145"/>
      <c r="E50" s="145"/>
      <c r="F50" s="145"/>
      <c r="G50" s="145"/>
      <c r="H50" s="145"/>
      <c r="I50" s="145"/>
      <c r="J50" s="145"/>
      <c r="K50" s="240"/>
      <c r="L50" s="241"/>
      <c r="M50" s="145"/>
      <c r="N50" s="145"/>
      <c r="O50" s="145"/>
      <c r="P50" s="145"/>
      <c r="Q50" s="145"/>
      <c r="R50" s="145"/>
      <c r="S50" s="145"/>
      <c r="T50" s="145"/>
      <c r="U50" s="145"/>
      <c r="V50" s="145"/>
      <c r="W50" s="145"/>
      <c r="X50" s="145"/>
      <c r="Y50" s="145"/>
      <c r="Z50" s="145"/>
      <c r="AA50" s="145"/>
      <c r="AB50" s="145"/>
      <c r="AC50" s="145"/>
    </row>
    <row r="51" ht="13.5" customHeight="1" spans="1:29">
      <c r="A51" s="145"/>
      <c r="B51" s="145"/>
      <c r="C51" s="147" t="s">
        <v>1476</v>
      </c>
      <c r="D51" s="148"/>
      <c r="E51" s="149" t="e">
        <f>IF(E46&lt;E47,E47/E46-1,E46/E47-1)</f>
        <v>#DIV/0!</v>
      </c>
      <c r="F51" s="150" t="e">
        <f>IF(OR(E51&gt;=0.3,E51&lt;=-0.3),"超过30%","")</f>
        <v>#DIV/0!</v>
      </c>
      <c r="G51" s="149" t="e">
        <f>IF(G46&lt;G47,G47/G46-1,G46/G47-1)</f>
        <v>#DIV/0!</v>
      </c>
      <c r="H51" s="150" t="e">
        <f>IF(OR(G51&gt;=0.3,G51&lt;=-0.3),"超过30%","")</f>
        <v>#DIV/0!</v>
      </c>
      <c r="I51" s="149" t="e">
        <f>IF(I46&lt;I47,I47/I46-1,I46/I47-1)</f>
        <v>#DIV/0!</v>
      </c>
      <c r="J51" s="150" t="e">
        <f>IF(OR(I51&gt;=0.3,I51&lt;=-0.3),"超过30%","")</f>
        <v>#DIV/0!</v>
      </c>
      <c r="K51" s="240"/>
      <c r="L51" s="241"/>
      <c r="M51" s="145"/>
      <c r="N51" s="145"/>
      <c r="O51" s="145"/>
      <c r="P51" s="145"/>
      <c r="Q51" s="145"/>
      <c r="R51" s="145"/>
      <c r="S51" s="145"/>
      <c r="T51" s="145"/>
      <c r="U51" s="145"/>
      <c r="V51" s="145"/>
      <c r="W51" s="145"/>
      <c r="X51" s="145"/>
      <c r="Y51" s="145"/>
      <c r="Z51" s="145"/>
      <c r="AA51" s="145"/>
      <c r="AB51" s="145"/>
      <c r="AC51" s="145"/>
    </row>
    <row r="52" ht="13.5" customHeight="1" spans="1:29">
      <c r="A52" s="145"/>
      <c r="B52" s="145"/>
      <c r="C52" s="147" t="s">
        <v>1477</v>
      </c>
      <c r="D52" s="151"/>
      <c r="E52" s="149" t="e">
        <f>IF(E47&lt;G47,G47/E47-1,E47/G47-1)</f>
        <v>#DIV/0!</v>
      </c>
      <c r="F52" s="150" t="e">
        <f>IF(OR(E52&gt;=0.2,E52&lt;=-0.2),"超过20%","")</f>
        <v>#DIV/0!</v>
      </c>
      <c r="G52" s="149" t="e">
        <f>IF(G47&lt;I47,I47/G47-1,G47/I47-1)</f>
        <v>#DIV/0!</v>
      </c>
      <c r="H52" s="150" t="e">
        <f>IF(OR(G52&gt;=0.2,G52&lt;=-0.2),"超过20%","")</f>
        <v>#DIV/0!</v>
      </c>
      <c r="I52" s="149" t="e">
        <f>IF(I47&lt;E47,E47/I47-1,I47/E47-1)</f>
        <v>#DIV/0!</v>
      </c>
      <c r="J52" s="150" t="e">
        <f>IF(OR(I52&gt;=0.2,I52&lt;=-0.2),"超过20%","")</f>
        <v>#DIV/0!</v>
      </c>
      <c r="K52" s="240"/>
      <c r="L52" s="241"/>
      <c r="M52" s="145"/>
      <c r="N52" s="145"/>
      <c r="O52" s="145"/>
      <c r="P52" s="145"/>
      <c r="Q52" s="145"/>
      <c r="R52" s="145"/>
      <c r="S52" s="145"/>
      <c r="T52" s="145"/>
      <c r="U52" s="145"/>
      <c r="V52" s="145"/>
      <c r="W52" s="145"/>
      <c r="X52" s="145"/>
      <c r="Y52" s="145"/>
      <c r="Z52" s="145"/>
      <c r="AA52" s="145"/>
      <c r="AB52" s="145"/>
      <c r="AC52" s="145"/>
    </row>
    <row r="53" s="18" customFormat="1" ht="13.5" customHeight="1" spans="1:29">
      <c r="A53" s="152"/>
      <c r="B53" s="152"/>
      <c r="C53" s="147" t="s">
        <v>1478</v>
      </c>
      <c r="D53" s="151"/>
      <c r="E53" s="149" t="e">
        <f>IF(E46&lt;G46,G46/E46-1,E46/G46-1)</f>
        <v>#DIV/0!</v>
      </c>
      <c r="F53" s="150" t="e">
        <f>IF(OR(E53&gt;=0.3,E53&lt;=-0.3),"超过30%","")</f>
        <v>#DIV/0!</v>
      </c>
      <c r="G53" s="149" t="e">
        <f>IF(G46&lt;I46,I46/G46-1,G46/I46-1)</f>
        <v>#DIV/0!</v>
      </c>
      <c r="H53" s="150" t="e">
        <f>IF(OR(G53&gt;=0.3,G53&lt;=-0.3),"超过30%","")</f>
        <v>#DIV/0!</v>
      </c>
      <c r="I53" s="149" t="e">
        <f>IF(I46&lt;E46,E46/I46-1,I46/E46-1)</f>
        <v>#DIV/0!</v>
      </c>
      <c r="J53" s="150" t="e">
        <f>IF(OR(I53&gt;=0.3,I53&lt;=-0.3),"超过30%","")</f>
        <v>#DIV/0!</v>
      </c>
      <c r="K53" s="242"/>
      <c r="L53" s="243"/>
      <c r="M53" s="152"/>
      <c r="N53" s="152"/>
      <c r="O53" s="152"/>
      <c r="P53" s="152"/>
      <c r="Q53" s="152"/>
      <c r="R53" s="152"/>
      <c r="S53" s="152"/>
      <c r="T53" s="152"/>
      <c r="U53" s="152"/>
      <c r="V53" s="152"/>
      <c r="W53" s="152"/>
      <c r="X53" s="152"/>
      <c r="Y53" s="152"/>
      <c r="Z53" s="152"/>
      <c r="AA53" s="152"/>
      <c r="AB53" s="152"/>
      <c r="AC53" s="152"/>
    </row>
    <row r="54" s="18" customFormat="1" ht="14.55" spans="1:29">
      <c r="A54" s="152"/>
      <c r="B54" s="153"/>
      <c r="C54" s="154"/>
      <c r="D54" s="155"/>
      <c r="E54" s="155"/>
      <c r="F54" s="155"/>
      <c r="G54" s="155"/>
      <c r="H54" s="155"/>
      <c r="I54" s="155"/>
      <c r="J54" s="155"/>
      <c r="K54" s="242"/>
      <c r="L54" s="243"/>
      <c r="M54" s="152"/>
      <c r="N54" s="152"/>
      <c r="O54" s="152"/>
      <c r="P54" s="152"/>
      <c r="Q54" s="152"/>
      <c r="R54" s="152"/>
      <c r="S54" s="152"/>
      <c r="T54" s="152"/>
      <c r="U54" s="152"/>
      <c r="V54" s="152"/>
      <c r="W54" s="152"/>
      <c r="X54" s="152"/>
      <c r="Y54" s="152"/>
      <c r="Z54" s="152"/>
      <c r="AA54" s="152"/>
      <c r="AB54" s="152"/>
      <c r="AC54" s="152"/>
    </row>
    <row r="55" ht="27" customHeight="1" spans="1:29">
      <c r="A55" s="156" t="s">
        <v>1572</v>
      </c>
      <c r="B55" s="157" t="s">
        <v>1573</v>
      </c>
      <c r="C55" s="158" t="s">
        <v>1574</v>
      </c>
      <c r="D55" s="159" t="s">
        <v>1575</v>
      </c>
      <c r="E55" s="160" t="s">
        <v>1576</v>
      </c>
      <c r="F55" s="1371" t="s">
        <v>1577</v>
      </c>
      <c r="G55" s="38" t="s">
        <v>1578</v>
      </c>
      <c r="H55" s="162"/>
      <c r="I55" s="1375" t="s">
        <v>1579</v>
      </c>
      <c r="J55" s="1376">
        <f>项目基本情况!F35</f>
        <v>0</v>
      </c>
      <c r="K55" s="245" t="s">
        <v>1580</v>
      </c>
      <c r="L55" s="241"/>
      <c r="M55" s="145"/>
      <c r="N55" s="145"/>
      <c r="O55" s="145"/>
      <c r="P55" s="145"/>
      <c r="Q55" s="145"/>
      <c r="R55" s="145"/>
      <c r="S55" s="145"/>
      <c r="T55" s="145"/>
      <c r="U55" s="145"/>
      <c r="V55" s="145"/>
      <c r="W55" s="145"/>
      <c r="X55" s="145"/>
      <c r="Y55" s="145"/>
      <c r="Z55" s="145"/>
      <c r="AA55" s="145"/>
      <c r="AB55" s="145"/>
      <c r="AC55" s="145"/>
    </row>
    <row r="56" s="19" customFormat="1" spans="1:29">
      <c r="A56" s="163" t="s">
        <v>1581</v>
      </c>
      <c r="B56" s="164" t="e">
        <f>C48</f>
        <v>#DIV/0!</v>
      </c>
      <c r="C56" s="165">
        <v>1</v>
      </c>
      <c r="D56" s="166">
        <v>1</v>
      </c>
      <c r="E56" s="165">
        <f>'数据-汇总表'!E8+'数据-汇总表'!E9</f>
        <v>4363.97</v>
      </c>
      <c r="F56" s="1372" t="e">
        <f t="shared" ref="F56:F64" si="15">ROUND(B56*E56/10000,0)</f>
        <v>#DIV/0!</v>
      </c>
      <c r="G56" s="168"/>
      <c r="H56" s="169"/>
      <c r="I56" s="1377">
        <v>1</v>
      </c>
      <c r="J56" s="1378">
        <v>1</v>
      </c>
      <c r="K56" s="152"/>
      <c r="L56" s="247"/>
      <c r="M56" s="247"/>
      <c r="N56" s="247"/>
      <c r="O56" s="247"/>
      <c r="P56" s="247"/>
      <c r="Q56" s="247"/>
      <c r="R56" s="247"/>
      <c r="S56" s="247"/>
      <c r="T56" s="247"/>
      <c r="U56" s="247"/>
      <c r="V56" s="247"/>
      <c r="W56" s="247"/>
      <c r="X56" s="247"/>
      <c r="Y56" s="247"/>
      <c r="Z56" s="247"/>
      <c r="AA56" s="247"/>
      <c r="AB56" s="247"/>
      <c r="AC56" s="247"/>
    </row>
    <row r="57" s="19" customFormat="1" spans="1:29">
      <c r="A57" s="170" t="s">
        <v>1582</v>
      </c>
      <c r="B57" s="171" t="e">
        <f>ROUND($C$48*C57*D57,0)</f>
        <v>#DIV/0!</v>
      </c>
      <c r="C57" s="172">
        <f t="shared" ref="C57:C64" si="16">IF($C$55="北京市系数",I57,J57)</f>
        <v>0</v>
      </c>
      <c r="D57" s="173">
        <v>0.25</v>
      </c>
      <c r="E57" s="174"/>
      <c r="F57" s="1372" t="e">
        <f t="shared" si="15"/>
        <v>#DIV/0!</v>
      </c>
      <c r="G57" s="175" t="s">
        <v>1583</v>
      </c>
      <c r="H57" s="176">
        <f>项目基本情况!B37</f>
        <v>0</v>
      </c>
      <c r="I57" s="1377">
        <f>SUMIF(修正!A57:A68,H57,修正!B57:B68)</f>
        <v>0</v>
      </c>
      <c r="J57" s="1379"/>
      <c r="K57" s="145"/>
      <c r="L57" s="247"/>
      <c r="M57" s="247"/>
      <c r="N57" s="247"/>
      <c r="O57" s="247"/>
      <c r="P57" s="247"/>
      <c r="Q57" s="247"/>
      <c r="R57" s="247"/>
      <c r="S57" s="247"/>
      <c r="T57" s="247"/>
      <c r="U57" s="247"/>
      <c r="V57" s="247"/>
      <c r="W57" s="247"/>
      <c r="X57" s="247"/>
      <c r="Y57" s="247"/>
      <c r="Z57" s="247"/>
      <c r="AA57" s="247"/>
      <c r="AB57" s="247"/>
      <c r="AC57" s="247"/>
    </row>
    <row r="58" s="19" customFormat="1" spans="1:29">
      <c r="A58" s="170" t="s">
        <v>1584</v>
      </c>
      <c r="B58" s="171" t="e">
        <f t="shared" ref="B58:B64" si="17">ROUND($C$48*C58*D58,0)</f>
        <v>#DIV/0!</v>
      </c>
      <c r="C58" s="172">
        <f t="shared" si="16"/>
        <v>0</v>
      </c>
      <c r="D58" s="173">
        <v>0.25</v>
      </c>
      <c r="E58" s="174"/>
      <c r="F58" s="1372" t="e">
        <f t="shared" si="15"/>
        <v>#DIV/0!</v>
      </c>
      <c r="G58" s="177"/>
      <c r="H58" s="176">
        <f>项目基本情况!B37</f>
        <v>0</v>
      </c>
      <c r="I58" s="1377">
        <f>SUMIF(修正!A57:A68,H58,修正!C57:C68)</f>
        <v>0</v>
      </c>
      <c r="J58" s="1379"/>
      <c r="K58" s="152"/>
      <c r="L58" s="247"/>
      <c r="M58" s="247"/>
      <c r="N58" s="247"/>
      <c r="O58" s="247"/>
      <c r="P58" s="247"/>
      <c r="Q58" s="247"/>
      <c r="R58" s="247"/>
      <c r="S58" s="247"/>
      <c r="T58" s="247"/>
      <c r="U58" s="247"/>
      <c r="V58" s="247"/>
      <c r="W58" s="247"/>
      <c r="X58" s="247"/>
      <c r="Y58" s="247"/>
      <c r="Z58" s="247"/>
      <c r="AA58" s="247"/>
      <c r="AB58" s="247"/>
      <c r="AC58" s="247"/>
    </row>
    <row r="59" s="19" customFormat="1" spans="1:29">
      <c r="A59" s="170" t="s">
        <v>1585</v>
      </c>
      <c r="B59" s="171" t="e">
        <f t="shared" si="17"/>
        <v>#DIV/0!</v>
      </c>
      <c r="C59" s="172">
        <f t="shared" si="16"/>
        <v>0</v>
      </c>
      <c r="D59" s="173">
        <v>0.25</v>
      </c>
      <c r="E59" s="174"/>
      <c r="F59" s="1372" t="e">
        <f t="shared" si="15"/>
        <v>#DIV/0!</v>
      </c>
      <c r="G59" s="177"/>
      <c r="H59" s="176">
        <f>项目基本情况!B37</f>
        <v>0</v>
      </c>
      <c r="I59" s="1377">
        <f>SUMIF(修正!A57:A68,H59,修正!D57:D68)</f>
        <v>0</v>
      </c>
      <c r="J59" s="1379"/>
      <c r="K59" s="145"/>
      <c r="L59" s="247"/>
      <c r="M59" s="247"/>
      <c r="N59" s="247"/>
      <c r="O59" s="247"/>
      <c r="P59" s="247"/>
      <c r="Q59" s="247"/>
      <c r="R59" s="247"/>
      <c r="S59" s="247"/>
      <c r="T59" s="247"/>
      <c r="U59" s="247"/>
      <c r="V59" s="247"/>
      <c r="W59" s="247"/>
      <c r="X59" s="247"/>
      <c r="Y59" s="247"/>
      <c r="Z59" s="247"/>
      <c r="AA59" s="247"/>
      <c r="AB59" s="247"/>
      <c r="AC59" s="247"/>
    </row>
    <row r="60" s="19" customFormat="1" spans="1:29">
      <c r="A60" s="170" t="s">
        <v>1586</v>
      </c>
      <c r="B60" s="171" t="e">
        <f t="shared" si="17"/>
        <v>#DIV/0!</v>
      </c>
      <c r="C60" s="172">
        <f t="shared" si="16"/>
        <v>0.25</v>
      </c>
      <c r="D60" s="173">
        <v>0.25</v>
      </c>
      <c r="E60" s="179">
        <f>'数据-汇总表'!E11</f>
        <v>0</v>
      </c>
      <c r="F60" s="1372" t="e">
        <f t="shared" si="15"/>
        <v>#DIV/0!</v>
      </c>
      <c r="G60" s="180" t="s">
        <v>1587</v>
      </c>
      <c r="H60" s="176" t="str">
        <f>项目基本情况!C37</f>
        <v>六级</v>
      </c>
      <c r="I60" s="1377">
        <f>SUMIF(修正!A57:A68,H60,修正!E57:E68)</f>
        <v>0.25</v>
      </c>
      <c r="J60" s="1379"/>
      <c r="K60" s="145"/>
      <c r="L60" s="247"/>
      <c r="M60" s="247"/>
      <c r="N60" s="247"/>
      <c r="O60" s="247"/>
      <c r="P60" s="247"/>
      <c r="Q60" s="247"/>
      <c r="R60" s="247"/>
      <c r="S60" s="247"/>
      <c r="T60" s="247"/>
      <c r="U60" s="247"/>
      <c r="V60" s="247"/>
      <c r="W60" s="247"/>
      <c r="X60" s="247"/>
      <c r="Y60" s="247"/>
      <c r="Z60" s="247"/>
      <c r="AA60" s="247"/>
      <c r="AB60" s="247"/>
      <c r="AC60" s="247"/>
    </row>
    <row r="61" s="19" customFormat="1" spans="1:29">
      <c r="A61" s="170" t="s">
        <v>1588</v>
      </c>
      <c r="B61" s="171" t="e">
        <f t="shared" si="17"/>
        <v>#DIV/0!</v>
      </c>
      <c r="C61" s="172">
        <f t="shared" si="16"/>
        <v>0.25</v>
      </c>
      <c r="D61" s="173">
        <v>0.25</v>
      </c>
      <c r="E61" s="179">
        <f>'数据-汇总表'!E12</f>
        <v>0</v>
      </c>
      <c r="F61" s="1372" t="e">
        <f t="shared" si="15"/>
        <v>#DIV/0!</v>
      </c>
      <c r="G61" s="181" t="s">
        <v>1589</v>
      </c>
      <c r="H61" s="176" t="str">
        <f>IF(G61="商业",项目基本情况!B37,IF(G61="办公",项目基本情况!C37,IF(G61="住宅",项目基本情况!D37,项目基本情况!E37)))</f>
        <v>六级</v>
      </c>
      <c r="I61" s="1377">
        <f>SUMIF(修正!A57:A68,H61,修正!F57:F68)</f>
        <v>0.25</v>
      </c>
      <c r="J61" s="1379"/>
      <c r="K61" s="152"/>
      <c r="L61" s="247"/>
      <c r="M61" s="247"/>
      <c r="N61" s="247"/>
      <c r="O61" s="247"/>
      <c r="P61" s="247"/>
      <c r="Q61" s="247"/>
      <c r="R61" s="247"/>
      <c r="S61" s="247"/>
      <c r="T61" s="247"/>
      <c r="U61" s="247"/>
      <c r="V61" s="247"/>
      <c r="W61" s="247"/>
      <c r="X61" s="247"/>
      <c r="Y61" s="247"/>
      <c r="Z61" s="247"/>
      <c r="AA61" s="247"/>
      <c r="AB61" s="247"/>
      <c r="AC61" s="247"/>
    </row>
    <row r="62" s="19" customFormat="1" spans="1:29">
      <c r="A62" s="170" t="s">
        <v>1590</v>
      </c>
      <c r="B62" s="171" t="e">
        <f t="shared" si="17"/>
        <v>#DIV/0!</v>
      </c>
      <c r="C62" s="172">
        <f t="shared" si="16"/>
        <v>0</v>
      </c>
      <c r="D62" s="173">
        <v>0.25</v>
      </c>
      <c r="E62" s="179">
        <f>'数据-汇总表'!E13</f>
        <v>8266.82</v>
      </c>
      <c r="F62" s="1372" t="e">
        <f t="shared" si="15"/>
        <v>#DIV/0!</v>
      </c>
      <c r="G62" s="181" t="s">
        <v>1591</v>
      </c>
      <c r="H62" s="176">
        <f>IF(G62="商业",项目基本情况!B37,IF(G62="办公",项目基本情况!C37,IF(G62="住宅",项目基本情况!D37,项目基本情况!E37)))</f>
        <v>0</v>
      </c>
      <c r="I62" s="1377">
        <f>SUMIF(修正!A57:A68,H62,修正!G57:G68)</f>
        <v>0</v>
      </c>
      <c r="J62" s="1379"/>
      <c r="K62" s="145"/>
      <c r="L62" s="247"/>
      <c r="M62" s="247"/>
      <c r="N62" s="247"/>
      <c r="O62" s="247"/>
      <c r="P62" s="247"/>
      <c r="Q62" s="247"/>
      <c r="R62" s="247"/>
      <c r="S62" s="247"/>
      <c r="T62" s="247"/>
      <c r="U62" s="247"/>
      <c r="V62" s="247"/>
      <c r="W62" s="247"/>
      <c r="X62" s="247"/>
      <c r="Y62" s="247"/>
      <c r="Z62" s="247"/>
      <c r="AA62" s="247"/>
      <c r="AB62" s="247"/>
      <c r="AC62" s="247"/>
    </row>
    <row r="63" s="19" customFormat="1" spans="1:29">
      <c r="A63" s="170" t="s">
        <v>1592</v>
      </c>
      <c r="B63" s="171" t="e">
        <f t="shared" si="17"/>
        <v>#DIV/0!</v>
      </c>
      <c r="C63" s="172">
        <f t="shared" si="16"/>
        <v>0</v>
      </c>
      <c r="D63" s="173">
        <v>0.25</v>
      </c>
      <c r="E63" s="179">
        <f>'数据-汇总表'!E14</f>
        <v>0</v>
      </c>
      <c r="F63" s="1372" t="e">
        <f t="shared" si="15"/>
        <v>#DIV/0!</v>
      </c>
      <c r="G63" s="180" t="s">
        <v>1583</v>
      </c>
      <c r="H63" s="176">
        <f>项目基本情况!B37</f>
        <v>0</v>
      </c>
      <c r="I63" s="1377">
        <f>SUMIF(修正!A57:A68,H63,修正!G57:G68)</f>
        <v>0</v>
      </c>
      <c r="J63" s="1379"/>
      <c r="K63" s="152"/>
      <c r="L63" s="247"/>
      <c r="M63" s="247"/>
      <c r="N63" s="247"/>
      <c r="O63" s="247"/>
      <c r="P63" s="247"/>
      <c r="Q63" s="247"/>
      <c r="R63" s="247"/>
      <c r="S63" s="247"/>
      <c r="T63" s="247"/>
      <c r="U63" s="247"/>
      <c r="V63" s="247"/>
      <c r="W63" s="247"/>
      <c r="X63" s="247"/>
      <c r="Y63" s="247"/>
      <c r="Z63" s="247"/>
      <c r="AA63" s="247"/>
      <c r="AB63" s="247"/>
      <c r="AC63" s="247"/>
    </row>
    <row r="64" s="19" customFormat="1" ht="14.55" spans="1:29">
      <c r="A64" s="170" t="s">
        <v>1593</v>
      </c>
      <c r="B64" s="171" t="e">
        <f t="shared" si="17"/>
        <v>#DIV/0!</v>
      </c>
      <c r="C64" s="172">
        <f t="shared" si="16"/>
        <v>0.15</v>
      </c>
      <c r="D64" s="173">
        <v>0.25</v>
      </c>
      <c r="E64" s="179">
        <f>'数据-汇总表'!E15</f>
        <v>0</v>
      </c>
      <c r="F64" s="1372" t="e">
        <f t="shared" si="15"/>
        <v>#DIV/0!</v>
      </c>
      <c r="G64" s="182" t="s">
        <v>1587</v>
      </c>
      <c r="H64" s="183" t="str">
        <f>项目基本情况!C37</f>
        <v>六级</v>
      </c>
      <c r="I64" s="1380">
        <f>SUMIF(修正!A57:A68,H64,修正!G57:G68)</f>
        <v>0.15</v>
      </c>
      <c r="J64" s="1381"/>
      <c r="K64" s="145"/>
      <c r="L64" s="247"/>
      <c r="M64" s="247"/>
      <c r="N64" s="247"/>
      <c r="O64" s="247"/>
      <c r="P64" s="247"/>
      <c r="Q64" s="247"/>
      <c r="R64" s="247"/>
      <c r="S64" s="247"/>
      <c r="T64" s="247"/>
      <c r="U64" s="247"/>
      <c r="V64" s="247"/>
      <c r="W64" s="247"/>
      <c r="X64" s="247"/>
      <c r="Y64" s="247"/>
      <c r="Z64" s="247"/>
      <c r="AA64" s="247"/>
      <c r="AB64" s="247"/>
      <c r="AC64" s="247"/>
    </row>
    <row r="65" s="19" customFormat="1" ht="13.95" spans="1:29">
      <c r="A65" s="184" t="s">
        <v>1594</v>
      </c>
      <c r="B65" s="185" t="s">
        <v>1530</v>
      </c>
      <c r="C65" s="185" t="s">
        <v>1530</v>
      </c>
      <c r="D65" s="185" t="s">
        <v>1530</v>
      </c>
      <c r="E65" s="185">
        <f>IF(B46="楼面地价",SUM(E56:E64),'数据-汇总表'!D3)</f>
        <v>12630.79</v>
      </c>
      <c r="F65" s="186" t="e">
        <f>IF(B46="楼面地价",SUM(F56:F64),ROUND(C48*E65/10000,0))</f>
        <v>#DIV/0!</v>
      </c>
      <c r="G65" s="1383"/>
      <c r="H65" s="1383"/>
      <c r="I65" s="1383"/>
      <c r="J65" s="1383"/>
      <c r="K65" s="1385"/>
      <c r="L65" s="247"/>
      <c r="M65" s="247"/>
      <c r="N65" s="247"/>
      <c r="O65" s="247"/>
      <c r="P65" s="247"/>
      <c r="Q65" s="247"/>
      <c r="R65" s="247"/>
      <c r="S65" s="247"/>
      <c r="T65" s="247"/>
      <c r="U65" s="247"/>
      <c r="V65" s="247"/>
      <c r="W65" s="247"/>
      <c r="X65" s="247"/>
      <c r="Y65" s="247"/>
      <c r="Z65" s="247"/>
      <c r="AA65" s="247"/>
      <c r="AB65" s="247"/>
      <c r="AC65" s="247"/>
    </row>
    <row r="66" spans="1:29">
      <c r="A66" s="193"/>
      <c r="B66" s="191"/>
      <c r="C66" s="154"/>
      <c r="D66" s="193"/>
      <c r="E66" s="193"/>
      <c r="F66" s="193"/>
      <c r="G66" s="193"/>
      <c r="H66" s="193"/>
      <c r="I66" s="193"/>
      <c r="J66" s="188"/>
      <c r="K66" s="249"/>
      <c r="L66" s="250"/>
      <c r="M66" s="188"/>
      <c r="N66" s="188"/>
      <c r="O66" s="188"/>
      <c r="P66" s="145"/>
      <c r="Q66" s="145"/>
      <c r="R66" s="145"/>
      <c r="S66" s="145"/>
      <c r="T66" s="145"/>
      <c r="U66" s="145"/>
      <c r="V66" s="145"/>
      <c r="W66" s="145"/>
      <c r="X66" s="145"/>
      <c r="Y66" s="145"/>
      <c r="Z66" s="145"/>
      <c r="AA66" s="145"/>
      <c r="AB66" s="145"/>
      <c r="AC66" s="145"/>
    </row>
    <row r="67" spans="1:29">
      <c r="A67" s="193"/>
      <c r="B67" s="191"/>
      <c r="C67" s="191" t="str">
        <f>YEAR(C7)&amp;"-"&amp;MONTH(C7)&amp;"-1"</f>
        <v>2022-8-1</v>
      </c>
      <c r="D67" s="191">
        <f>EDATE(C67,-3)</f>
        <v>44682</v>
      </c>
      <c r="E67" s="191">
        <f>EDATE(D67,-3)</f>
        <v>44593</v>
      </c>
      <c r="F67" s="191">
        <f t="shared" ref="F67:O67" si="18">EDATE(E67,-3)</f>
        <v>44501</v>
      </c>
      <c r="G67" s="191">
        <f t="shared" si="18"/>
        <v>44409</v>
      </c>
      <c r="H67" s="191">
        <f t="shared" si="18"/>
        <v>44317</v>
      </c>
      <c r="I67" s="191">
        <f t="shared" si="18"/>
        <v>44228</v>
      </c>
      <c r="J67" s="191">
        <f t="shared" si="18"/>
        <v>44136</v>
      </c>
      <c r="K67" s="191">
        <f t="shared" si="18"/>
        <v>44044</v>
      </c>
      <c r="L67" s="191">
        <f t="shared" si="18"/>
        <v>43952</v>
      </c>
      <c r="M67" s="191">
        <f t="shared" si="18"/>
        <v>43862</v>
      </c>
      <c r="N67" s="191">
        <f t="shared" si="18"/>
        <v>43770</v>
      </c>
      <c r="O67" s="191">
        <f t="shared" si="18"/>
        <v>43678</v>
      </c>
      <c r="P67" s="145"/>
      <c r="Q67" s="145"/>
      <c r="R67" s="145"/>
      <c r="S67" s="145"/>
      <c r="T67" s="145"/>
      <c r="U67" s="145"/>
      <c r="V67" s="145"/>
      <c r="W67" s="145"/>
      <c r="X67" s="145"/>
      <c r="Y67" s="145"/>
      <c r="Z67" s="145"/>
      <c r="AA67" s="145"/>
      <c r="AB67" s="145"/>
      <c r="AC67" s="145"/>
    </row>
    <row r="68" ht="21.15" spans="1:29">
      <c r="A68" s="192" t="s">
        <v>1479</v>
      </c>
      <c r="B68" s="193"/>
      <c r="C68" s="194"/>
      <c r="D68" s="194"/>
      <c r="E68" s="194"/>
      <c r="F68" s="195"/>
      <c r="G68" s="195"/>
      <c r="H68" s="194"/>
      <c r="I68" s="194"/>
      <c r="J68" s="253"/>
      <c r="K68" s="1386"/>
      <c r="L68" s="1387"/>
      <c r="M68" s="253"/>
      <c r="N68" s="254"/>
      <c r="O68" s="254"/>
      <c r="P68" s="254"/>
      <c r="Q68" s="279"/>
      <c r="R68" s="145"/>
      <c r="S68" s="145"/>
      <c r="T68" s="145"/>
      <c r="U68" s="145"/>
      <c r="V68" s="145"/>
      <c r="W68" s="145"/>
      <c r="X68" s="145"/>
      <c r="Y68" s="145"/>
      <c r="Z68" s="145"/>
      <c r="AA68" s="145"/>
      <c r="AB68" s="145"/>
      <c r="AC68" s="145"/>
    </row>
    <row r="69" s="20" customFormat="1" ht="14.4" spans="1:29">
      <c r="A69" s="290" t="s">
        <v>1595</v>
      </c>
      <c r="B69" s="291"/>
      <c r="C69" s="292" t="str">
        <f>YEAR(C67)&amp;"-"&amp;ROUNDUP(MONTH(C67)/3,0)</f>
        <v>2022-3</v>
      </c>
      <c r="D69" s="292" t="str">
        <f>YEAR(D67)&amp;"-"&amp;ROUNDUP(MONTH(D67)/3,0)</f>
        <v>2022-2</v>
      </c>
      <c r="E69" s="292" t="str">
        <f t="shared" ref="E69:O69" si="19">YEAR(E67)&amp;"-"&amp;ROUNDUP(MONTH(E67)/3,0)</f>
        <v>2022-1</v>
      </c>
      <c r="F69" s="292" t="str">
        <f t="shared" si="19"/>
        <v>2021-4</v>
      </c>
      <c r="G69" s="292" t="str">
        <f t="shared" si="19"/>
        <v>2021-3</v>
      </c>
      <c r="H69" s="292" t="str">
        <f t="shared" si="19"/>
        <v>2021-2</v>
      </c>
      <c r="I69" s="292" t="str">
        <f t="shared" si="19"/>
        <v>2021-1</v>
      </c>
      <c r="J69" s="292" t="str">
        <f t="shared" si="19"/>
        <v>2020-4</v>
      </c>
      <c r="K69" s="292" t="str">
        <f t="shared" si="19"/>
        <v>2020-3</v>
      </c>
      <c r="L69" s="292" t="str">
        <f t="shared" si="19"/>
        <v>2020-2</v>
      </c>
      <c r="M69" s="292" t="str">
        <f t="shared" si="19"/>
        <v>2020-1</v>
      </c>
      <c r="N69" s="292" t="str">
        <f t="shared" si="19"/>
        <v>2019-4</v>
      </c>
      <c r="O69" s="292" t="str">
        <f t="shared" si="19"/>
        <v>2019-3</v>
      </c>
      <c r="P69" s="347"/>
      <c r="Q69" s="401"/>
      <c r="R69" s="401"/>
      <c r="S69" s="401"/>
      <c r="T69" s="401"/>
      <c r="U69" s="401"/>
      <c r="V69" s="401"/>
      <c r="W69" s="401"/>
      <c r="X69" s="401"/>
      <c r="Y69" s="401"/>
      <c r="Z69" s="401"/>
      <c r="AA69" s="401"/>
      <c r="AB69" s="401"/>
      <c r="AC69" s="401"/>
    </row>
    <row r="70" s="15" customFormat="1" ht="30" customHeight="1" spans="1:29">
      <c r="A70" s="1384" t="s">
        <v>1596</v>
      </c>
      <c r="B70" s="294" t="str">
        <f>"北京市平均增长率"&amp;TEXT(SUMIF(基准地价修正!N21:N25,A70,基准地价修正!P21:P25),"0.00%")</f>
        <v>北京市平均增长率0.00%</v>
      </c>
      <c r="C70" s="295">
        <v>100</v>
      </c>
      <c r="D70" s="296"/>
      <c r="E70" s="296"/>
      <c r="F70" s="296"/>
      <c r="G70" s="296"/>
      <c r="H70" s="296"/>
      <c r="I70" s="296"/>
      <c r="J70" s="296"/>
      <c r="K70" s="296"/>
      <c r="L70" s="296"/>
      <c r="M70" s="1388"/>
      <c r="N70" s="296"/>
      <c r="O70" s="1389"/>
      <c r="P70" s="279"/>
      <c r="Q70" s="402"/>
      <c r="R70" s="402"/>
      <c r="S70" s="402"/>
      <c r="T70" s="402"/>
      <c r="U70" s="402"/>
      <c r="V70" s="402"/>
      <c r="W70" s="402"/>
      <c r="X70" s="402"/>
      <c r="Y70" s="402"/>
      <c r="Z70" s="402"/>
      <c r="AA70" s="402"/>
      <c r="AB70" s="402"/>
      <c r="AC70" s="402"/>
    </row>
    <row r="71" s="15" customFormat="1" ht="15.15" spans="1:29">
      <c r="A71" s="297" t="s">
        <v>1480</v>
      </c>
      <c r="B71" s="298"/>
      <c r="C71" s="299"/>
      <c r="D71" s="300"/>
      <c r="E71" s="300"/>
      <c r="F71" s="300"/>
      <c r="G71" s="300"/>
      <c r="H71" s="300"/>
      <c r="I71" s="300"/>
      <c r="J71" s="300"/>
      <c r="K71" s="300"/>
      <c r="L71" s="300"/>
      <c r="M71" s="348"/>
      <c r="N71" s="300"/>
      <c r="O71" s="1390"/>
      <c r="P71" s="279"/>
      <c r="Q71" s="279"/>
      <c r="R71" s="402"/>
      <c r="S71" s="402"/>
      <c r="T71" s="402"/>
      <c r="U71" s="402"/>
      <c r="V71" s="402"/>
      <c r="W71" s="402"/>
      <c r="X71" s="402"/>
      <c r="Y71" s="402"/>
      <c r="Z71" s="402"/>
      <c r="AA71" s="402"/>
      <c r="AB71" s="402"/>
      <c r="AC71" s="402"/>
    </row>
    <row r="72" s="15" customFormat="1" ht="14.4" spans="1:29">
      <c r="A72" s="301" t="s">
        <v>1441</v>
      </c>
      <c r="B72" s="302"/>
      <c r="C72" s="303" t="s">
        <v>1442</v>
      </c>
      <c r="D72" s="304"/>
      <c r="E72" s="304"/>
      <c r="F72" s="304"/>
      <c r="G72" s="304"/>
      <c r="H72" s="304"/>
      <c r="I72" s="304"/>
      <c r="J72" s="304"/>
      <c r="K72" s="304"/>
      <c r="L72" s="350"/>
      <c r="M72" s="351"/>
      <c r="N72" s="352"/>
      <c r="O72" s="352"/>
      <c r="P72" s="353"/>
      <c r="Q72" s="279"/>
      <c r="R72" s="402"/>
      <c r="S72" s="402"/>
      <c r="T72" s="402"/>
      <c r="U72" s="402"/>
      <c r="V72" s="402"/>
      <c r="W72" s="402"/>
      <c r="X72" s="402"/>
      <c r="Y72" s="402"/>
      <c r="Z72" s="402"/>
      <c r="AA72" s="402"/>
      <c r="AB72" s="402"/>
      <c r="AC72" s="402"/>
    </row>
    <row r="73" s="15" customFormat="1" ht="14.55" spans="1:29">
      <c r="A73" s="301"/>
      <c r="B73" s="302"/>
      <c r="C73" s="305">
        <v>100</v>
      </c>
      <c r="D73" s="306"/>
      <c r="E73" s="306"/>
      <c r="F73" s="306"/>
      <c r="G73" s="306"/>
      <c r="H73" s="306"/>
      <c r="I73" s="306"/>
      <c r="J73" s="306"/>
      <c r="K73" s="306"/>
      <c r="L73" s="306"/>
      <c r="M73" s="354"/>
      <c r="N73" s="352"/>
      <c r="O73" s="352"/>
      <c r="P73" s="279"/>
      <c r="Q73" s="279"/>
      <c r="R73" s="402"/>
      <c r="S73" s="402"/>
      <c r="T73" s="402"/>
      <c r="U73" s="402"/>
      <c r="V73" s="402"/>
      <c r="W73" s="402"/>
      <c r="X73" s="402"/>
      <c r="Y73" s="402"/>
      <c r="Z73" s="402"/>
      <c r="AA73" s="402"/>
      <c r="AB73" s="402"/>
      <c r="AC73" s="402"/>
    </row>
    <row r="74" ht="14.4" spans="1:29">
      <c r="A74" s="307" t="s">
        <v>1481</v>
      </c>
      <c r="B74" s="308" t="s">
        <v>1445</v>
      </c>
      <c r="C74" s="233"/>
      <c r="D74" s="233"/>
      <c r="E74" s="233"/>
      <c r="F74" s="233"/>
      <c r="G74" s="233"/>
      <c r="H74" s="233"/>
      <c r="I74" s="233"/>
      <c r="J74" s="233"/>
      <c r="K74" s="355"/>
      <c r="L74" s="356"/>
      <c r="M74" s="357"/>
      <c r="N74" s="358"/>
      <c r="O74" s="358"/>
      <c r="P74" s="359"/>
      <c r="Q74" s="279"/>
      <c r="R74" s="145"/>
      <c r="S74" s="145"/>
      <c r="T74" s="145"/>
      <c r="U74" s="145"/>
      <c r="V74" s="145"/>
      <c r="W74" s="145"/>
      <c r="X74" s="145"/>
      <c r="Y74" s="145"/>
      <c r="Z74" s="145"/>
      <c r="AA74" s="145"/>
      <c r="AB74" s="145"/>
      <c r="AC74" s="145"/>
    </row>
    <row r="75" ht="14.55" spans="1:29">
      <c r="A75" s="309"/>
      <c r="B75" s="310"/>
      <c r="C75" s="311"/>
      <c r="D75" s="311"/>
      <c r="E75" s="311"/>
      <c r="F75" s="311"/>
      <c r="G75" s="311"/>
      <c r="H75" s="311"/>
      <c r="I75" s="311"/>
      <c r="J75" s="311"/>
      <c r="K75" s="311"/>
      <c r="L75" s="311"/>
      <c r="M75" s="360"/>
      <c r="N75" s="361"/>
      <c r="O75" s="361"/>
      <c r="P75" s="359"/>
      <c r="Q75" s="279"/>
      <c r="R75" s="145"/>
      <c r="S75" s="145"/>
      <c r="T75" s="145"/>
      <c r="U75" s="145"/>
      <c r="V75" s="145"/>
      <c r="W75" s="145"/>
      <c r="X75" s="145"/>
      <c r="Y75" s="145"/>
      <c r="Z75" s="145"/>
      <c r="AA75" s="145"/>
      <c r="AB75" s="145"/>
      <c r="AC75" s="145"/>
    </row>
    <row r="76" ht="29.55" spans="1:29">
      <c r="A76" s="309"/>
      <c r="B76" s="312" t="s">
        <v>1448</v>
      </c>
      <c r="C76" s="313"/>
      <c r="D76" s="313"/>
      <c r="E76" s="313"/>
      <c r="F76" s="313"/>
      <c r="G76" s="313"/>
      <c r="H76" s="313"/>
      <c r="I76" s="313"/>
      <c r="J76" s="313"/>
      <c r="K76" s="362"/>
      <c r="L76" s="363"/>
      <c r="M76" s="364"/>
      <c r="N76" s="358"/>
      <c r="O76" s="358"/>
      <c r="P76" s="359"/>
      <c r="Q76" s="279"/>
      <c r="R76" s="145"/>
      <c r="S76" s="145"/>
      <c r="T76" s="145"/>
      <c r="U76" s="145"/>
      <c r="V76" s="145"/>
      <c r="W76" s="145"/>
      <c r="X76" s="145"/>
      <c r="Y76" s="145"/>
      <c r="Z76" s="145"/>
      <c r="AA76" s="145"/>
      <c r="AB76" s="145"/>
      <c r="AC76" s="145"/>
    </row>
    <row r="77" ht="14.55" spans="1:29">
      <c r="A77" s="309"/>
      <c r="B77" s="314"/>
      <c r="C77" s="315"/>
      <c r="D77" s="315"/>
      <c r="E77" s="315"/>
      <c r="F77" s="315"/>
      <c r="G77" s="315"/>
      <c r="H77" s="315"/>
      <c r="I77" s="315"/>
      <c r="J77" s="315"/>
      <c r="K77" s="315"/>
      <c r="L77" s="315"/>
      <c r="M77" s="365"/>
      <c r="N77" s="361"/>
      <c r="O77" s="361"/>
      <c r="P77" s="359"/>
      <c r="Q77" s="279"/>
      <c r="R77" s="145"/>
      <c r="S77" s="145"/>
      <c r="T77" s="145"/>
      <c r="U77" s="145"/>
      <c r="V77" s="145"/>
      <c r="W77" s="145"/>
      <c r="X77" s="145"/>
      <c r="Y77" s="145"/>
      <c r="Z77" s="145"/>
      <c r="AA77" s="145"/>
      <c r="AB77" s="145"/>
      <c r="AC77" s="145"/>
    </row>
    <row r="78" ht="15.15" spans="1:29">
      <c r="A78" s="309"/>
      <c r="B78" s="316" t="s">
        <v>1449</v>
      </c>
      <c r="C78" s="317" t="str">
        <f>C79&amp;"（含）"&amp;"-"&amp;D79</f>
        <v>（含）-</v>
      </c>
      <c r="D78" s="317" t="str">
        <f t="shared" ref="D78:L78" si="20">D79&amp;"（含）"&amp;"-"&amp;E79</f>
        <v>（含）-</v>
      </c>
      <c r="E78" s="317" t="str">
        <f t="shared" si="20"/>
        <v>（含）-</v>
      </c>
      <c r="F78" s="317" t="str">
        <f t="shared" si="20"/>
        <v>（含）-</v>
      </c>
      <c r="G78" s="317" t="str">
        <f t="shared" si="20"/>
        <v>（含）-</v>
      </c>
      <c r="H78" s="317" t="str">
        <f t="shared" si="20"/>
        <v>（含）-</v>
      </c>
      <c r="I78" s="317" t="str">
        <f t="shared" si="20"/>
        <v>（含）-</v>
      </c>
      <c r="J78" s="317" t="str">
        <f t="shared" si="20"/>
        <v>（含）-</v>
      </c>
      <c r="K78" s="317" t="str">
        <f t="shared" si="20"/>
        <v>（含）-</v>
      </c>
      <c r="L78" s="317" t="str">
        <f t="shared" si="20"/>
        <v>（含）-</v>
      </c>
      <c r="M78" s="91" t="str">
        <f>M79&amp;"（含）"&amp;"-"&amp;P79</f>
        <v>（含）-</v>
      </c>
      <c r="N78" s="361"/>
      <c r="O78" s="361"/>
      <c r="P78" s="359"/>
      <c r="Q78" s="279"/>
      <c r="R78" s="145"/>
      <c r="S78" s="145"/>
      <c r="T78" s="145"/>
      <c r="U78" s="145"/>
      <c r="V78" s="145"/>
      <c r="W78" s="145"/>
      <c r="X78" s="145"/>
      <c r="Y78" s="145"/>
      <c r="Z78" s="145"/>
      <c r="AA78" s="145"/>
      <c r="AB78" s="145"/>
      <c r="AC78" s="145"/>
    </row>
    <row r="79" spans="1:29">
      <c r="A79" s="309"/>
      <c r="B79" s="318"/>
      <c r="C79" s="76"/>
      <c r="D79" s="76"/>
      <c r="E79" s="76"/>
      <c r="F79" s="76"/>
      <c r="G79" s="76"/>
      <c r="H79" s="76"/>
      <c r="I79" s="76"/>
      <c r="J79" s="76"/>
      <c r="K79" s="366"/>
      <c r="L79" s="367"/>
      <c r="M79" s="368"/>
      <c r="N79" s="358"/>
      <c r="O79" s="358"/>
      <c r="P79" s="359"/>
      <c r="Q79" s="279"/>
      <c r="R79" s="145"/>
      <c r="S79" s="145"/>
      <c r="T79" s="145"/>
      <c r="U79" s="145"/>
      <c r="V79" s="145"/>
      <c r="W79" s="145"/>
      <c r="X79" s="145"/>
      <c r="Y79" s="145"/>
      <c r="Z79" s="145"/>
      <c r="AA79" s="145"/>
      <c r="AB79" s="145"/>
      <c r="AC79" s="145"/>
    </row>
    <row r="80" ht="14.55" spans="1:29">
      <c r="A80" s="309"/>
      <c r="B80" s="310"/>
      <c r="C80" s="315">
        <v>100</v>
      </c>
      <c r="D80" s="315">
        <f t="shared" ref="D80:M80" si="21">IF($B$46="单位面积地价",C80+$K11,C80-$K11)</f>
        <v>100</v>
      </c>
      <c r="E80" s="315">
        <f t="shared" si="21"/>
        <v>100</v>
      </c>
      <c r="F80" s="315">
        <f t="shared" si="21"/>
        <v>100</v>
      </c>
      <c r="G80" s="315">
        <f t="shared" si="21"/>
        <v>100</v>
      </c>
      <c r="H80" s="315">
        <f t="shared" si="21"/>
        <v>100</v>
      </c>
      <c r="I80" s="315">
        <f t="shared" si="21"/>
        <v>100</v>
      </c>
      <c r="J80" s="315">
        <f t="shared" si="21"/>
        <v>100</v>
      </c>
      <c r="K80" s="315">
        <f t="shared" si="21"/>
        <v>100</v>
      </c>
      <c r="L80" s="315">
        <f t="shared" si="21"/>
        <v>100</v>
      </c>
      <c r="M80" s="315">
        <f t="shared" si="21"/>
        <v>100</v>
      </c>
      <c r="N80" s="361"/>
      <c r="O80" s="361"/>
      <c r="P80" s="359"/>
      <c r="Q80" s="279"/>
      <c r="R80" s="145"/>
      <c r="S80" s="145"/>
      <c r="T80" s="145"/>
      <c r="U80" s="145"/>
      <c r="V80" s="145"/>
      <c r="W80" s="145"/>
      <c r="X80" s="145"/>
      <c r="Y80" s="145"/>
      <c r="Z80" s="145"/>
      <c r="AA80" s="145"/>
      <c r="AB80" s="145"/>
      <c r="AC80" s="145"/>
    </row>
    <row r="81" s="17" customFormat="1" ht="15.15" spans="1:29">
      <c r="A81" s="319"/>
      <c r="B81" s="312" t="str">
        <f>B12</f>
        <v>配建</v>
      </c>
      <c r="C81" s="320"/>
      <c r="D81" s="320"/>
      <c r="E81" s="320"/>
      <c r="F81" s="320"/>
      <c r="G81" s="320"/>
      <c r="H81" s="321"/>
      <c r="I81" s="321"/>
      <c r="J81" s="321"/>
      <c r="K81" s="321"/>
      <c r="L81" s="369"/>
      <c r="M81" s="370"/>
      <c r="N81" s="371"/>
      <c r="O81" s="371"/>
      <c r="P81" s="372"/>
      <c r="Q81" s="403"/>
      <c r="R81" s="404"/>
      <c r="S81" s="404"/>
      <c r="T81" s="404"/>
      <c r="U81" s="404"/>
      <c r="V81" s="404"/>
      <c r="W81" s="404"/>
      <c r="X81" s="404"/>
      <c r="Y81" s="404"/>
      <c r="Z81" s="404"/>
      <c r="AA81" s="404"/>
      <c r="AB81" s="404"/>
      <c r="AC81" s="404"/>
    </row>
    <row r="82" s="17" customFormat="1" ht="14.55" spans="1:29">
      <c r="A82" s="319"/>
      <c r="B82" s="314"/>
      <c r="C82" s="322"/>
      <c r="D82" s="311"/>
      <c r="E82" s="311"/>
      <c r="F82" s="311"/>
      <c r="G82" s="311"/>
      <c r="H82" s="311"/>
      <c r="I82" s="311"/>
      <c r="J82" s="311"/>
      <c r="K82" s="311"/>
      <c r="L82" s="311"/>
      <c r="M82" s="360"/>
      <c r="N82" s="361"/>
      <c r="O82" s="361"/>
      <c r="P82" s="372"/>
      <c r="Q82" s="403"/>
      <c r="R82" s="404"/>
      <c r="S82" s="404"/>
      <c r="T82" s="404"/>
      <c r="U82" s="404"/>
      <c r="V82" s="404"/>
      <c r="W82" s="404"/>
      <c r="X82" s="404"/>
      <c r="Y82" s="404"/>
      <c r="Z82" s="404"/>
      <c r="AA82" s="404"/>
      <c r="AB82" s="404"/>
      <c r="AC82" s="404"/>
    </row>
    <row r="83" s="17" customFormat="1" ht="14.55" spans="1:29">
      <c r="A83" s="319"/>
      <c r="B83" s="312">
        <f>B13</f>
        <v>111</v>
      </c>
      <c r="C83" s="320"/>
      <c r="D83" s="320"/>
      <c r="E83" s="320"/>
      <c r="F83" s="320"/>
      <c r="G83" s="320"/>
      <c r="H83" s="321"/>
      <c r="I83" s="321"/>
      <c r="J83" s="321"/>
      <c r="K83" s="321"/>
      <c r="L83" s="369"/>
      <c r="M83" s="370"/>
      <c r="N83" s="371"/>
      <c r="O83" s="371"/>
      <c r="P83" s="230"/>
      <c r="Q83" s="405"/>
      <c r="R83" s="404"/>
      <c r="S83" s="404"/>
      <c r="T83" s="404"/>
      <c r="U83" s="404"/>
      <c r="V83" s="404"/>
      <c r="W83" s="404"/>
      <c r="X83" s="404"/>
      <c r="Y83" s="404"/>
      <c r="Z83" s="404"/>
      <c r="AA83" s="404"/>
      <c r="AB83" s="404"/>
      <c r="AC83" s="404"/>
    </row>
    <row r="84" s="17" customFormat="1" ht="14.55" spans="1:29">
      <c r="A84" s="319"/>
      <c r="B84" s="314"/>
      <c r="C84" s="322"/>
      <c r="D84" s="322"/>
      <c r="E84" s="322"/>
      <c r="F84" s="322"/>
      <c r="G84" s="322"/>
      <c r="H84" s="323"/>
      <c r="I84" s="323"/>
      <c r="J84" s="323"/>
      <c r="K84" s="323"/>
      <c r="L84" s="323"/>
      <c r="M84" s="373"/>
      <c r="N84" s="371"/>
      <c r="O84" s="371"/>
      <c r="P84" s="372"/>
      <c r="Q84" s="403"/>
      <c r="R84" s="404"/>
      <c r="S84" s="404"/>
      <c r="T84" s="404"/>
      <c r="U84" s="404"/>
      <c r="V84" s="404"/>
      <c r="W84" s="404"/>
      <c r="X84" s="404"/>
      <c r="Y84" s="404"/>
      <c r="Z84" s="404"/>
      <c r="AA84" s="404"/>
      <c r="AB84" s="404"/>
      <c r="AC84" s="404"/>
    </row>
    <row r="85" s="17" customFormat="1" ht="14.55" spans="1:29">
      <c r="A85" s="319"/>
      <c r="B85" s="316">
        <f>B14</f>
        <v>111</v>
      </c>
      <c r="C85" s="304"/>
      <c r="D85" s="304"/>
      <c r="E85" s="304"/>
      <c r="F85" s="304"/>
      <c r="G85" s="304"/>
      <c r="H85" s="324"/>
      <c r="I85" s="324"/>
      <c r="J85" s="324"/>
      <c r="K85" s="324"/>
      <c r="L85" s="374"/>
      <c r="M85" s="375"/>
      <c r="N85" s="371"/>
      <c r="O85" s="371"/>
      <c r="P85" s="376"/>
      <c r="Q85" s="403"/>
      <c r="R85" s="404"/>
      <c r="S85" s="404"/>
      <c r="T85" s="404"/>
      <c r="U85" s="404"/>
      <c r="V85" s="404"/>
      <c r="W85" s="404"/>
      <c r="X85" s="404"/>
      <c r="Y85" s="404"/>
      <c r="Z85" s="404"/>
      <c r="AA85" s="404"/>
      <c r="AB85" s="404"/>
      <c r="AC85" s="404"/>
    </row>
    <row r="86" s="17" customFormat="1" ht="14.55" spans="1:29">
      <c r="A86" s="325"/>
      <c r="B86" s="326"/>
      <c r="C86" s="327"/>
      <c r="D86" s="327"/>
      <c r="E86" s="327"/>
      <c r="F86" s="327"/>
      <c r="G86" s="327"/>
      <c r="H86" s="328"/>
      <c r="I86" s="328"/>
      <c r="J86" s="328"/>
      <c r="K86" s="328"/>
      <c r="L86" s="328"/>
      <c r="M86" s="377"/>
      <c r="N86" s="371"/>
      <c r="O86" s="371"/>
      <c r="P86" s="372"/>
      <c r="Q86" s="403"/>
      <c r="R86" s="404"/>
      <c r="S86" s="404"/>
      <c r="T86" s="404"/>
      <c r="U86" s="404"/>
      <c r="V86" s="404"/>
      <c r="W86" s="404"/>
      <c r="X86" s="404"/>
      <c r="Y86" s="404"/>
      <c r="Z86" s="404"/>
      <c r="AA86" s="404"/>
      <c r="AB86" s="404"/>
      <c r="AC86" s="404"/>
    </row>
    <row r="87" ht="14.4" spans="1:29">
      <c r="A87" s="307" t="s">
        <v>1450</v>
      </c>
      <c r="B87" s="308" t="s">
        <v>1451</v>
      </c>
      <c r="C87" s="329" t="s">
        <v>1489</v>
      </c>
      <c r="D87" s="329" t="s">
        <v>1490</v>
      </c>
      <c r="E87" s="329" t="s">
        <v>1491</v>
      </c>
      <c r="F87" s="329" t="s">
        <v>1492</v>
      </c>
      <c r="G87" s="329" t="s">
        <v>1493</v>
      </c>
      <c r="H87" s="330"/>
      <c r="I87" s="330"/>
      <c r="J87" s="330"/>
      <c r="K87" s="378"/>
      <c r="L87" s="379"/>
      <c r="M87" s="380"/>
      <c r="N87" s="358"/>
      <c r="O87" s="358"/>
      <c r="P87" s="381"/>
      <c r="Q87" s="279"/>
      <c r="R87" s="145"/>
      <c r="S87" s="145"/>
      <c r="T87" s="145"/>
      <c r="U87" s="145"/>
      <c r="V87" s="145"/>
      <c r="W87" s="145"/>
      <c r="X87" s="145"/>
      <c r="Y87" s="145"/>
      <c r="Z87" s="145"/>
      <c r="AA87" s="145"/>
      <c r="AB87" s="145"/>
      <c r="AC87" s="145"/>
    </row>
    <row r="88" ht="14.55" spans="1:29">
      <c r="A88" s="309"/>
      <c r="B88" s="314"/>
      <c r="C88" s="315">
        <v>100</v>
      </c>
      <c r="D88" s="315">
        <f>C88-$K15</f>
        <v>100</v>
      </c>
      <c r="E88" s="315">
        <f>D88-$K15</f>
        <v>100</v>
      </c>
      <c r="F88" s="315">
        <f>E88-$K15</f>
        <v>100</v>
      </c>
      <c r="G88" s="315">
        <f>F88-$K15</f>
        <v>100</v>
      </c>
      <c r="H88" s="315"/>
      <c r="I88" s="315"/>
      <c r="J88" s="315"/>
      <c r="K88" s="315"/>
      <c r="L88" s="315"/>
      <c r="M88" s="365"/>
      <c r="N88" s="361"/>
      <c r="O88" s="361"/>
      <c r="P88" s="359"/>
      <c r="Q88" s="279"/>
      <c r="R88" s="145"/>
      <c r="S88" s="145"/>
      <c r="T88" s="145"/>
      <c r="U88" s="145"/>
      <c r="V88" s="145"/>
      <c r="W88" s="145"/>
      <c r="X88" s="145"/>
      <c r="Y88" s="145"/>
      <c r="Z88" s="145"/>
      <c r="AA88" s="145"/>
      <c r="AB88" s="145"/>
      <c r="AC88" s="145"/>
    </row>
    <row r="89" ht="15.15" spans="1:29">
      <c r="A89" s="309"/>
      <c r="B89" s="312" t="s">
        <v>1520</v>
      </c>
      <c r="C89" s="331" t="s">
        <v>1489</v>
      </c>
      <c r="D89" s="331" t="s">
        <v>1490</v>
      </c>
      <c r="E89" s="331" t="s">
        <v>1491</v>
      </c>
      <c r="F89" s="331" t="s">
        <v>1492</v>
      </c>
      <c r="G89" s="331" t="s">
        <v>1493</v>
      </c>
      <c r="H89" s="313"/>
      <c r="I89" s="313"/>
      <c r="J89" s="313"/>
      <c r="K89" s="362"/>
      <c r="L89" s="363"/>
      <c r="M89" s="364"/>
      <c r="N89" s="358"/>
      <c r="O89" s="358"/>
      <c r="P89" s="359"/>
      <c r="Q89" s="279"/>
      <c r="R89" s="145"/>
      <c r="S89" s="145"/>
      <c r="T89" s="145"/>
      <c r="U89" s="145"/>
      <c r="V89" s="145"/>
      <c r="W89" s="145"/>
      <c r="X89" s="145"/>
      <c r="Y89" s="145"/>
      <c r="Z89" s="145"/>
      <c r="AA89" s="145"/>
      <c r="AB89" s="145"/>
      <c r="AC89" s="145"/>
    </row>
    <row r="90" ht="14.55" spans="1:29">
      <c r="A90" s="309"/>
      <c r="B90" s="314"/>
      <c r="C90" s="315">
        <v>100</v>
      </c>
      <c r="D90" s="315">
        <f>C90-$K17</f>
        <v>100</v>
      </c>
      <c r="E90" s="315">
        <f>D90-$K17</f>
        <v>100</v>
      </c>
      <c r="F90" s="315">
        <f>E90-$K17</f>
        <v>100</v>
      </c>
      <c r="G90" s="315">
        <f>F90-$K17</f>
        <v>100</v>
      </c>
      <c r="H90" s="315"/>
      <c r="I90" s="315"/>
      <c r="J90" s="315"/>
      <c r="K90" s="315"/>
      <c r="L90" s="315"/>
      <c r="M90" s="365"/>
      <c r="N90" s="361"/>
      <c r="O90" s="361"/>
      <c r="P90" s="359"/>
      <c r="Q90" s="279"/>
      <c r="R90" s="145"/>
      <c r="S90" s="145"/>
      <c r="T90" s="145"/>
      <c r="U90" s="145"/>
      <c r="V90" s="145"/>
      <c r="W90" s="145"/>
      <c r="X90" s="145"/>
      <c r="Y90" s="145"/>
      <c r="Z90" s="145"/>
      <c r="AA90" s="145"/>
      <c r="AB90" s="145"/>
      <c r="AC90" s="145"/>
    </row>
    <row r="91" ht="15.15" spans="1:29">
      <c r="A91" s="309"/>
      <c r="B91" s="312" t="s">
        <v>1533</v>
      </c>
      <c r="C91" s="331" t="s">
        <v>1489</v>
      </c>
      <c r="D91" s="331" t="s">
        <v>1490</v>
      </c>
      <c r="E91" s="331" t="s">
        <v>1491</v>
      </c>
      <c r="F91" s="331" t="s">
        <v>1492</v>
      </c>
      <c r="G91" s="331" t="s">
        <v>1493</v>
      </c>
      <c r="H91" s="313"/>
      <c r="I91" s="313"/>
      <c r="J91" s="313"/>
      <c r="K91" s="362"/>
      <c r="L91" s="363"/>
      <c r="M91" s="364"/>
      <c r="N91" s="358"/>
      <c r="O91" s="358"/>
      <c r="P91" s="359"/>
      <c r="Q91" s="279"/>
      <c r="R91" s="145"/>
      <c r="S91" s="145"/>
      <c r="T91" s="145"/>
      <c r="U91" s="145"/>
      <c r="V91" s="145"/>
      <c r="W91" s="145"/>
      <c r="X91" s="145"/>
      <c r="Y91" s="145"/>
      <c r="Z91" s="145"/>
      <c r="AA91" s="145"/>
      <c r="AB91" s="145"/>
      <c r="AC91" s="145"/>
    </row>
    <row r="92" ht="14.55" spans="1:29">
      <c r="A92" s="309"/>
      <c r="B92" s="314"/>
      <c r="C92" s="315">
        <v>100</v>
      </c>
      <c r="D92" s="315">
        <f>C92-$K19</f>
        <v>100</v>
      </c>
      <c r="E92" s="315">
        <f>D92-$K19</f>
        <v>100</v>
      </c>
      <c r="F92" s="315">
        <f>E92-$K19</f>
        <v>100</v>
      </c>
      <c r="G92" s="315">
        <f>F92-$K19</f>
        <v>100</v>
      </c>
      <c r="H92" s="315"/>
      <c r="I92" s="315"/>
      <c r="J92" s="315"/>
      <c r="K92" s="315"/>
      <c r="L92" s="315"/>
      <c r="M92" s="365"/>
      <c r="N92" s="361"/>
      <c r="O92" s="361"/>
      <c r="P92" s="359"/>
      <c r="Q92" s="279"/>
      <c r="R92" s="145"/>
      <c r="S92" s="145"/>
      <c r="T92" s="145"/>
      <c r="U92" s="145"/>
      <c r="V92" s="145"/>
      <c r="W92" s="145"/>
      <c r="X92" s="145"/>
      <c r="Y92" s="145"/>
      <c r="Z92" s="145"/>
      <c r="AA92" s="145"/>
      <c r="AB92" s="145"/>
      <c r="AC92" s="145"/>
    </row>
    <row r="93" ht="15.15" spans="1:29">
      <c r="A93" s="309"/>
      <c r="B93" s="312" t="s">
        <v>1453</v>
      </c>
      <c r="C93" s="331" t="s">
        <v>1489</v>
      </c>
      <c r="D93" s="331" t="s">
        <v>1490</v>
      </c>
      <c r="E93" s="331" t="s">
        <v>1491</v>
      </c>
      <c r="F93" s="331" t="s">
        <v>1492</v>
      </c>
      <c r="G93" s="331" t="s">
        <v>1493</v>
      </c>
      <c r="H93" s="313"/>
      <c r="I93" s="313"/>
      <c r="J93" s="313"/>
      <c r="K93" s="362"/>
      <c r="L93" s="363"/>
      <c r="M93" s="364"/>
      <c r="N93" s="358"/>
      <c r="O93" s="358"/>
      <c r="P93" s="359"/>
      <c r="Q93" s="279"/>
      <c r="R93" s="145"/>
      <c r="S93" s="145"/>
      <c r="T93" s="145"/>
      <c r="U93" s="145"/>
      <c r="V93" s="145"/>
      <c r="W93" s="145"/>
      <c r="X93" s="145"/>
      <c r="Y93" s="145"/>
      <c r="Z93" s="145"/>
      <c r="AA93" s="145"/>
      <c r="AB93" s="145"/>
      <c r="AC93" s="145"/>
    </row>
    <row r="94" ht="14.55" spans="1:29">
      <c r="A94" s="309"/>
      <c r="B94" s="314"/>
      <c r="C94" s="315">
        <v>100</v>
      </c>
      <c r="D94" s="315">
        <f>C94-$K21</f>
        <v>100</v>
      </c>
      <c r="E94" s="315">
        <f>D94-$K21</f>
        <v>100</v>
      </c>
      <c r="F94" s="315">
        <f>E94-$K21</f>
        <v>100</v>
      </c>
      <c r="G94" s="315">
        <f>F94-$K21</f>
        <v>100</v>
      </c>
      <c r="H94" s="315"/>
      <c r="I94" s="315"/>
      <c r="J94" s="315"/>
      <c r="K94" s="315"/>
      <c r="L94" s="315"/>
      <c r="M94" s="365"/>
      <c r="N94" s="361"/>
      <c r="O94" s="361"/>
      <c r="P94" s="359"/>
      <c r="Q94" s="279"/>
      <c r="R94" s="145"/>
      <c r="S94" s="145"/>
      <c r="T94" s="145"/>
      <c r="U94" s="145"/>
      <c r="V94" s="145"/>
      <c r="W94" s="145"/>
      <c r="X94" s="145"/>
      <c r="Y94" s="145"/>
      <c r="Z94" s="145"/>
      <c r="AA94" s="145"/>
      <c r="AB94" s="145"/>
      <c r="AC94" s="145"/>
    </row>
    <row r="95" s="15" customFormat="1" ht="29.55" spans="1:29">
      <c r="A95" s="332"/>
      <c r="B95" s="312" t="s">
        <v>1562</v>
      </c>
      <c r="C95" s="331" t="s">
        <v>1489</v>
      </c>
      <c r="D95" s="331" t="s">
        <v>1490</v>
      </c>
      <c r="E95" s="331" t="s">
        <v>1491</v>
      </c>
      <c r="F95" s="331" t="s">
        <v>1492</v>
      </c>
      <c r="G95" s="331" t="s">
        <v>1493</v>
      </c>
      <c r="H95" s="331"/>
      <c r="I95" s="331"/>
      <c r="J95" s="331"/>
      <c r="K95" s="331"/>
      <c r="L95" s="382"/>
      <c r="M95" s="383"/>
      <c r="N95" s="352"/>
      <c r="O95" s="352"/>
      <c r="P95" s="359"/>
      <c r="Q95" s="279"/>
      <c r="R95" s="402"/>
      <c r="S95" s="402"/>
      <c r="T95" s="402"/>
      <c r="U95" s="402"/>
      <c r="V95" s="402"/>
      <c r="W95" s="402"/>
      <c r="X95" s="402"/>
      <c r="Y95" s="402"/>
      <c r="Z95" s="402"/>
      <c r="AA95" s="402"/>
      <c r="AB95" s="402"/>
      <c r="AC95" s="402"/>
    </row>
    <row r="96" s="15" customFormat="1" ht="14.55" spans="1:29">
      <c r="A96" s="332"/>
      <c r="B96" s="314"/>
      <c r="C96" s="333">
        <v>100</v>
      </c>
      <c r="D96" s="315">
        <f>C96-$K23</f>
        <v>100</v>
      </c>
      <c r="E96" s="315">
        <f>D96-$K23</f>
        <v>100</v>
      </c>
      <c r="F96" s="315">
        <f>E96-$K23</f>
        <v>100</v>
      </c>
      <c r="G96" s="315">
        <f>F96-$K23</f>
        <v>100</v>
      </c>
      <c r="H96" s="315"/>
      <c r="I96" s="315"/>
      <c r="J96" s="315"/>
      <c r="K96" s="315"/>
      <c r="L96" s="315"/>
      <c r="M96" s="365"/>
      <c r="N96" s="361"/>
      <c r="O96" s="361"/>
      <c r="P96" s="359"/>
      <c r="Q96" s="279"/>
      <c r="R96" s="402"/>
      <c r="S96" s="402"/>
      <c r="T96" s="402"/>
      <c r="U96" s="402"/>
      <c r="V96" s="402"/>
      <c r="W96" s="402"/>
      <c r="X96" s="402"/>
      <c r="Y96" s="402"/>
      <c r="Z96" s="402"/>
      <c r="AA96" s="402"/>
      <c r="AB96" s="402"/>
      <c r="AC96" s="402"/>
    </row>
    <row r="97" s="15" customFormat="1" ht="29.55" spans="1:29">
      <c r="A97" s="332"/>
      <c r="B97" s="312" t="s">
        <v>1563</v>
      </c>
      <c r="C97" s="329" t="s">
        <v>1489</v>
      </c>
      <c r="D97" s="329" t="s">
        <v>1490</v>
      </c>
      <c r="E97" s="329" t="s">
        <v>1491</v>
      </c>
      <c r="F97" s="329" t="s">
        <v>1492</v>
      </c>
      <c r="G97" s="329" t="s">
        <v>1493</v>
      </c>
      <c r="H97" s="331"/>
      <c r="I97" s="331"/>
      <c r="J97" s="331"/>
      <c r="K97" s="331"/>
      <c r="L97" s="331"/>
      <c r="M97" s="383"/>
      <c r="N97" s="352"/>
      <c r="O97" s="352"/>
      <c r="P97" s="359"/>
      <c r="Q97" s="279"/>
      <c r="R97" s="402"/>
      <c r="S97" s="402"/>
      <c r="T97" s="402"/>
      <c r="U97" s="402"/>
      <c r="V97" s="402"/>
      <c r="W97" s="402"/>
      <c r="X97" s="402"/>
      <c r="Y97" s="402"/>
      <c r="Z97" s="402"/>
      <c r="AA97" s="402"/>
      <c r="AB97" s="402"/>
      <c r="AC97" s="402"/>
    </row>
    <row r="98" s="15" customFormat="1" ht="14.55" spans="1:29">
      <c r="A98" s="332"/>
      <c r="B98" s="314"/>
      <c r="C98" s="315">
        <v>100</v>
      </c>
      <c r="D98" s="315">
        <f>C98-$K25</f>
        <v>100</v>
      </c>
      <c r="E98" s="315">
        <f>D98-$K25</f>
        <v>100</v>
      </c>
      <c r="F98" s="315">
        <f>E98-$K25</f>
        <v>100</v>
      </c>
      <c r="G98" s="315">
        <f>F98-$K25</f>
        <v>100</v>
      </c>
      <c r="H98" s="315"/>
      <c r="I98" s="315"/>
      <c r="J98" s="315"/>
      <c r="K98" s="315"/>
      <c r="L98" s="315"/>
      <c r="M98" s="365"/>
      <c r="N98" s="361"/>
      <c r="O98" s="361"/>
      <c r="P98" s="359"/>
      <c r="Q98" s="279"/>
      <c r="R98" s="402"/>
      <c r="S98" s="402"/>
      <c r="T98" s="402"/>
      <c r="U98" s="402"/>
      <c r="V98" s="402"/>
      <c r="W98" s="402"/>
      <c r="X98" s="402"/>
      <c r="Y98" s="402"/>
      <c r="Z98" s="402"/>
      <c r="AA98" s="402"/>
      <c r="AB98" s="402"/>
      <c r="AC98" s="402"/>
    </row>
    <row r="99" s="17" customFormat="1" ht="15.15" spans="1:29">
      <c r="A99" s="319"/>
      <c r="B99" s="312" t="s">
        <v>1454</v>
      </c>
      <c r="C99" s="329" t="s">
        <v>1489</v>
      </c>
      <c r="D99" s="329" t="s">
        <v>1490</v>
      </c>
      <c r="E99" s="329" t="s">
        <v>1491</v>
      </c>
      <c r="F99" s="329" t="s">
        <v>1492</v>
      </c>
      <c r="G99" s="329" t="s">
        <v>1493</v>
      </c>
      <c r="H99" s="334"/>
      <c r="I99" s="334"/>
      <c r="J99" s="334"/>
      <c r="K99" s="334"/>
      <c r="L99" s="384"/>
      <c r="M99" s="385"/>
      <c r="N99" s="371"/>
      <c r="O99" s="371"/>
      <c r="P99" s="372"/>
      <c r="Q99" s="403"/>
      <c r="R99" s="404"/>
      <c r="S99" s="404"/>
      <c r="T99" s="404"/>
      <c r="U99" s="404"/>
      <c r="V99" s="404"/>
      <c r="W99" s="404"/>
      <c r="X99" s="404"/>
      <c r="Y99" s="404"/>
      <c r="Z99" s="404"/>
      <c r="AA99" s="404"/>
      <c r="AB99" s="404"/>
      <c r="AC99" s="404"/>
    </row>
    <row r="100" s="17" customFormat="1" ht="14.55" spans="1:29">
      <c r="A100" s="319"/>
      <c r="B100" s="314"/>
      <c r="C100" s="315">
        <v>100</v>
      </c>
      <c r="D100" s="315">
        <f>C100-$K27</f>
        <v>100</v>
      </c>
      <c r="E100" s="315">
        <f>D100-$K27</f>
        <v>100</v>
      </c>
      <c r="F100" s="315">
        <f>E100-$K27</f>
        <v>100</v>
      </c>
      <c r="G100" s="315">
        <f>F100-$K27</f>
        <v>100</v>
      </c>
      <c r="H100" s="335"/>
      <c r="I100" s="335"/>
      <c r="J100" s="335"/>
      <c r="K100" s="335"/>
      <c r="L100" s="335"/>
      <c r="M100" s="386"/>
      <c r="N100" s="371"/>
      <c r="O100" s="371"/>
      <c r="P100" s="372"/>
      <c r="Q100" s="403"/>
      <c r="R100" s="404"/>
      <c r="S100" s="404"/>
      <c r="T100" s="404"/>
      <c r="U100" s="404"/>
      <c r="V100" s="404"/>
      <c r="W100" s="404"/>
      <c r="X100" s="404"/>
      <c r="Y100" s="404"/>
      <c r="Z100" s="404"/>
      <c r="AA100" s="404"/>
      <c r="AB100" s="404"/>
      <c r="AC100" s="404"/>
    </row>
    <row r="101" s="17" customFormat="1" ht="15.15" spans="1:29">
      <c r="A101" s="319"/>
      <c r="B101" s="316" t="s">
        <v>1455</v>
      </c>
      <c r="C101" s="336" t="s">
        <v>1494</v>
      </c>
      <c r="D101" s="336" t="s">
        <v>1495</v>
      </c>
      <c r="E101" s="336" t="s">
        <v>1496</v>
      </c>
      <c r="F101" s="336" t="s">
        <v>1497</v>
      </c>
      <c r="G101" s="336" t="s">
        <v>1498</v>
      </c>
      <c r="H101" s="334"/>
      <c r="I101" s="334"/>
      <c r="J101" s="334"/>
      <c r="K101" s="334"/>
      <c r="L101" s="334"/>
      <c r="M101" s="387"/>
      <c r="N101" s="371"/>
      <c r="O101" s="371"/>
      <c r="P101" s="372"/>
      <c r="Q101" s="403"/>
      <c r="R101" s="404"/>
      <c r="S101" s="404"/>
      <c r="T101" s="404"/>
      <c r="U101" s="404"/>
      <c r="V101" s="404"/>
      <c r="W101" s="404"/>
      <c r="X101" s="404"/>
      <c r="Y101" s="404"/>
      <c r="Z101" s="404"/>
      <c r="AA101" s="404"/>
      <c r="AB101" s="404"/>
      <c r="AC101" s="404"/>
    </row>
    <row r="102" s="17" customFormat="1" ht="14.55" spans="1:29">
      <c r="A102" s="319"/>
      <c r="B102" s="316"/>
      <c r="C102" s="315">
        <v>100</v>
      </c>
      <c r="D102" s="315">
        <f>C102-$K29</f>
        <v>100</v>
      </c>
      <c r="E102" s="315">
        <f>D102-$K29</f>
        <v>100</v>
      </c>
      <c r="F102" s="315">
        <f>E102-$K29</f>
        <v>100</v>
      </c>
      <c r="G102" s="315">
        <f>F102-$K29</f>
        <v>100</v>
      </c>
      <c r="H102" s="318"/>
      <c r="I102" s="318"/>
      <c r="J102" s="318"/>
      <c r="K102" s="318"/>
      <c r="L102" s="318"/>
      <c r="M102" s="387"/>
      <c r="N102" s="371"/>
      <c r="O102" s="371"/>
      <c r="P102" s="372"/>
      <c r="Q102" s="403"/>
      <c r="R102" s="404"/>
      <c r="S102" s="404"/>
      <c r="T102" s="404"/>
      <c r="U102" s="404"/>
      <c r="V102" s="404"/>
      <c r="W102" s="404"/>
      <c r="X102" s="404"/>
      <c r="Y102" s="404"/>
      <c r="Z102" s="404"/>
      <c r="AA102" s="404"/>
      <c r="AB102" s="404"/>
      <c r="AC102" s="404"/>
    </row>
    <row r="103" ht="15.15" spans="1:29">
      <c r="A103" s="309"/>
      <c r="B103" s="312" t="str">
        <f>B31</f>
        <v>临街状况</v>
      </c>
      <c r="C103" s="313" t="s">
        <v>1597</v>
      </c>
      <c r="D103" s="313" t="s">
        <v>1598</v>
      </c>
      <c r="E103" s="313" t="s">
        <v>1599</v>
      </c>
      <c r="F103" s="313" t="s">
        <v>1600</v>
      </c>
      <c r="G103" s="313"/>
      <c r="H103" s="313"/>
      <c r="I103" s="313"/>
      <c r="J103" s="313"/>
      <c r="K103" s="362"/>
      <c r="L103" s="363"/>
      <c r="M103" s="364"/>
      <c r="N103" s="358"/>
      <c r="O103" s="358"/>
      <c r="P103" s="359"/>
      <c r="Q103" s="279"/>
      <c r="R103" s="145"/>
      <c r="S103" s="145"/>
      <c r="T103" s="145"/>
      <c r="U103" s="145"/>
      <c r="V103" s="145"/>
      <c r="W103" s="145"/>
      <c r="X103" s="145"/>
      <c r="Y103" s="145"/>
      <c r="Z103" s="145"/>
      <c r="AA103" s="145"/>
      <c r="AB103" s="145"/>
      <c r="AC103" s="145"/>
    </row>
    <row r="104" ht="14.55" spans="1:29">
      <c r="A104" s="309"/>
      <c r="B104" s="314"/>
      <c r="C104" s="315">
        <v>100</v>
      </c>
      <c r="D104" s="315">
        <f t="shared" ref="D104:M104" si="22">C104-$K31</f>
        <v>100</v>
      </c>
      <c r="E104" s="315">
        <f t="shared" si="22"/>
        <v>100</v>
      </c>
      <c r="F104" s="315">
        <f t="shared" si="22"/>
        <v>100</v>
      </c>
      <c r="G104" s="315">
        <f t="shared" si="22"/>
        <v>100</v>
      </c>
      <c r="H104" s="315">
        <f t="shared" si="22"/>
        <v>100</v>
      </c>
      <c r="I104" s="315">
        <f t="shared" si="22"/>
        <v>100</v>
      </c>
      <c r="J104" s="315">
        <f t="shared" si="22"/>
        <v>100</v>
      </c>
      <c r="K104" s="315">
        <f t="shared" si="22"/>
        <v>100</v>
      </c>
      <c r="L104" s="315">
        <f t="shared" si="22"/>
        <v>100</v>
      </c>
      <c r="M104" s="315">
        <f t="shared" si="22"/>
        <v>100</v>
      </c>
      <c r="N104" s="361"/>
      <c r="O104" s="361"/>
      <c r="P104" s="359"/>
      <c r="Q104" s="279"/>
      <c r="R104" s="145"/>
      <c r="S104" s="145"/>
      <c r="T104" s="145"/>
      <c r="U104" s="145"/>
      <c r="V104" s="145"/>
      <c r="W104" s="145"/>
      <c r="X104" s="145"/>
      <c r="Y104" s="145"/>
      <c r="Z104" s="145"/>
      <c r="AA104" s="145"/>
      <c r="AB104" s="145"/>
      <c r="AC104" s="145"/>
    </row>
    <row r="105" ht="29.55" spans="1:29">
      <c r="A105" s="309"/>
      <c r="B105" s="312" t="s">
        <v>1535</v>
      </c>
      <c r="C105" s="320"/>
      <c r="D105" s="320"/>
      <c r="E105" s="320"/>
      <c r="F105" s="320"/>
      <c r="G105" s="320"/>
      <c r="H105" s="337"/>
      <c r="I105" s="337"/>
      <c r="J105" s="337"/>
      <c r="K105" s="388"/>
      <c r="L105" s="389"/>
      <c r="M105" s="390"/>
      <c r="N105" s="358"/>
      <c r="O105" s="358"/>
      <c r="P105" s="359"/>
      <c r="Q105" s="279"/>
      <c r="R105" s="145"/>
      <c r="S105" s="145"/>
      <c r="T105" s="145"/>
      <c r="U105" s="145"/>
      <c r="V105" s="145"/>
      <c r="W105" s="145"/>
      <c r="X105" s="145"/>
      <c r="Y105" s="145"/>
      <c r="Z105" s="145"/>
      <c r="AA105" s="145"/>
      <c r="AB105" s="145"/>
      <c r="AC105" s="145"/>
    </row>
    <row r="106" ht="14.55" spans="1:29">
      <c r="A106" s="309"/>
      <c r="B106" s="314"/>
      <c r="C106" s="315">
        <v>100</v>
      </c>
      <c r="D106" s="315">
        <f t="shared" ref="D106:M106" si="23">C106-$K32</f>
        <v>100</v>
      </c>
      <c r="E106" s="315">
        <f t="shared" si="23"/>
        <v>100</v>
      </c>
      <c r="F106" s="315">
        <f t="shared" si="23"/>
        <v>100</v>
      </c>
      <c r="G106" s="315">
        <f t="shared" si="23"/>
        <v>100</v>
      </c>
      <c r="H106" s="315">
        <f t="shared" si="23"/>
        <v>100</v>
      </c>
      <c r="I106" s="315">
        <f t="shared" si="23"/>
        <v>100</v>
      </c>
      <c r="J106" s="315">
        <f t="shared" si="23"/>
        <v>100</v>
      </c>
      <c r="K106" s="315">
        <f t="shared" si="23"/>
        <v>100</v>
      </c>
      <c r="L106" s="315">
        <f t="shared" si="23"/>
        <v>100</v>
      </c>
      <c r="M106" s="315">
        <f t="shared" si="23"/>
        <v>100</v>
      </c>
      <c r="N106" s="361"/>
      <c r="O106" s="361"/>
      <c r="P106" s="359"/>
      <c r="Q106" s="279"/>
      <c r="R106" s="145"/>
      <c r="S106" s="145"/>
      <c r="T106" s="145"/>
      <c r="U106" s="145"/>
      <c r="V106" s="145"/>
      <c r="W106" s="145"/>
      <c r="X106" s="145"/>
      <c r="Y106" s="145"/>
      <c r="Z106" s="145"/>
      <c r="AA106" s="145"/>
      <c r="AB106" s="145"/>
      <c r="AC106" s="145"/>
    </row>
    <row r="107" ht="15.15" spans="1:29">
      <c r="A107" s="309"/>
      <c r="B107" s="312" t="s">
        <v>1564</v>
      </c>
      <c r="C107" s="337"/>
      <c r="D107" s="337"/>
      <c r="E107" s="337"/>
      <c r="F107" s="337"/>
      <c r="G107" s="337"/>
      <c r="H107" s="337"/>
      <c r="I107" s="337"/>
      <c r="J107" s="337"/>
      <c r="K107" s="388"/>
      <c r="L107" s="389"/>
      <c r="M107" s="390"/>
      <c r="N107" s="358"/>
      <c r="O107" s="358"/>
      <c r="P107" s="359"/>
      <c r="Q107" s="279"/>
      <c r="R107" s="145"/>
      <c r="S107" s="145"/>
      <c r="T107" s="145"/>
      <c r="U107" s="145"/>
      <c r="V107" s="145"/>
      <c r="W107" s="145"/>
      <c r="X107" s="145"/>
      <c r="Y107" s="145"/>
      <c r="Z107" s="145"/>
      <c r="AA107" s="145"/>
      <c r="AB107" s="145"/>
      <c r="AC107" s="145"/>
    </row>
    <row r="108" ht="14.55" spans="1:29">
      <c r="A108" s="309"/>
      <c r="B108" s="314"/>
      <c r="C108" s="315">
        <v>100</v>
      </c>
      <c r="D108" s="315">
        <f t="shared" ref="D108:M108" si="24">C108-$K34</f>
        <v>100</v>
      </c>
      <c r="E108" s="315">
        <f t="shared" si="24"/>
        <v>100</v>
      </c>
      <c r="F108" s="315">
        <f t="shared" si="24"/>
        <v>100</v>
      </c>
      <c r="G108" s="315">
        <f t="shared" si="24"/>
        <v>100</v>
      </c>
      <c r="H108" s="315">
        <f t="shared" si="24"/>
        <v>100</v>
      </c>
      <c r="I108" s="315">
        <f t="shared" si="24"/>
        <v>100</v>
      </c>
      <c r="J108" s="315">
        <f t="shared" si="24"/>
        <v>100</v>
      </c>
      <c r="K108" s="315">
        <f t="shared" si="24"/>
        <v>100</v>
      </c>
      <c r="L108" s="315">
        <f t="shared" si="24"/>
        <v>100</v>
      </c>
      <c r="M108" s="315">
        <f t="shared" si="24"/>
        <v>100</v>
      </c>
      <c r="N108" s="361"/>
      <c r="O108" s="361"/>
      <c r="P108" s="359"/>
      <c r="Q108" s="279"/>
      <c r="R108" s="145"/>
      <c r="S108" s="145"/>
      <c r="T108" s="145"/>
      <c r="U108" s="145"/>
      <c r="V108" s="145"/>
      <c r="W108" s="145"/>
      <c r="X108" s="145"/>
      <c r="Y108" s="145"/>
      <c r="Z108" s="145"/>
      <c r="AA108" s="145"/>
      <c r="AB108" s="145"/>
      <c r="AC108" s="145"/>
    </row>
    <row r="109" ht="14.55" spans="1:29">
      <c r="A109" s="309"/>
      <c r="B109" s="316">
        <f>B35</f>
        <v>111</v>
      </c>
      <c r="C109" s="320"/>
      <c r="D109" s="320"/>
      <c r="E109" s="320"/>
      <c r="F109" s="320"/>
      <c r="G109" s="339"/>
      <c r="H109" s="339"/>
      <c r="I109" s="339"/>
      <c r="J109" s="339"/>
      <c r="K109" s="391"/>
      <c r="L109" s="392"/>
      <c r="M109" s="393"/>
      <c r="N109" s="358"/>
      <c r="O109" s="358"/>
      <c r="P109" s="359"/>
      <c r="Q109" s="279"/>
      <c r="R109" s="145"/>
      <c r="S109" s="145"/>
      <c r="T109" s="145"/>
      <c r="U109" s="145"/>
      <c r="V109" s="145"/>
      <c r="W109" s="145"/>
      <c r="X109" s="145"/>
      <c r="Y109" s="145"/>
      <c r="Z109" s="145"/>
      <c r="AA109" s="145"/>
      <c r="AB109" s="145"/>
      <c r="AC109" s="145"/>
    </row>
    <row r="110" ht="14.55" spans="1:29">
      <c r="A110" s="309"/>
      <c r="B110" s="326"/>
      <c r="C110" s="322"/>
      <c r="D110" s="322"/>
      <c r="E110" s="322"/>
      <c r="F110" s="322"/>
      <c r="G110" s="340"/>
      <c r="H110" s="340"/>
      <c r="I110" s="340"/>
      <c r="J110" s="340"/>
      <c r="K110" s="340"/>
      <c r="L110" s="340"/>
      <c r="M110" s="394"/>
      <c r="N110" s="361"/>
      <c r="O110" s="361"/>
      <c r="P110" s="359"/>
      <c r="Q110" s="279"/>
      <c r="R110" s="145"/>
      <c r="S110" s="145"/>
      <c r="T110" s="145"/>
      <c r="U110" s="145"/>
      <c r="V110" s="145"/>
      <c r="W110" s="145"/>
      <c r="X110" s="145"/>
      <c r="Y110" s="145"/>
      <c r="Z110" s="145"/>
      <c r="AA110" s="145"/>
      <c r="AB110" s="145"/>
      <c r="AC110" s="145"/>
    </row>
    <row r="111" ht="14.55" spans="1:29">
      <c r="A111" s="111"/>
      <c r="B111" s="312">
        <f>B36</f>
        <v>111</v>
      </c>
      <c r="C111" s="304"/>
      <c r="D111" s="304"/>
      <c r="E111" s="304"/>
      <c r="F111" s="304"/>
      <c r="G111" s="337"/>
      <c r="H111" s="337"/>
      <c r="I111" s="337"/>
      <c r="J111" s="337"/>
      <c r="K111" s="388"/>
      <c r="L111" s="389"/>
      <c r="M111" s="390"/>
      <c r="N111" s="358"/>
      <c r="O111" s="358"/>
      <c r="P111" s="359"/>
      <c r="Q111" s="279"/>
      <c r="R111" s="145"/>
      <c r="S111" s="145"/>
      <c r="T111" s="145"/>
      <c r="U111" s="145"/>
      <c r="V111" s="145"/>
      <c r="W111" s="145"/>
      <c r="X111" s="145"/>
      <c r="Y111" s="145"/>
      <c r="Z111" s="145"/>
      <c r="AA111" s="145"/>
      <c r="AB111" s="145"/>
      <c r="AC111" s="145"/>
    </row>
    <row r="112" ht="14.55" spans="1:29">
      <c r="A112" s="309"/>
      <c r="B112" s="314"/>
      <c r="C112" s="327"/>
      <c r="D112" s="327"/>
      <c r="E112" s="327"/>
      <c r="F112" s="327"/>
      <c r="G112" s="311"/>
      <c r="H112" s="311"/>
      <c r="I112" s="311"/>
      <c r="J112" s="311"/>
      <c r="K112" s="311"/>
      <c r="L112" s="311"/>
      <c r="M112" s="360"/>
      <c r="N112" s="361"/>
      <c r="O112" s="361"/>
      <c r="P112" s="359"/>
      <c r="Q112" s="279"/>
      <c r="R112" s="145"/>
      <c r="S112" s="145"/>
      <c r="T112" s="145"/>
      <c r="U112" s="145"/>
      <c r="V112" s="145"/>
      <c r="W112" s="145"/>
      <c r="X112" s="145"/>
      <c r="Y112" s="145"/>
      <c r="Z112" s="145"/>
      <c r="AA112" s="145"/>
      <c r="AB112" s="145"/>
      <c r="AC112" s="145"/>
    </row>
    <row r="113" s="17" customFormat="1" ht="14.55" spans="1:29">
      <c r="A113" s="341"/>
      <c r="B113" s="342">
        <f>B37</f>
        <v>111</v>
      </c>
      <c r="C113" s="296"/>
      <c r="D113" s="296"/>
      <c r="E113" s="296"/>
      <c r="F113" s="296"/>
      <c r="G113" s="296"/>
      <c r="H113" s="296"/>
      <c r="I113" s="296"/>
      <c r="J113" s="395"/>
      <c r="K113" s="395"/>
      <c r="L113" s="396"/>
      <c r="M113" s="397"/>
      <c r="N113" s="371"/>
      <c r="O113" s="371"/>
      <c r="P113" s="372"/>
      <c r="Q113" s="403"/>
      <c r="R113" s="404"/>
      <c r="S113" s="404"/>
      <c r="T113" s="404"/>
      <c r="U113" s="404"/>
      <c r="V113" s="404"/>
      <c r="W113" s="404"/>
      <c r="X113" s="404"/>
      <c r="Y113" s="404"/>
      <c r="Z113" s="404"/>
      <c r="AA113" s="404"/>
      <c r="AB113" s="404"/>
      <c r="AC113" s="404"/>
    </row>
    <row r="114" s="17" customFormat="1" ht="14.55" spans="1:29">
      <c r="A114" s="319"/>
      <c r="B114" s="316"/>
      <c r="C114" s="306"/>
      <c r="D114" s="343"/>
      <c r="E114" s="343"/>
      <c r="F114" s="343"/>
      <c r="G114" s="343"/>
      <c r="H114" s="343"/>
      <c r="I114" s="343"/>
      <c r="J114" s="343"/>
      <c r="K114" s="343"/>
      <c r="L114" s="343"/>
      <c r="M114" s="398"/>
      <c r="N114" s="361"/>
      <c r="O114" s="361"/>
      <c r="P114" s="372"/>
      <c r="Q114" s="403"/>
      <c r="R114" s="404"/>
      <c r="S114" s="404"/>
      <c r="T114" s="404"/>
      <c r="U114" s="404"/>
      <c r="V114" s="404"/>
      <c r="W114" s="404"/>
      <c r="X114" s="404"/>
      <c r="Y114" s="404"/>
      <c r="Z114" s="404"/>
      <c r="AA114" s="404"/>
      <c r="AB114" s="404"/>
      <c r="AC114" s="404"/>
    </row>
    <row r="115" ht="14.4" spans="1:29">
      <c r="A115" s="307" t="s">
        <v>1459</v>
      </c>
      <c r="B115" s="308" t="s">
        <v>1565</v>
      </c>
      <c r="C115" s="330" t="str">
        <f>C116&amp;"(含)"&amp;"-"&amp;D116</f>
        <v>(含)-</v>
      </c>
      <c r="D115" s="330" t="str">
        <f t="shared" ref="D115:M115" si="25">D116&amp;"(含)"&amp;"-"&amp;E116</f>
        <v>(含)-</v>
      </c>
      <c r="E115" s="330" t="str">
        <f t="shared" si="25"/>
        <v>(含)-</v>
      </c>
      <c r="F115" s="330" t="str">
        <f t="shared" si="25"/>
        <v>(含)-</v>
      </c>
      <c r="G115" s="330" t="str">
        <f t="shared" si="25"/>
        <v>(含)-</v>
      </c>
      <c r="H115" s="330" t="str">
        <f t="shared" si="25"/>
        <v>(含)-</v>
      </c>
      <c r="I115" s="330" t="str">
        <f t="shared" si="25"/>
        <v>(含)-</v>
      </c>
      <c r="J115" s="330" t="str">
        <f t="shared" si="25"/>
        <v>(含)-</v>
      </c>
      <c r="K115" s="330" t="str">
        <f t="shared" si="25"/>
        <v>(含)-</v>
      </c>
      <c r="L115" s="330" t="str">
        <f t="shared" si="25"/>
        <v>(含)-</v>
      </c>
      <c r="M115" s="330" t="str">
        <f t="shared" si="25"/>
        <v>(含)-</v>
      </c>
      <c r="N115" s="358"/>
      <c r="O115" s="358"/>
      <c r="P115" s="359"/>
      <c r="Q115" s="279"/>
      <c r="R115" s="145"/>
      <c r="S115" s="145"/>
      <c r="T115" s="145"/>
      <c r="U115" s="145"/>
      <c r="V115" s="145"/>
      <c r="W115" s="145"/>
      <c r="X115" s="145"/>
      <c r="Y115" s="145"/>
      <c r="Z115" s="145"/>
      <c r="AA115" s="145"/>
      <c r="AB115" s="145"/>
      <c r="AC115" s="145"/>
    </row>
    <row r="116" spans="1:29">
      <c r="A116" s="309"/>
      <c r="B116" s="316"/>
      <c r="C116" s="296"/>
      <c r="D116" s="296"/>
      <c r="E116" s="296"/>
      <c r="F116" s="296"/>
      <c r="G116" s="296"/>
      <c r="H116" s="296"/>
      <c r="I116" s="296"/>
      <c r="J116" s="395"/>
      <c r="K116" s="395"/>
      <c r="L116" s="396"/>
      <c r="M116" s="397"/>
      <c r="N116" s="358"/>
      <c r="O116" s="358"/>
      <c r="P116" s="359"/>
      <c r="Q116" s="279"/>
      <c r="R116" s="145"/>
      <c r="S116" s="145"/>
      <c r="T116" s="145"/>
      <c r="U116" s="145"/>
      <c r="V116" s="145"/>
      <c r="W116" s="145"/>
      <c r="X116" s="145"/>
      <c r="Y116" s="145"/>
      <c r="Z116" s="145"/>
      <c r="AA116" s="145"/>
      <c r="AB116" s="145"/>
      <c r="AC116" s="145"/>
    </row>
    <row r="117" ht="14.55" spans="1:29">
      <c r="A117" s="309"/>
      <c r="B117" s="314"/>
      <c r="C117" s="327"/>
      <c r="D117" s="340"/>
      <c r="E117" s="340"/>
      <c r="F117" s="340"/>
      <c r="G117" s="340"/>
      <c r="H117" s="340"/>
      <c r="I117" s="340"/>
      <c r="J117" s="340"/>
      <c r="K117" s="340"/>
      <c r="L117" s="340"/>
      <c r="M117" s="394"/>
      <c r="N117" s="361"/>
      <c r="O117" s="361"/>
      <c r="P117" s="359"/>
      <c r="Q117" s="279"/>
      <c r="R117" s="145"/>
      <c r="S117" s="145"/>
      <c r="T117" s="145"/>
      <c r="U117" s="145"/>
      <c r="V117" s="145"/>
      <c r="W117" s="145"/>
      <c r="X117" s="145"/>
      <c r="Y117" s="145"/>
      <c r="Z117" s="145"/>
      <c r="AA117" s="145"/>
      <c r="AB117" s="145"/>
      <c r="AC117" s="145"/>
    </row>
    <row r="118" ht="15.15" spans="1:29">
      <c r="A118" s="344"/>
      <c r="B118" s="312" t="s">
        <v>1566</v>
      </c>
      <c r="C118" s="337"/>
      <c r="D118" s="337"/>
      <c r="E118" s="337"/>
      <c r="F118" s="337"/>
      <c r="G118" s="337"/>
      <c r="H118" s="337"/>
      <c r="I118" s="337"/>
      <c r="J118" s="337"/>
      <c r="K118" s="388"/>
      <c r="L118" s="389"/>
      <c r="M118" s="390"/>
      <c r="N118" s="358"/>
      <c r="O118" s="358"/>
      <c r="P118" s="359"/>
      <c r="Q118" s="279"/>
      <c r="R118" s="145"/>
      <c r="S118" s="145"/>
      <c r="T118" s="145"/>
      <c r="U118" s="145"/>
      <c r="V118" s="145"/>
      <c r="W118" s="145"/>
      <c r="X118" s="145"/>
      <c r="Y118" s="145"/>
      <c r="Z118" s="145"/>
      <c r="AA118" s="145"/>
      <c r="AB118" s="145"/>
      <c r="AC118" s="145"/>
    </row>
    <row r="119" ht="14.55" spans="1:29">
      <c r="A119" s="309"/>
      <c r="B119" s="314"/>
      <c r="C119" s="315">
        <v>100</v>
      </c>
      <c r="D119" s="315">
        <f t="shared" ref="D119:M119" si="26">C119-$K39</f>
        <v>100</v>
      </c>
      <c r="E119" s="315">
        <f t="shared" si="26"/>
        <v>100</v>
      </c>
      <c r="F119" s="315">
        <f t="shared" si="26"/>
        <v>100</v>
      </c>
      <c r="G119" s="315">
        <f t="shared" si="26"/>
        <v>100</v>
      </c>
      <c r="H119" s="315">
        <f t="shared" si="26"/>
        <v>100</v>
      </c>
      <c r="I119" s="315">
        <f t="shared" si="26"/>
        <v>100</v>
      </c>
      <c r="J119" s="315">
        <f t="shared" si="26"/>
        <v>100</v>
      </c>
      <c r="K119" s="315">
        <f t="shared" si="26"/>
        <v>100</v>
      </c>
      <c r="L119" s="315">
        <f t="shared" si="26"/>
        <v>100</v>
      </c>
      <c r="M119" s="365">
        <f t="shared" si="26"/>
        <v>100</v>
      </c>
      <c r="N119" s="361"/>
      <c r="O119" s="361"/>
      <c r="P119" s="359"/>
      <c r="Q119" s="279"/>
      <c r="R119" s="145"/>
      <c r="S119" s="145"/>
      <c r="T119" s="145"/>
      <c r="U119" s="145"/>
      <c r="V119" s="145"/>
      <c r="W119" s="145"/>
      <c r="X119" s="145"/>
      <c r="Y119" s="145"/>
      <c r="Z119" s="145"/>
      <c r="AA119" s="145"/>
      <c r="AB119" s="145"/>
      <c r="AC119" s="145"/>
    </row>
    <row r="120" ht="15.15" spans="1:29">
      <c r="A120" s="344"/>
      <c r="B120" s="312" t="s">
        <v>1567</v>
      </c>
      <c r="C120" s="320"/>
      <c r="D120" s="320"/>
      <c r="E120" s="320"/>
      <c r="F120" s="337"/>
      <c r="G120" s="337"/>
      <c r="H120" s="337"/>
      <c r="I120" s="337"/>
      <c r="J120" s="337"/>
      <c r="K120" s="388"/>
      <c r="L120" s="389"/>
      <c r="M120" s="390"/>
      <c r="N120" s="358"/>
      <c r="O120" s="358"/>
      <c r="P120" s="359"/>
      <c r="Q120" s="279"/>
      <c r="R120" s="145"/>
      <c r="S120" s="145"/>
      <c r="T120" s="145"/>
      <c r="U120" s="145"/>
      <c r="V120" s="145"/>
      <c r="W120" s="145"/>
      <c r="X120" s="145"/>
      <c r="Y120" s="145"/>
      <c r="Z120" s="145"/>
      <c r="AA120" s="145"/>
      <c r="AB120" s="145"/>
      <c r="AC120" s="145"/>
    </row>
    <row r="121" ht="14.55" spans="1:29">
      <c r="A121" s="309"/>
      <c r="B121" s="314"/>
      <c r="C121" s="315">
        <v>100</v>
      </c>
      <c r="D121" s="315">
        <f t="shared" ref="D121:M121" si="27">C121-$K40</f>
        <v>100</v>
      </c>
      <c r="E121" s="315">
        <f t="shared" si="27"/>
        <v>100</v>
      </c>
      <c r="F121" s="315">
        <f t="shared" si="27"/>
        <v>100</v>
      </c>
      <c r="G121" s="315">
        <f t="shared" si="27"/>
        <v>100</v>
      </c>
      <c r="H121" s="315">
        <f t="shared" si="27"/>
        <v>100</v>
      </c>
      <c r="I121" s="315">
        <f t="shared" si="27"/>
        <v>100</v>
      </c>
      <c r="J121" s="315">
        <f t="shared" si="27"/>
        <v>100</v>
      </c>
      <c r="K121" s="315">
        <f t="shared" si="27"/>
        <v>100</v>
      </c>
      <c r="L121" s="315">
        <f t="shared" si="27"/>
        <v>100</v>
      </c>
      <c r="M121" s="365">
        <f t="shared" si="27"/>
        <v>100</v>
      </c>
      <c r="N121" s="361"/>
      <c r="O121" s="361"/>
      <c r="P121" s="359"/>
      <c r="Q121" s="279"/>
      <c r="R121" s="145"/>
      <c r="S121" s="145"/>
      <c r="T121" s="145"/>
      <c r="U121" s="145"/>
      <c r="V121" s="145"/>
      <c r="W121" s="145"/>
      <c r="X121" s="145"/>
      <c r="Y121" s="145"/>
      <c r="Z121" s="145"/>
      <c r="AA121" s="145"/>
      <c r="AB121" s="145"/>
      <c r="AC121" s="145"/>
    </row>
    <row r="122" s="17" customFormat="1" ht="15.15" spans="1:29">
      <c r="A122" s="341"/>
      <c r="B122" s="312" t="s">
        <v>1568</v>
      </c>
      <c r="C122" s="320"/>
      <c r="D122" s="320"/>
      <c r="E122" s="320"/>
      <c r="F122" s="320"/>
      <c r="G122" s="320"/>
      <c r="H122" s="337"/>
      <c r="I122" s="337"/>
      <c r="J122" s="337"/>
      <c r="K122" s="388"/>
      <c r="L122" s="389"/>
      <c r="M122" s="390"/>
      <c r="N122" s="371"/>
      <c r="O122" s="371"/>
      <c r="P122" s="372"/>
      <c r="Q122" s="403"/>
      <c r="R122" s="404"/>
      <c r="S122" s="404"/>
      <c r="T122" s="404"/>
      <c r="U122" s="404"/>
      <c r="V122" s="404"/>
      <c r="W122" s="404"/>
      <c r="X122" s="404"/>
      <c r="Y122" s="404"/>
      <c r="Z122" s="404"/>
      <c r="AA122" s="404"/>
      <c r="AB122" s="404"/>
      <c r="AC122" s="404"/>
    </row>
    <row r="123" s="17" customFormat="1" ht="14.55" spans="1:29">
      <c r="A123" s="319"/>
      <c r="B123" s="314"/>
      <c r="C123" s="315">
        <v>100</v>
      </c>
      <c r="D123" s="315">
        <f t="shared" ref="D123:M123" si="28">C123-$K41</f>
        <v>100</v>
      </c>
      <c r="E123" s="315">
        <f t="shared" si="28"/>
        <v>100</v>
      </c>
      <c r="F123" s="315">
        <f t="shared" si="28"/>
        <v>100</v>
      </c>
      <c r="G123" s="315">
        <f t="shared" si="28"/>
        <v>100</v>
      </c>
      <c r="H123" s="315">
        <f t="shared" si="28"/>
        <v>100</v>
      </c>
      <c r="I123" s="315">
        <f t="shared" si="28"/>
        <v>100</v>
      </c>
      <c r="J123" s="315">
        <f t="shared" si="28"/>
        <v>100</v>
      </c>
      <c r="K123" s="315">
        <f t="shared" si="28"/>
        <v>100</v>
      </c>
      <c r="L123" s="315">
        <f t="shared" si="28"/>
        <v>100</v>
      </c>
      <c r="M123" s="365">
        <f t="shared" si="28"/>
        <v>100</v>
      </c>
      <c r="N123" s="371"/>
      <c r="O123" s="371"/>
      <c r="P123" s="372"/>
      <c r="Q123" s="403"/>
      <c r="R123" s="404"/>
      <c r="S123" s="404"/>
      <c r="T123" s="404"/>
      <c r="U123" s="404"/>
      <c r="V123" s="404"/>
      <c r="W123" s="404"/>
      <c r="X123" s="404"/>
      <c r="Y123" s="404"/>
      <c r="Z123" s="404"/>
      <c r="AA123" s="404"/>
      <c r="AB123" s="404"/>
      <c r="AC123" s="404"/>
    </row>
    <row r="124" ht="15.15" spans="1:29">
      <c r="A124" s="344"/>
      <c r="B124" s="312" t="s">
        <v>1569</v>
      </c>
      <c r="C124" s="320"/>
      <c r="D124" s="320"/>
      <c r="E124" s="337"/>
      <c r="F124" s="337"/>
      <c r="G124" s="337"/>
      <c r="H124" s="337"/>
      <c r="I124" s="337"/>
      <c r="J124" s="337"/>
      <c r="K124" s="388"/>
      <c r="L124" s="389"/>
      <c r="M124" s="390"/>
      <c r="N124" s="358"/>
      <c r="O124" s="358"/>
      <c r="P124" s="359"/>
      <c r="Q124" s="279"/>
      <c r="R124" s="145"/>
      <c r="S124" s="145"/>
      <c r="T124" s="145"/>
      <c r="U124" s="145"/>
      <c r="V124" s="145"/>
      <c r="W124" s="145"/>
      <c r="X124" s="145"/>
      <c r="Y124" s="145"/>
      <c r="Z124" s="145"/>
      <c r="AA124" s="145"/>
      <c r="AB124" s="145"/>
      <c r="AC124" s="145"/>
    </row>
    <row r="125" ht="14.55" spans="1:29">
      <c r="A125" s="309"/>
      <c r="B125" s="314"/>
      <c r="C125" s="315">
        <v>100</v>
      </c>
      <c r="D125" s="315">
        <f t="shared" ref="D125:M125" si="29">C125-$K42</f>
        <v>100</v>
      </c>
      <c r="E125" s="315">
        <f t="shared" si="29"/>
        <v>100</v>
      </c>
      <c r="F125" s="315">
        <f t="shared" si="29"/>
        <v>100</v>
      </c>
      <c r="G125" s="315">
        <f t="shared" si="29"/>
        <v>100</v>
      </c>
      <c r="H125" s="315">
        <f t="shared" si="29"/>
        <v>100</v>
      </c>
      <c r="I125" s="315">
        <f t="shared" si="29"/>
        <v>100</v>
      </c>
      <c r="J125" s="315">
        <f t="shared" si="29"/>
        <v>100</v>
      </c>
      <c r="K125" s="315">
        <f t="shared" si="29"/>
        <v>100</v>
      </c>
      <c r="L125" s="315">
        <f t="shared" si="29"/>
        <v>100</v>
      </c>
      <c r="M125" s="365">
        <f t="shared" si="29"/>
        <v>100</v>
      </c>
      <c r="N125" s="361"/>
      <c r="O125" s="361"/>
      <c r="P125" s="359"/>
      <c r="Q125" s="279"/>
      <c r="R125" s="145"/>
      <c r="S125" s="145"/>
      <c r="T125" s="145"/>
      <c r="U125" s="145"/>
      <c r="V125" s="145"/>
      <c r="W125" s="145"/>
      <c r="X125" s="145"/>
      <c r="Y125" s="145"/>
      <c r="Z125" s="145"/>
      <c r="AA125" s="145"/>
      <c r="AB125" s="145"/>
      <c r="AC125" s="145"/>
    </row>
    <row r="126" ht="14.55" spans="1:29">
      <c r="A126" s="344"/>
      <c r="B126" s="312">
        <f>B43</f>
        <v>111</v>
      </c>
      <c r="C126" s="320"/>
      <c r="D126" s="320"/>
      <c r="E126" s="320"/>
      <c r="F126" s="320"/>
      <c r="G126" s="320"/>
      <c r="H126" s="337"/>
      <c r="I126" s="337"/>
      <c r="J126" s="337"/>
      <c r="K126" s="388"/>
      <c r="L126" s="389"/>
      <c r="M126" s="390"/>
      <c r="N126" s="358"/>
      <c r="O126" s="358"/>
      <c r="P126" s="359"/>
      <c r="Q126" s="279"/>
      <c r="R126" s="145"/>
      <c r="S126" s="145"/>
      <c r="T126" s="145"/>
      <c r="U126" s="145"/>
      <c r="V126" s="145"/>
      <c r="W126" s="145"/>
      <c r="X126" s="145"/>
      <c r="Y126" s="145"/>
      <c r="Z126" s="145"/>
      <c r="AA126" s="145"/>
      <c r="AB126" s="145"/>
      <c r="AC126" s="145"/>
    </row>
    <row r="127" ht="14.55" spans="1:29">
      <c r="A127" s="309"/>
      <c r="B127" s="314"/>
      <c r="C127" s="322"/>
      <c r="D127" s="322"/>
      <c r="E127" s="322"/>
      <c r="F127" s="322"/>
      <c r="G127" s="311"/>
      <c r="H127" s="311"/>
      <c r="I127" s="311"/>
      <c r="J127" s="311"/>
      <c r="K127" s="311"/>
      <c r="L127" s="311"/>
      <c r="M127" s="360"/>
      <c r="N127" s="361"/>
      <c r="O127" s="361"/>
      <c r="P127" s="359"/>
      <c r="Q127" s="279"/>
      <c r="R127" s="145"/>
      <c r="S127" s="145"/>
      <c r="T127" s="145"/>
      <c r="U127" s="145"/>
      <c r="V127" s="145"/>
      <c r="W127" s="145"/>
      <c r="X127" s="145"/>
      <c r="Y127" s="145"/>
      <c r="Z127" s="145"/>
      <c r="AA127" s="145"/>
      <c r="AB127" s="145"/>
      <c r="AC127" s="145"/>
    </row>
    <row r="128" ht="14.55" spans="1:29">
      <c r="A128" s="344"/>
      <c r="B128" s="312">
        <f>B44</f>
        <v>111</v>
      </c>
      <c r="C128" s="304"/>
      <c r="D128" s="304"/>
      <c r="E128" s="304"/>
      <c r="F128" s="304"/>
      <c r="G128" s="337"/>
      <c r="H128" s="337"/>
      <c r="I128" s="337"/>
      <c r="J128" s="337"/>
      <c r="K128" s="388"/>
      <c r="L128" s="389"/>
      <c r="M128" s="390"/>
      <c r="N128" s="358"/>
      <c r="O128" s="358"/>
      <c r="P128" s="359"/>
      <c r="Q128" s="279"/>
      <c r="R128" s="145"/>
      <c r="S128" s="145"/>
      <c r="T128" s="145"/>
      <c r="U128" s="145"/>
      <c r="V128" s="145"/>
      <c r="W128" s="145"/>
      <c r="X128" s="145"/>
      <c r="Y128" s="145"/>
      <c r="Z128" s="145"/>
      <c r="AA128" s="145"/>
      <c r="AB128" s="145"/>
      <c r="AC128" s="145"/>
    </row>
    <row r="129" ht="14.55" spans="1:29">
      <c r="A129" s="309"/>
      <c r="B129" s="314"/>
      <c r="C129" s="327"/>
      <c r="D129" s="327"/>
      <c r="E129" s="327"/>
      <c r="F129" s="327"/>
      <c r="G129" s="311"/>
      <c r="H129" s="311"/>
      <c r="I129" s="311"/>
      <c r="J129" s="311"/>
      <c r="K129" s="311"/>
      <c r="L129" s="311"/>
      <c r="M129" s="360"/>
      <c r="N129" s="361"/>
      <c r="O129" s="361"/>
      <c r="P129" s="359"/>
      <c r="Q129" s="279"/>
      <c r="R129" s="145"/>
      <c r="S129" s="145"/>
      <c r="T129" s="145"/>
      <c r="U129" s="145"/>
      <c r="V129" s="145"/>
      <c r="W129" s="145"/>
      <c r="X129" s="145"/>
      <c r="Y129" s="145"/>
      <c r="Z129" s="145"/>
      <c r="AA129" s="145"/>
      <c r="AB129" s="145"/>
      <c r="AC129" s="145"/>
    </row>
    <row r="130" s="17" customFormat="1" ht="14.55" spans="1:29">
      <c r="A130" s="341"/>
      <c r="B130" s="312">
        <f>B45</f>
        <v>111</v>
      </c>
      <c r="C130" s="304"/>
      <c r="D130" s="304"/>
      <c r="E130" s="304"/>
      <c r="F130" s="304"/>
      <c r="G130" s="321"/>
      <c r="H130" s="321"/>
      <c r="I130" s="321"/>
      <c r="J130" s="321"/>
      <c r="K130" s="321"/>
      <c r="L130" s="369"/>
      <c r="M130" s="370"/>
      <c r="N130" s="371"/>
      <c r="O130" s="371"/>
      <c r="P130" s="372"/>
      <c r="Q130" s="403"/>
      <c r="R130" s="404"/>
      <c r="S130" s="404"/>
      <c r="T130" s="404"/>
      <c r="U130" s="404"/>
      <c r="V130" s="404"/>
      <c r="W130" s="404"/>
      <c r="X130" s="404"/>
      <c r="Y130" s="404"/>
      <c r="Z130" s="404"/>
      <c r="AA130" s="404"/>
      <c r="AB130" s="404"/>
      <c r="AC130" s="404"/>
    </row>
    <row r="131" s="17" customFormat="1" ht="14.55" spans="1:29">
      <c r="A131" s="325"/>
      <c r="B131" s="346"/>
      <c r="C131" s="327"/>
      <c r="D131" s="327"/>
      <c r="E131" s="327"/>
      <c r="F131" s="327"/>
      <c r="G131" s="340"/>
      <c r="H131" s="340"/>
      <c r="I131" s="340"/>
      <c r="J131" s="340"/>
      <c r="K131" s="340"/>
      <c r="L131" s="340"/>
      <c r="M131" s="394"/>
      <c r="N131" s="371"/>
      <c r="O131" s="371"/>
      <c r="P131" s="372"/>
      <c r="Q131" s="403"/>
      <c r="R131" s="404"/>
      <c r="S131" s="404"/>
      <c r="T131" s="404"/>
      <c r="U131" s="404"/>
      <c r="V131" s="404"/>
      <c r="W131" s="404"/>
      <c r="X131" s="404"/>
      <c r="Y131" s="404"/>
      <c r="Z131" s="404"/>
      <c r="AA131" s="404"/>
      <c r="AB131" s="404"/>
      <c r="AC131" s="404"/>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55">
      <formula1>"北京市系数,其他省市系数"</formula1>
    </dataValidation>
    <dataValidation type="list" allowBlank="1" showInputMessage="1" showErrorMessage="1" sqref="C9 E9 G9 I9">
      <formula1>套综用途</formula1>
    </dataValidation>
    <dataValidation type="list" allowBlank="1" showInputMessage="1" showErrorMessage="1" sqref="C24 E24 G24 I24">
      <formula1>区域土地利用方向</formula1>
    </dataValidation>
    <dataValidation type="list" allowBlank="1" showInputMessage="1" showErrorMessage="1" sqref="C39 E39 G39 I39">
      <formula1>套综宗地形状</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41 E41 G41 I41">
      <formula1>套综宗地内开发程度</formula1>
    </dataValidation>
    <dataValidation type="list" allowBlank="1" showInputMessage="1" showErrorMessage="1" sqref="C20 E20 G20 I20">
      <formula1>办公集聚程度</formula1>
    </dataValidation>
    <dataValidation type="list" allowBlank="1" showInputMessage="1" showErrorMessage="1" sqref="C26 E26 G26 I26">
      <formula1>环境</formula1>
    </dataValidation>
    <dataValidation type="list" allowBlank="1" showInputMessage="1" showErrorMessage="1" sqref="C25">
      <formula1>住宅朝向</formula1>
    </dataValidation>
    <dataValidation type="list" allowBlank="1" showInputMessage="1" showErrorMessage="1" sqref="C22 E22 G22 I22">
      <formula1>交通便捷度</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40 E40 G40 I40">
      <formula1>套综临街宽度及深度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Normal="60" workbookViewId="0">
      <selection activeCell="I41" sqref="I41"/>
    </sheetView>
  </sheetViews>
  <sheetFormatPr defaultColWidth="9" defaultRowHeight="13.8"/>
  <cols>
    <col min="1" max="1" width="14.3333333333333" style="21" customWidth="1"/>
    <col min="2" max="2" width="15.7777777777778" style="21" customWidth="1"/>
    <col min="3" max="3" width="14.3333333333333" style="21" customWidth="1"/>
    <col min="4" max="4" width="12.2222222222222" style="21" customWidth="1"/>
    <col min="5" max="5" width="14.3333333333333" style="21" customWidth="1"/>
    <col min="6" max="6" width="12.2222222222222" style="21" customWidth="1"/>
    <col min="7" max="7" width="14.4444444444444" style="21" customWidth="1"/>
    <col min="8" max="8" width="12.2222222222222" style="21" customWidth="1"/>
    <col min="9" max="9" width="14.4444444444444" style="21" customWidth="1"/>
    <col min="10" max="10" width="12.2222222222222" style="21" customWidth="1"/>
    <col min="11" max="11" width="12.2222222222222" style="22" customWidth="1"/>
    <col min="12" max="12" width="12.2222222222222" style="23" customWidth="1"/>
    <col min="13" max="15" width="12.2222222222222" style="21" customWidth="1"/>
    <col min="16" max="16" width="4.77777777777778" style="21" customWidth="1"/>
    <col min="17" max="17" width="19.4444444444444" style="21" customWidth="1"/>
    <col min="18" max="22" width="6.11111111111111" style="21" customWidth="1"/>
    <col min="23" max="23" width="5.77777777777778" style="21" customWidth="1"/>
    <col min="24" max="24" width="4.22222222222222" style="21" customWidth="1"/>
    <col min="25" max="25" width="3.44444444444444" style="21" customWidth="1"/>
    <col min="26" max="26" width="19.7777777777778" style="21" customWidth="1"/>
    <col min="27" max="28" width="9.33333333333333" style="21" customWidth="1"/>
    <col min="29" max="16384" width="9" style="21"/>
  </cols>
  <sheetData>
    <row r="1" s="14" customFormat="1" ht="28.5" customHeight="1" spans="1:29">
      <c r="A1" s="24" t="s">
        <v>1559</v>
      </c>
      <c r="B1" s="25"/>
      <c r="C1" s="26" t="s">
        <v>1539</v>
      </c>
      <c r="D1" s="27"/>
      <c r="E1" s="27"/>
      <c r="F1" s="28" t="s">
        <v>1423</v>
      </c>
      <c r="G1" s="27"/>
      <c r="H1" s="27"/>
      <c r="I1" s="27"/>
      <c r="J1" s="27"/>
      <c r="K1" s="196"/>
      <c r="L1" s="197"/>
      <c r="M1" s="198"/>
      <c r="N1" s="198"/>
      <c r="O1" s="198"/>
      <c r="P1" s="199"/>
      <c r="Q1" s="199"/>
      <c r="R1" s="199"/>
      <c r="S1" s="199"/>
      <c r="T1" s="199"/>
      <c r="U1" s="199"/>
      <c r="V1" s="199"/>
      <c r="W1" s="199"/>
      <c r="X1" s="199"/>
      <c r="Y1" s="199"/>
      <c r="Z1" s="199"/>
      <c r="AA1" s="199"/>
      <c r="AB1" s="199"/>
      <c r="AC1" s="280"/>
    </row>
    <row r="2" s="14" customFormat="1" ht="28.5" customHeight="1" spans="1:29">
      <c r="A2" s="29" t="s">
        <v>937</v>
      </c>
      <c r="B2" s="30">
        <f>F61</f>
        <v>5920</v>
      </c>
      <c r="C2" s="31"/>
      <c r="D2" s="31"/>
      <c r="E2" s="31"/>
      <c r="F2" s="32"/>
      <c r="G2" s="31"/>
      <c r="H2" s="31"/>
      <c r="I2" s="31"/>
      <c r="J2" s="31"/>
      <c r="K2" s="200"/>
      <c r="L2" s="201"/>
      <c r="M2" s="202"/>
      <c r="N2" s="202"/>
      <c r="O2" s="202"/>
      <c r="P2" s="199"/>
      <c r="Q2" s="199"/>
      <c r="R2" s="199"/>
      <c r="S2" s="199"/>
      <c r="T2" s="199"/>
      <c r="U2" s="199"/>
      <c r="V2" s="199"/>
      <c r="W2" s="199"/>
      <c r="X2" s="199"/>
      <c r="Y2" s="199"/>
      <c r="Z2" s="199"/>
      <c r="AA2" s="199"/>
      <c r="AB2" s="199"/>
      <c r="AC2" s="280"/>
    </row>
    <row r="3" s="14" customFormat="1" ht="28.5" customHeight="1" spans="1:29">
      <c r="A3" s="33" t="s">
        <v>939</v>
      </c>
      <c r="B3" s="34">
        <f>ROUND(IF(D3="",B2*10000/'数据-汇总表'!E3,B2*10000/D3),0)</f>
        <v>3131</v>
      </c>
      <c r="C3" s="33" t="s">
        <v>1424</v>
      </c>
      <c r="D3" s="35"/>
      <c r="E3" s="31"/>
      <c r="F3" s="32"/>
      <c r="G3" s="31"/>
      <c r="H3" s="31"/>
      <c r="I3" s="31"/>
      <c r="J3" s="31"/>
      <c r="K3" s="200"/>
      <c r="L3" s="201"/>
      <c r="M3" s="202"/>
      <c r="N3" s="202"/>
      <c r="O3" s="202"/>
      <c r="P3" s="199"/>
      <c r="Q3" s="199"/>
      <c r="R3" s="199"/>
      <c r="S3" s="199"/>
      <c r="T3" s="199"/>
      <c r="U3" s="199"/>
      <c r="V3" s="199"/>
      <c r="W3" s="199"/>
      <c r="X3" s="199"/>
      <c r="Y3" s="199"/>
      <c r="Z3" s="199"/>
      <c r="AA3" s="199"/>
      <c r="AB3" s="281"/>
      <c r="AC3" s="282"/>
    </row>
    <row r="4" ht="14.4" spans="1:29">
      <c r="A4" s="36" t="s">
        <v>1425</v>
      </c>
      <c r="B4" s="37"/>
      <c r="C4" s="38" t="s">
        <v>1426</v>
      </c>
      <c r="D4" s="39"/>
      <c r="E4" s="40" t="s">
        <v>1427</v>
      </c>
      <c r="F4" s="41"/>
      <c r="G4" s="38" t="s">
        <v>1428</v>
      </c>
      <c r="H4" s="39"/>
      <c r="I4" s="38" t="s">
        <v>1429</v>
      </c>
      <c r="J4" s="39"/>
      <c r="K4" s="203" t="s">
        <v>1430</v>
      </c>
      <c r="L4" s="204"/>
      <c r="M4" s="205"/>
      <c r="N4" s="205"/>
      <c r="O4" s="205"/>
      <c r="P4" s="206" t="s">
        <v>1431</v>
      </c>
      <c r="Q4" s="255"/>
      <c r="R4" s="256" t="s">
        <v>1427</v>
      </c>
      <c r="S4" s="257"/>
      <c r="T4" s="256" t="s">
        <v>1428</v>
      </c>
      <c r="U4" s="257"/>
      <c r="V4" s="244" t="s">
        <v>1429</v>
      </c>
      <c r="W4" s="244"/>
      <c r="X4" s="258"/>
      <c r="Y4" s="256" t="s">
        <v>1431</v>
      </c>
      <c r="Z4" s="257"/>
      <c r="AA4" s="283" t="s">
        <v>1427</v>
      </c>
      <c r="AB4" s="258" t="s">
        <v>1428</v>
      </c>
      <c r="AC4" s="283" t="s">
        <v>1429</v>
      </c>
    </row>
    <row r="5" spans="1:29">
      <c r="A5" s="42"/>
      <c r="B5" s="43"/>
      <c r="C5" s="44" t="s">
        <v>1432</v>
      </c>
      <c r="D5" s="45"/>
      <c r="E5" s="46" t="str">
        <f>土地案例!A7</f>
        <v>顺义区赵全营镇SY04-0100-6006-1-2地块</v>
      </c>
      <c r="F5" s="47"/>
      <c r="G5" s="44" t="str">
        <f>土地案例!A9</f>
        <v>顺义区赵全营板桥SY04-0100-6006-2地块M4工业研发用地</v>
      </c>
      <c r="H5" s="45"/>
      <c r="I5" s="44" t="str">
        <f>土地案例!A10</f>
        <v>顺义区赵全营镇SY04-0100-6006-3地块M4工业研发项目</v>
      </c>
      <c r="J5" s="45"/>
      <c r="K5" s="203"/>
      <c r="L5" s="204"/>
      <c r="M5" s="205"/>
      <c r="N5" s="205"/>
      <c r="O5" s="205"/>
      <c r="P5" s="207"/>
      <c r="Q5" s="259"/>
      <c r="R5" s="260"/>
      <c r="S5" s="261"/>
      <c r="T5" s="260"/>
      <c r="U5" s="261"/>
      <c r="V5" s="244"/>
      <c r="W5" s="244"/>
      <c r="X5" s="258"/>
      <c r="Y5" s="260"/>
      <c r="Z5" s="261"/>
      <c r="AA5" s="258"/>
      <c r="AB5" s="258"/>
      <c r="AC5" s="258"/>
    </row>
    <row r="6" ht="15.15" spans="1:29">
      <c r="A6" s="48"/>
      <c r="B6" s="49"/>
      <c r="C6" s="50" t="s">
        <v>1601</v>
      </c>
      <c r="D6" s="51"/>
      <c r="E6" s="52" t="s">
        <v>1601</v>
      </c>
      <c r="F6" s="53"/>
      <c r="G6" s="50" t="s">
        <v>1601</v>
      </c>
      <c r="H6" s="51"/>
      <c r="I6" s="50" t="s">
        <v>1601</v>
      </c>
      <c r="J6" s="51"/>
      <c r="K6" s="203" t="s">
        <v>1437</v>
      </c>
      <c r="L6" s="204"/>
      <c r="M6" s="205"/>
      <c r="N6" s="205"/>
      <c r="O6" s="205"/>
      <c r="P6" s="208"/>
      <c r="Q6" s="262"/>
      <c r="R6" s="260"/>
      <c r="S6" s="261"/>
      <c r="T6" s="263"/>
      <c r="U6" s="264"/>
      <c r="V6" s="244"/>
      <c r="W6" s="244"/>
      <c r="X6" s="258"/>
      <c r="Y6" s="263"/>
      <c r="Z6" s="264"/>
      <c r="AA6" s="284"/>
      <c r="AB6" s="284"/>
      <c r="AC6" s="284"/>
    </row>
    <row r="7" s="15" customFormat="1" ht="15.15" spans="1:29">
      <c r="A7" s="54" t="s">
        <v>1438</v>
      </c>
      <c r="B7" s="55"/>
      <c r="C7" s="56">
        <f>'数据-取费表'!B2</f>
        <v>44802</v>
      </c>
      <c r="D7" s="57">
        <v>100</v>
      </c>
      <c r="E7" s="58">
        <f>土地案例!I7</f>
        <v>44446.0004976852</v>
      </c>
      <c r="F7" s="59">
        <f>SUMIF(65:65,YEAR(E7)&amp;"-"&amp;INT((MONTH(E7)+2)/3),66:66)</f>
        <v>98</v>
      </c>
      <c r="G7" s="60">
        <f>土地案例!I9</f>
        <v>43873.0004976852</v>
      </c>
      <c r="H7" s="57">
        <f>SUMIF(65:65,YEAR(G7)&amp;"-"&amp;INT((MONTH(G7)+2)/3),66:66)</f>
        <v>95</v>
      </c>
      <c r="I7" s="60">
        <f>土地案例!I10</f>
        <v>43662.0004976852</v>
      </c>
      <c r="J7" s="57">
        <f>SUMIF(65:65,YEAR(I7)&amp;"-"&amp;INT((MONTH(I7)+2)/3),66:66)</f>
        <v>94</v>
      </c>
      <c r="K7" s="209"/>
      <c r="L7" s="210"/>
      <c r="M7" s="211"/>
      <c r="N7" s="211"/>
      <c r="O7" s="211"/>
      <c r="P7" s="212" t="s">
        <v>1439</v>
      </c>
      <c r="Q7" s="265"/>
      <c r="R7" s="266" t="s">
        <v>1440</v>
      </c>
      <c r="S7" s="267">
        <f t="shared" ref="S7:S15" si="0">F7</f>
        <v>98</v>
      </c>
      <c r="T7" s="266" t="s">
        <v>1440</v>
      </c>
      <c r="U7" s="267">
        <f t="shared" ref="U7:U15" si="1">H7</f>
        <v>95</v>
      </c>
      <c r="V7" s="266" t="s">
        <v>1440</v>
      </c>
      <c r="W7" s="267">
        <f t="shared" ref="W7:W15" si="2">J7</f>
        <v>94</v>
      </c>
      <c r="X7" s="268"/>
      <c r="Y7" s="212" t="s">
        <v>1439</v>
      </c>
      <c r="Z7" s="269"/>
      <c r="AA7" s="285">
        <f>D7/F7</f>
        <v>1.02040816326531</v>
      </c>
      <c r="AB7" s="285">
        <f>D7/H7</f>
        <v>1.05263157894737</v>
      </c>
      <c r="AC7" s="285">
        <f>D7/J7</f>
        <v>1.06382978723404</v>
      </c>
    </row>
    <row r="8" s="15" customFormat="1" ht="15.15" spans="1:29">
      <c r="A8" s="54" t="s">
        <v>1441</v>
      </c>
      <c r="B8" s="55"/>
      <c r="C8" s="61" t="s">
        <v>1442</v>
      </c>
      <c r="D8" s="57">
        <v>100</v>
      </c>
      <c r="E8" s="61" t="s">
        <v>1602</v>
      </c>
      <c r="F8" s="59">
        <f>SUMIF(68:68,E8,69:69)-SUMIF(68:68,C8,69:69)+100</f>
        <v>100</v>
      </c>
      <c r="G8" s="61" t="s">
        <v>1602</v>
      </c>
      <c r="H8" s="57">
        <f>SUMIF(68:68,G8,69:69)-SUMIF(68:68,C8,69:69)+100</f>
        <v>100</v>
      </c>
      <c r="I8" s="61" t="s">
        <v>1602</v>
      </c>
      <c r="J8" s="57">
        <f>SUMIF(68:68,I8,69:69)-SUMIF(68:68,C8,69:69)+100</f>
        <v>100</v>
      </c>
      <c r="K8" s="209"/>
      <c r="L8" s="210"/>
      <c r="M8" s="211"/>
      <c r="N8" s="211"/>
      <c r="O8" s="211"/>
      <c r="P8" s="212" t="s">
        <v>1443</v>
      </c>
      <c r="Q8" s="269"/>
      <c r="R8" s="266" t="s">
        <v>1440</v>
      </c>
      <c r="S8" s="267">
        <f t="shared" si="0"/>
        <v>100</v>
      </c>
      <c r="T8" s="266" t="s">
        <v>1440</v>
      </c>
      <c r="U8" s="267">
        <f t="shared" si="1"/>
        <v>100</v>
      </c>
      <c r="V8" s="266" t="s">
        <v>1440</v>
      </c>
      <c r="W8" s="267">
        <f t="shared" si="2"/>
        <v>100</v>
      </c>
      <c r="X8" s="268"/>
      <c r="Y8" s="212" t="s">
        <v>1443</v>
      </c>
      <c r="Z8" s="269"/>
      <c r="AA8" s="285">
        <f t="shared" ref="AA8:AA40" si="3">D8/F8</f>
        <v>1</v>
      </c>
      <c r="AB8" s="285">
        <f t="shared" ref="AB8:AB40" si="4">D8/H8</f>
        <v>1</v>
      </c>
      <c r="AC8" s="285">
        <f t="shared" ref="AC8:AC40" si="5">D8/J8</f>
        <v>1</v>
      </c>
    </row>
    <row r="9" s="15" customFormat="1" ht="14.4" spans="1:29">
      <c r="A9" s="62" t="s">
        <v>1444</v>
      </c>
      <c r="B9" s="63" t="s">
        <v>1445</v>
      </c>
      <c r="C9" s="64"/>
      <c r="D9" s="65">
        <v>100</v>
      </c>
      <c r="E9" s="64"/>
      <c r="F9" s="65">
        <f>SUMIF(70:70,E9,71:71)-SUMIF(70:70,C9,71:71)+100</f>
        <v>100</v>
      </c>
      <c r="G9" s="64"/>
      <c r="H9" s="65">
        <f>SUMIF(70:70,G9,71:71)-SUMIF(70:70,C9,71:71)+100</f>
        <v>100</v>
      </c>
      <c r="I9" s="64"/>
      <c r="J9" s="65">
        <f>SUMIF(70:70,I9,71:71)-SUMIF(70:70,C9,71:71)+100</f>
        <v>100</v>
      </c>
      <c r="K9" s="209"/>
      <c r="L9" s="210"/>
      <c r="M9" s="211"/>
      <c r="N9" s="211"/>
      <c r="O9" s="213"/>
      <c r="P9" s="169" t="s">
        <v>1446</v>
      </c>
      <c r="Q9" s="270" t="str">
        <f t="shared" ref="Q9:Q15" si="6">B9</f>
        <v>用途</v>
      </c>
      <c r="R9" s="266" t="s">
        <v>1440</v>
      </c>
      <c r="S9" s="267">
        <f t="shared" si="0"/>
        <v>100</v>
      </c>
      <c r="T9" s="266" t="s">
        <v>1440</v>
      </c>
      <c r="U9" s="267">
        <f t="shared" si="1"/>
        <v>100</v>
      </c>
      <c r="V9" s="266" t="s">
        <v>1440</v>
      </c>
      <c r="W9" s="267">
        <f t="shared" si="2"/>
        <v>100</v>
      </c>
      <c r="X9" s="268"/>
      <c r="Y9" s="270" t="s">
        <v>1447</v>
      </c>
      <c r="Z9" s="286" t="str">
        <f t="shared" ref="Z9:Z15" si="7">Q9</f>
        <v>用途</v>
      </c>
      <c r="AA9" s="285">
        <f t="shared" si="3"/>
        <v>1</v>
      </c>
      <c r="AB9" s="285">
        <f t="shared" si="4"/>
        <v>1</v>
      </c>
      <c r="AC9" s="285">
        <f t="shared" si="5"/>
        <v>1</v>
      </c>
    </row>
    <row r="10" s="16" customFormat="1" ht="28.8" spans="1:29">
      <c r="A10" s="66"/>
      <c r="B10" s="67" t="s">
        <v>1448</v>
      </c>
      <c r="C10" s="68"/>
      <c r="D10" s="69">
        <v>100</v>
      </c>
      <c r="E10" s="68"/>
      <c r="F10" s="69">
        <f>ROUND(100/'数据-取费表'!G16,0)</f>
        <v>111</v>
      </c>
      <c r="G10" s="68"/>
      <c r="H10" s="69">
        <f>ROUND(100/'数据-取费表'!G16,0)</f>
        <v>111</v>
      </c>
      <c r="I10" s="68"/>
      <c r="J10" s="69">
        <f>ROUND(100/'数据-取费表'!G16,0)</f>
        <v>111</v>
      </c>
      <c r="K10" s="214"/>
      <c r="L10" s="215"/>
      <c r="M10" s="216"/>
      <c r="N10" s="216"/>
      <c r="O10" s="217"/>
      <c r="P10" s="169"/>
      <c r="Q10" s="270" t="str">
        <f t="shared" si="6"/>
        <v>土地使用年限（年）</v>
      </c>
      <c r="R10" s="266" t="s">
        <v>1440</v>
      </c>
      <c r="S10" s="267">
        <f t="shared" si="0"/>
        <v>111</v>
      </c>
      <c r="T10" s="266" t="s">
        <v>1440</v>
      </c>
      <c r="U10" s="267">
        <f t="shared" si="1"/>
        <v>111</v>
      </c>
      <c r="V10" s="266" t="s">
        <v>1440</v>
      </c>
      <c r="W10" s="267">
        <f t="shared" si="2"/>
        <v>111</v>
      </c>
      <c r="X10" s="268"/>
      <c r="Y10" s="270"/>
      <c r="Z10" s="286" t="str">
        <f t="shared" si="7"/>
        <v>土地使用年限（年）</v>
      </c>
      <c r="AA10" s="285">
        <f t="shared" si="3"/>
        <v>0.900900900900901</v>
      </c>
      <c r="AB10" s="285">
        <f t="shared" si="4"/>
        <v>0.900900900900901</v>
      </c>
      <c r="AC10" s="285">
        <f t="shared" si="5"/>
        <v>0.900900900900901</v>
      </c>
    </row>
    <row r="11" ht="15" spans="1:29">
      <c r="A11" s="70"/>
      <c r="B11" s="67" t="s">
        <v>1449</v>
      </c>
      <c r="C11" s="71">
        <v>1</v>
      </c>
      <c r="D11" s="69">
        <v>100</v>
      </c>
      <c r="E11" s="71">
        <v>1.8</v>
      </c>
      <c r="F11" s="69">
        <f>LOOKUP(E11,75:75,76:76)-LOOKUP(C11,75:75,76:76)+100</f>
        <v>115</v>
      </c>
      <c r="G11" s="72">
        <v>1.8</v>
      </c>
      <c r="H11" s="69">
        <f>LOOKUP(G11,75:75,76:76)-LOOKUP(C11,75:75,76:76)+100</f>
        <v>115</v>
      </c>
      <c r="I11" s="71">
        <v>1.8</v>
      </c>
      <c r="J11" s="69">
        <f>LOOKUP(I11,75:75,76:76)-LOOKUP(C11,75:75,76:76)+100</f>
        <v>115</v>
      </c>
      <c r="K11" s="218">
        <v>15</v>
      </c>
      <c r="L11" s="219"/>
      <c r="M11" s="205"/>
      <c r="N11" s="205"/>
      <c r="O11" s="220"/>
      <c r="P11" s="169"/>
      <c r="Q11" s="270" t="str">
        <f t="shared" si="6"/>
        <v>容积率</v>
      </c>
      <c r="R11" s="266" t="s">
        <v>1440</v>
      </c>
      <c r="S11" s="267">
        <f t="shared" si="0"/>
        <v>115</v>
      </c>
      <c r="T11" s="266" t="s">
        <v>1440</v>
      </c>
      <c r="U11" s="267">
        <f t="shared" si="1"/>
        <v>115</v>
      </c>
      <c r="V11" s="266" t="s">
        <v>1440</v>
      </c>
      <c r="W11" s="267">
        <f t="shared" si="2"/>
        <v>115</v>
      </c>
      <c r="X11" s="268"/>
      <c r="Y11" s="270"/>
      <c r="Z11" s="286" t="str">
        <f t="shared" si="7"/>
        <v>容积率</v>
      </c>
      <c r="AA11" s="285">
        <f t="shared" si="3"/>
        <v>0.869565217391304</v>
      </c>
      <c r="AB11" s="285">
        <f t="shared" si="4"/>
        <v>0.869565217391304</v>
      </c>
      <c r="AC11" s="285">
        <f t="shared" si="5"/>
        <v>0.869565217391304</v>
      </c>
    </row>
    <row r="12" s="15" customFormat="1" ht="15" spans="1:29">
      <c r="A12" s="73"/>
      <c r="B12" s="74">
        <v>111</v>
      </c>
      <c r="C12" s="68"/>
      <c r="D12" s="75">
        <v>100</v>
      </c>
      <c r="E12" s="76"/>
      <c r="F12" s="69">
        <f>SUMIF(77:77,E12,78:78)-SUMIF(77:77,C12,78:78)+100</f>
        <v>100</v>
      </c>
      <c r="G12" s="77"/>
      <c r="H12" s="69">
        <f>SUMIF(77:77,G12,78:78)-SUMIF(77:77,C12,78:78)+100</f>
        <v>100</v>
      </c>
      <c r="I12" s="76"/>
      <c r="J12" s="69">
        <f>SUMIF(77:77,I12,78:78)-SUMIF(77:77,C12,78:78)+100</f>
        <v>100</v>
      </c>
      <c r="K12" s="214"/>
      <c r="L12" s="210"/>
      <c r="M12" s="211"/>
      <c r="N12" s="211"/>
      <c r="O12" s="213"/>
      <c r="P12" s="169"/>
      <c r="Q12" s="270">
        <f t="shared" si="6"/>
        <v>111</v>
      </c>
      <c r="R12" s="266" t="s">
        <v>1440</v>
      </c>
      <c r="S12" s="267">
        <f t="shared" si="0"/>
        <v>100</v>
      </c>
      <c r="T12" s="266" t="s">
        <v>1440</v>
      </c>
      <c r="U12" s="267">
        <f t="shared" si="1"/>
        <v>100</v>
      </c>
      <c r="V12" s="266" t="s">
        <v>1440</v>
      </c>
      <c r="W12" s="267">
        <f t="shared" si="2"/>
        <v>100</v>
      </c>
      <c r="X12" s="268"/>
      <c r="Y12" s="270"/>
      <c r="Z12" s="286">
        <f t="shared" si="7"/>
        <v>111</v>
      </c>
      <c r="AA12" s="285">
        <f t="shared" si="3"/>
        <v>1</v>
      </c>
      <c r="AB12" s="285">
        <f t="shared" si="4"/>
        <v>1</v>
      </c>
      <c r="AC12" s="285">
        <f t="shared" si="5"/>
        <v>1</v>
      </c>
    </row>
    <row r="13" ht="15" spans="1:29">
      <c r="A13" s="70"/>
      <c r="B13" s="74">
        <v>111</v>
      </c>
      <c r="C13" s="78"/>
      <c r="D13" s="79">
        <v>100</v>
      </c>
      <c r="E13" s="76"/>
      <c r="F13" s="69">
        <f>SUMIF(79:79,E13,80:80)-SUMIF(79:79,C13,80:80)+100</f>
        <v>100</v>
      </c>
      <c r="G13" s="77"/>
      <c r="H13" s="79">
        <f>SUMIF(79:79,G13,80:80)-SUMIF(79:79,C13,80:80)+100</f>
        <v>100</v>
      </c>
      <c r="I13" s="76"/>
      <c r="J13" s="79">
        <f>SUMIF(79:79,I13,80:80)-SUMIF(79:79,C13,80:80)+100</f>
        <v>100</v>
      </c>
      <c r="K13" s="214"/>
      <c r="L13" s="221"/>
      <c r="M13" s="205"/>
      <c r="N13" s="205"/>
      <c r="O13" s="220"/>
      <c r="P13" s="169"/>
      <c r="Q13" s="270">
        <f t="shared" si="6"/>
        <v>111</v>
      </c>
      <c r="R13" s="266" t="s">
        <v>1440</v>
      </c>
      <c r="S13" s="267">
        <f t="shared" si="0"/>
        <v>100</v>
      </c>
      <c r="T13" s="266" t="s">
        <v>1440</v>
      </c>
      <c r="U13" s="267">
        <f t="shared" si="1"/>
        <v>100</v>
      </c>
      <c r="V13" s="266" t="s">
        <v>1440</v>
      </c>
      <c r="W13" s="267">
        <f t="shared" si="2"/>
        <v>100</v>
      </c>
      <c r="X13" s="268"/>
      <c r="Y13" s="270"/>
      <c r="Z13" s="286">
        <f t="shared" si="7"/>
        <v>111</v>
      </c>
      <c r="AA13" s="285">
        <f t="shared" si="3"/>
        <v>1</v>
      </c>
      <c r="AB13" s="285">
        <f t="shared" si="4"/>
        <v>1</v>
      </c>
      <c r="AC13" s="285">
        <f t="shared" si="5"/>
        <v>1</v>
      </c>
    </row>
    <row r="14" ht="15.75" spans="1:29">
      <c r="A14" s="80"/>
      <c r="B14" s="81">
        <v>111</v>
      </c>
      <c r="C14" s="82"/>
      <c r="D14" s="83">
        <v>100</v>
      </c>
      <c r="E14" s="76"/>
      <c r="F14" s="83">
        <f>SUMIF(81:81,E14,82:82)-SUMIF(81:81,C14,82:82)+100</f>
        <v>100</v>
      </c>
      <c r="G14" s="77"/>
      <c r="H14" s="83">
        <f>SUMIF(81:81,G14,82:82)-SUMIF(81:81,C14,82:82)+100</f>
        <v>100</v>
      </c>
      <c r="I14" s="76"/>
      <c r="J14" s="83">
        <f>SUMIF(81:81,I14,82:82)-SUMIF(81:81,C14,82:82)+100</f>
        <v>100</v>
      </c>
      <c r="K14" s="214"/>
      <c r="L14" s="221"/>
      <c r="M14" s="205"/>
      <c r="N14" s="205"/>
      <c r="O14" s="220"/>
      <c r="P14" s="169"/>
      <c r="Q14" s="270">
        <f t="shared" si="6"/>
        <v>111</v>
      </c>
      <c r="R14" s="266" t="s">
        <v>1440</v>
      </c>
      <c r="S14" s="267">
        <f t="shared" si="0"/>
        <v>100</v>
      </c>
      <c r="T14" s="266" t="s">
        <v>1440</v>
      </c>
      <c r="U14" s="267">
        <f t="shared" si="1"/>
        <v>100</v>
      </c>
      <c r="V14" s="266" t="s">
        <v>1440</v>
      </c>
      <c r="W14" s="267">
        <f t="shared" si="2"/>
        <v>100</v>
      </c>
      <c r="X14" s="268"/>
      <c r="Y14" s="270"/>
      <c r="Z14" s="286">
        <f t="shared" si="7"/>
        <v>111</v>
      </c>
      <c r="AA14" s="285">
        <f t="shared" si="3"/>
        <v>1</v>
      </c>
      <c r="AB14" s="285">
        <f t="shared" si="4"/>
        <v>1</v>
      </c>
      <c r="AC14" s="285">
        <f t="shared" si="5"/>
        <v>1</v>
      </c>
    </row>
    <row r="15" ht="72" spans="1:29">
      <c r="A15" s="84" t="s">
        <v>1450</v>
      </c>
      <c r="B15" s="85" t="s">
        <v>1540</v>
      </c>
      <c r="C15" s="86" t="str">
        <f>估价对象房地状况!G15</f>
        <v>估价对象位于XX开发区，园区建设成熟度XX，产业集聚程度XX</v>
      </c>
      <c r="D15" s="87">
        <v>100</v>
      </c>
      <c r="E15" s="88"/>
      <c r="F15" s="87">
        <f>SUMIF(83:83,E16,84:84)-SUMIF(83:83,C16,84:84)+100</f>
        <v>98</v>
      </c>
      <c r="G15" s="88"/>
      <c r="H15" s="87">
        <f>SUMIF(83:83,G16,84:84)-SUMIF(83:83,C16,84:84)+100</f>
        <v>98</v>
      </c>
      <c r="I15" s="222"/>
      <c r="J15" s="87">
        <f>SUMIF(83:83,I16,84:84)-SUMIF(83:83,C16,84:84)+100</f>
        <v>98</v>
      </c>
      <c r="K15" s="218">
        <v>2</v>
      </c>
      <c r="L15" s="221"/>
      <c r="M15" s="205"/>
      <c r="N15" s="205"/>
      <c r="O15" s="220"/>
      <c r="P15" s="223" t="s">
        <v>1452</v>
      </c>
      <c r="Q15" s="169" t="str">
        <f t="shared" si="6"/>
        <v>产业集聚程度</v>
      </c>
      <c r="R15" s="271" t="s">
        <v>1440</v>
      </c>
      <c r="S15" s="272">
        <f t="shared" si="0"/>
        <v>98</v>
      </c>
      <c r="T15" s="271" t="s">
        <v>1440</v>
      </c>
      <c r="U15" s="272">
        <f t="shared" si="1"/>
        <v>98</v>
      </c>
      <c r="V15" s="271" t="s">
        <v>1440</v>
      </c>
      <c r="W15" s="272">
        <f t="shared" si="2"/>
        <v>98</v>
      </c>
      <c r="X15" s="258"/>
      <c r="Y15" s="223" t="s">
        <v>1452</v>
      </c>
      <c r="Z15" s="244" t="str">
        <f t="shared" si="7"/>
        <v>产业集聚程度</v>
      </c>
      <c r="AA15" s="287">
        <f t="shared" si="3"/>
        <v>1.02040816326531</v>
      </c>
      <c r="AB15" s="287">
        <f t="shared" si="4"/>
        <v>1.02040816326531</v>
      </c>
      <c r="AC15" s="287">
        <f t="shared" si="5"/>
        <v>1.02040816326531</v>
      </c>
    </row>
    <row r="16" ht="15" spans="1:29">
      <c r="A16" s="70"/>
      <c r="B16" s="89"/>
      <c r="C16" s="90" t="s">
        <v>1603</v>
      </c>
      <c r="D16" s="91"/>
      <c r="E16" s="92" t="s">
        <v>1604</v>
      </c>
      <c r="F16" s="91"/>
      <c r="G16" s="92" t="s">
        <v>1604</v>
      </c>
      <c r="H16" s="93"/>
      <c r="I16" s="92" t="s">
        <v>1604</v>
      </c>
      <c r="J16" s="91"/>
      <c r="K16" s="214"/>
      <c r="L16" s="221"/>
      <c r="M16" s="205"/>
      <c r="N16" s="205"/>
      <c r="O16" s="220"/>
      <c r="P16" s="224"/>
      <c r="Q16" s="169"/>
      <c r="R16" s="271"/>
      <c r="S16" s="272"/>
      <c r="T16" s="271"/>
      <c r="U16" s="272"/>
      <c r="V16" s="271"/>
      <c r="W16" s="272"/>
      <c r="X16" s="258"/>
      <c r="Y16" s="224"/>
      <c r="Z16" s="244"/>
      <c r="AA16" s="287">
        <v>1</v>
      </c>
      <c r="AB16" s="287">
        <v>1</v>
      </c>
      <c r="AC16" s="287">
        <v>1</v>
      </c>
    </row>
    <row r="17" ht="100.8" spans="1:29">
      <c r="A17" s="70"/>
      <c r="B17" s="94" t="s">
        <v>1453</v>
      </c>
      <c r="C17" s="95" t="str">
        <f>估价对象房地状况!G16</f>
        <v>估价对象周边道路状况、公共交通通达情况、停车便捷程度，综合评价交通便捷度较好</v>
      </c>
      <c r="D17" s="93">
        <v>100</v>
      </c>
      <c r="E17" s="96"/>
      <c r="F17" s="97">
        <f>SUMIF(85:85,E18,86:86)-SUMIF(85:85,C18,86:86)+100</f>
        <v>99</v>
      </c>
      <c r="G17" s="96"/>
      <c r="H17" s="97">
        <f>SUMIF(85:85,G18,86:86)-SUMIF(85:85,C18,86:86)+100</f>
        <v>99</v>
      </c>
      <c r="I17" s="225"/>
      <c r="J17" s="93">
        <f>SUMIF(85:85,I18,86:86)-SUMIF(85:85,C18,86:86)+100</f>
        <v>99</v>
      </c>
      <c r="K17" s="218">
        <v>1</v>
      </c>
      <c r="L17" s="221"/>
      <c r="M17" s="205"/>
      <c r="N17" s="205"/>
      <c r="O17" s="220"/>
      <c r="P17" s="224"/>
      <c r="Q17" s="169" t="str">
        <f>B17</f>
        <v>交通便捷度</v>
      </c>
      <c r="R17" s="271" t="s">
        <v>1440</v>
      </c>
      <c r="S17" s="272">
        <f>F17</f>
        <v>99</v>
      </c>
      <c r="T17" s="271" t="s">
        <v>1440</v>
      </c>
      <c r="U17" s="272">
        <f>H17</f>
        <v>99</v>
      </c>
      <c r="V17" s="271" t="s">
        <v>1440</v>
      </c>
      <c r="W17" s="272">
        <f>J17</f>
        <v>99</v>
      </c>
      <c r="X17" s="258"/>
      <c r="Y17" s="224"/>
      <c r="Z17" s="244" t="str">
        <f>Q17</f>
        <v>交通便捷度</v>
      </c>
      <c r="AA17" s="287">
        <f t="shared" si="3"/>
        <v>1.01010101010101</v>
      </c>
      <c r="AB17" s="287">
        <f t="shared" si="4"/>
        <v>1.01010101010101</v>
      </c>
      <c r="AC17" s="287">
        <f t="shared" si="5"/>
        <v>1.01010101010101</v>
      </c>
    </row>
    <row r="18" ht="15" spans="1:29">
      <c r="A18" s="70"/>
      <c r="B18" s="98"/>
      <c r="C18" s="90" t="s">
        <v>1603</v>
      </c>
      <c r="D18" s="91"/>
      <c r="E18" s="99" t="s">
        <v>1604</v>
      </c>
      <c r="F18" s="91"/>
      <c r="G18" s="99" t="s">
        <v>1604</v>
      </c>
      <c r="H18" s="91"/>
      <c r="I18" s="99" t="s">
        <v>1604</v>
      </c>
      <c r="J18" s="91"/>
      <c r="K18" s="214"/>
      <c r="L18" s="221"/>
      <c r="M18" s="205"/>
      <c r="N18" s="205"/>
      <c r="O18" s="220"/>
      <c r="P18" s="224"/>
      <c r="Q18" s="169"/>
      <c r="R18" s="271"/>
      <c r="S18" s="272"/>
      <c r="T18" s="271"/>
      <c r="U18" s="272"/>
      <c r="V18" s="271"/>
      <c r="W18" s="272"/>
      <c r="X18" s="258"/>
      <c r="Y18" s="224"/>
      <c r="Z18" s="244"/>
      <c r="AA18" s="287">
        <v>1</v>
      </c>
      <c r="AB18" s="287">
        <v>1</v>
      </c>
      <c r="AC18" s="287">
        <v>1</v>
      </c>
    </row>
    <row r="19" ht="28.8" spans="1:29">
      <c r="A19" s="70"/>
      <c r="B19" s="94" t="s">
        <v>1562</v>
      </c>
      <c r="C19" s="95">
        <f>估价对象房地状况!G17</f>
        <v>0</v>
      </c>
      <c r="D19" s="93">
        <v>100</v>
      </c>
      <c r="E19" s="96"/>
      <c r="F19" s="97">
        <f>SUMIF(87:87,E20,88:88)-SUMIF(87:87,C20,88:88)+100</f>
        <v>100</v>
      </c>
      <c r="G19" s="96"/>
      <c r="H19" s="97">
        <f>SUMIF(87:87,G20,88:88)-SUMIF(87:87,C20,88:88)+100</f>
        <v>100</v>
      </c>
      <c r="I19" s="96"/>
      <c r="J19" s="97">
        <f>SUMIF(87:87,I20,88:88)-SUMIF(87:87,C20,88:88)+100</f>
        <v>100</v>
      </c>
      <c r="K19" s="218"/>
      <c r="L19" s="221"/>
      <c r="M19" s="205"/>
      <c r="N19" s="205"/>
      <c r="O19" s="220"/>
      <c r="P19" s="224"/>
      <c r="Q19" s="169" t="str">
        <f t="shared" ref="Q19:Q34" si="8">B19</f>
        <v>区域土地利用方向</v>
      </c>
      <c r="R19" s="271" t="s">
        <v>1440</v>
      </c>
      <c r="S19" s="272">
        <f>F19</f>
        <v>100</v>
      </c>
      <c r="T19" s="271" t="s">
        <v>1440</v>
      </c>
      <c r="U19" s="272">
        <f>H19</f>
        <v>100</v>
      </c>
      <c r="V19" s="271" t="s">
        <v>1440</v>
      </c>
      <c r="W19" s="272">
        <f>J19</f>
        <v>100</v>
      </c>
      <c r="X19" s="258"/>
      <c r="Y19" s="224"/>
      <c r="Z19" s="244" t="str">
        <f>Q19</f>
        <v>区域土地利用方向</v>
      </c>
      <c r="AA19" s="287">
        <f t="shared" si="3"/>
        <v>1</v>
      </c>
      <c r="AB19" s="287">
        <f t="shared" si="4"/>
        <v>1</v>
      </c>
      <c r="AC19" s="287">
        <f t="shared" si="5"/>
        <v>1</v>
      </c>
    </row>
    <row r="20" ht="15" spans="1:29">
      <c r="A20" s="42"/>
      <c r="B20" s="98"/>
      <c r="C20" s="90"/>
      <c r="D20" s="91"/>
      <c r="E20" s="99"/>
      <c r="F20" s="91"/>
      <c r="G20" s="99"/>
      <c r="H20" s="91"/>
      <c r="I20" s="99"/>
      <c r="J20" s="91"/>
      <c r="K20" s="226"/>
      <c r="L20" s="221"/>
      <c r="M20" s="205"/>
      <c r="N20" s="205"/>
      <c r="O20" s="220"/>
      <c r="P20" s="224"/>
      <c r="Q20" s="169"/>
      <c r="R20" s="271"/>
      <c r="S20" s="272"/>
      <c r="T20" s="271"/>
      <c r="U20" s="272"/>
      <c r="V20" s="271"/>
      <c r="W20" s="272"/>
      <c r="X20" s="258"/>
      <c r="Y20" s="224"/>
      <c r="Z20" s="244"/>
      <c r="AA20" s="287"/>
      <c r="AB20" s="287"/>
      <c r="AC20" s="287"/>
    </row>
    <row r="21" ht="86.4" spans="1:29">
      <c r="A21" s="42"/>
      <c r="B21" s="94" t="s">
        <v>1605</v>
      </c>
      <c r="C21" s="95" t="str">
        <f>估价对象房地状况!G18</f>
        <v>该园区内是否有污染型企业，绿化情况，卫生条件，整体环境状况判断</v>
      </c>
      <c r="D21" s="93">
        <v>100</v>
      </c>
      <c r="E21" s="96"/>
      <c r="F21" s="93">
        <f>SUMIF(89:89,E22,90:90)-SUMIF(89:89,C22,90:90)+100</f>
        <v>100</v>
      </c>
      <c r="G21" s="96"/>
      <c r="H21" s="93">
        <f>SUMIF(89:89,G22,90:90)-SUMIF(89:89,C22,90:90)+100</f>
        <v>100</v>
      </c>
      <c r="I21" s="225"/>
      <c r="J21" s="93">
        <f>SUMIF(89:89,I22,90:90)-SUMIF(89:89,C22,90:90)+100</f>
        <v>100</v>
      </c>
      <c r="K21" s="218">
        <v>1</v>
      </c>
      <c r="L21" s="221"/>
      <c r="M21" s="205"/>
      <c r="N21" s="205"/>
      <c r="O21" s="220"/>
      <c r="P21" s="224"/>
      <c r="Q21" s="169" t="str">
        <f t="shared" si="8"/>
        <v>环境状况</v>
      </c>
      <c r="R21" s="271" t="s">
        <v>1440</v>
      </c>
      <c r="S21" s="272">
        <f>F21</f>
        <v>100</v>
      </c>
      <c r="T21" s="271" t="s">
        <v>1440</v>
      </c>
      <c r="U21" s="272">
        <f>H21</f>
        <v>100</v>
      </c>
      <c r="V21" s="271" t="s">
        <v>1440</v>
      </c>
      <c r="W21" s="272">
        <f>J21</f>
        <v>100</v>
      </c>
      <c r="X21" s="258"/>
      <c r="Y21" s="224"/>
      <c r="Z21" s="244" t="str">
        <f>Q21</f>
        <v>环境状况</v>
      </c>
      <c r="AA21" s="287">
        <f t="shared" si="3"/>
        <v>1</v>
      </c>
      <c r="AB21" s="287">
        <f t="shared" si="4"/>
        <v>1</v>
      </c>
      <c r="AC21" s="287">
        <f t="shared" si="5"/>
        <v>1</v>
      </c>
    </row>
    <row r="22" ht="15" spans="1:29">
      <c r="A22" s="42"/>
      <c r="B22" s="98"/>
      <c r="C22" s="90" t="s">
        <v>1603</v>
      </c>
      <c r="D22" s="91"/>
      <c r="E22" s="90" t="s">
        <v>1603</v>
      </c>
      <c r="F22" s="91"/>
      <c r="G22" s="90" t="s">
        <v>1603</v>
      </c>
      <c r="H22" s="91"/>
      <c r="I22" s="90" t="s">
        <v>1603</v>
      </c>
      <c r="J22" s="91"/>
      <c r="K22" s="214"/>
      <c r="L22" s="221"/>
      <c r="M22" s="205"/>
      <c r="N22" s="205"/>
      <c r="O22" s="220"/>
      <c r="P22" s="224"/>
      <c r="Q22" s="169"/>
      <c r="R22" s="271"/>
      <c r="S22" s="272"/>
      <c r="T22" s="271"/>
      <c r="U22" s="272"/>
      <c r="V22" s="271"/>
      <c r="W22" s="272"/>
      <c r="X22" s="258"/>
      <c r="Y22" s="224"/>
      <c r="Z22" s="244"/>
      <c r="AA22" s="287">
        <v>1</v>
      </c>
      <c r="AB22" s="287">
        <v>1</v>
      </c>
      <c r="AC22" s="287">
        <v>1</v>
      </c>
    </row>
    <row r="23" s="15" customFormat="1" ht="43.2" spans="1:29">
      <c r="A23" s="100"/>
      <c r="B23" s="101" t="s">
        <v>1454</v>
      </c>
      <c r="C23" s="95" t="str">
        <f>估价对象房地状况!G19</f>
        <v>估价对象所在区域公共配套设施齐备情况</v>
      </c>
      <c r="D23" s="93">
        <v>100</v>
      </c>
      <c r="E23" s="96"/>
      <c r="F23" s="93">
        <f>SUMIF(91:91,E24,92:92)-SUMIF(91:91,C24,92:92)+100</f>
        <v>99</v>
      </c>
      <c r="G23" s="96"/>
      <c r="H23" s="93">
        <f>SUMIF(91:91,G24,92:92)-SUMIF(91:91,C24,92:92)+100</f>
        <v>99</v>
      </c>
      <c r="I23" s="225"/>
      <c r="J23" s="93">
        <f>SUMIF(91:91,I24,92:92)-SUMIF(91:91,C24,92:92)+100</f>
        <v>99</v>
      </c>
      <c r="K23" s="218">
        <v>1</v>
      </c>
      <c r="L23" s="210"/>
      <c r="M23" s="211"/>
      <c r="N23" s="211"/>
      <c r="O23" s="213"/>
      <c r="P23" s="224"/>
      <c r="Q23" s="270" t="str">
        <f t="shared" si="8"/>
        <v>公共配套设施</v>
      </c>
      <c r="R23" s="266" t="s">
        <v>1440</v>
      </c>
      <c r="S23" s="267">
        <f>F23</f>
        <v>99</v>
      </c>
      <c r="T23" s="266" t="s">
        <v>1440</v>
      </c>
      <c r="U23" s="267">
        <f>H23</f>
        <v>99</v>
      </c>
      <c r="V23" s="266" t="s">
        <v>1440</v>
      </c>
      <c r="W23" s="267">
        <f>J23</f>
        <v>99</v>
      </c>
      <c r="X23" s="268"/>
      <c r="Y23" s="224"/>
      <c r="Z23" s="286" t="str">
        <f>Q23</f>
        <v>公共配套设施</v>
      </c>
      <c r="AA23" s="287">
        <f>D23/F23</f>
        <v>1.01010101010101</v>
      </c>
      <c r="AB23" s="287">
        <f>D23/H23</f>
        <v>1.01010101010101</v>
      </c>
      <c r="AC23" s="287">
        <f>D23/J23</f>
        <v>1.01010101010101</v>
      </c>
    </row>
    <row r="24" s="15" customFormat="1" ht="15" spans="1:29">
      <c r="A24" s="100"/>
      <c r="B24" s="98"/>
      <c r="C24" s="102" t="s">
        <v>1603</v>
      </c>
      <c r="D24" s="91"/>
      <c r="E24" s="92" t="s">
        <v>1604</v>
      </c>
      <c r="F24" s="91"/>
      <c r="G24" s="92" t="s">
        <v>1604</v>
      </c>
      <c r="H24" s="91"/>
      <c r="I24" s="92" t="s">
        <v>1604</v>
      </c>
      <c r="J24" s="91"/>
      <c r="K24" s="214"/>
      <c r="L24" s="210"/>
      <c r="M24" s="211"/>
      <c r="N24" s="211"/>
      <c r="O24" s="213"/>
      <c r="P24" s="224"/>
      <c r="Q24" s="270"/>
      <c r="R24" s="266"/>
      <c r="S24" s="267"/>
      <c r="T24" s="266"/>
      <c r="U24" s="267"/>
      <c r="V24" s="266"/>
      <c r="W24" s="267"/>
      <c r="X24" s="268"/>
      <c r="Y24" s="224"/>
      <c r="Z24" s="286"/>
      <c r="AA24" s="285">
        <v>1</v>
      </c>
      <c r="AB24" s="285">
        <v>1</v>
      </c>
      <c r="AC24" s="285">
        <v>1</v>
      </c>
    </row>
    <row r="25" s="15" customFormat="1" ht="43.2" spans="1:29">
      <c r="A25" s="100"/>
      <c r="B25" s="101" t="s">
        <v>1455</v>
      </c>
      <c r="C25" s="95" t="str">
        <f>估价对象房地状况!G20</f>
        <v>估价对象所在区域基础设施水平</v>
      </c>
      <c r="D25" s="93">
        <v>100</v>
      </c>
      <c r="E25" s="96"/>
      <c r="F25" s="93">
        <f>SUMIF(93:93,E26,94:94)-SUMIF(93:93,C26,94:94)+100</f>
        <v>100</v>
      </c>
      <c r="G25" s="96"/>
      <c r="H25" s="93">
        <f>SUMIF(93:93,G26,94:94)-SUMIF(93:93,C26,94:94)+100</f>
        <v>100</v>
      </c>
      <c r="I25" s="225"/>
      <c r="J25" s="93">
        <f>SUMIF(93:93,I26,94:94)-SUMIF(93:93,C26,94:94)+100</f>
        <v>100</v>
      </c>
      <c r="K25" s="218"/>
      <c r="L25" s="210"/>
      <c r="M25" s="211"/>
      <c r="N25" s="211"/>
      <c r="O25" s="213"/>
      <c r="P25" s="224"/>
      <c r="Q25" s="270" t="str">
        <f t="shared" ref="Q25" si="9">B25</f>
        <v>基础设施水平</v>
      </c>
      <c r="R25" s="266" t="s">
        <v>1440</v>
      </c>
      <c r="S25" s="267">
        <f>F25</f>
        <v>100</v>
      </c>
      <c r="T25" s="266" t="s">
        <v>1440</v>
      </c>
      <c r="U25" s="267">
        <f>H25</f>
        <v>100</v>
      </c>
      <c r="V25" s="266" t="s">
        <v>1440</v>
      </c>
      <c r="W25" s="267">
        <f>J25</f>
        <v>100</v>
      </c>
      <c r="X25" s="268"/>
      <c r="Y25" s="224"/>
      <c r="Z25" s="286" t="str">
        <f>Q25</f>
        <v>基础设施水平</v>
      </c>
      <c r="AA25" s="287">
        <f>D25/F25</f>
        <v>1</v>
      </c>
      <c r="AB25" s="287">
        <f>D25/H25</f>
        <v>1</v>
      </c>
      <c r="AC25" s="287">
        <f>D25/J25</f>
        <v>1</v>
      </c>
    </row>
    <row r="26" s="15" customFormat="1" ht="15" spans="1:29">
      <c r="A26" s="100"/>
      <c r="B26" s="98"/>
      <c r="C26" s="102"/>
      <c r="D26" s="91"/>
      <c r="E26" s="103"/>
      <c r="F26" s="91"/>
      <c r="G26" s="103"/>
      <c r="H26" s="91"/>
      <c r="I26" s="103"/>
      <c r="J26" s="91"/>
      <c r="K26" s="214"/>
      <c r="L26" s="210"/>
      <c r="M26" s="211"/>
      <c r="N26" s="211"/>
      <c r="O26" s="213"/>
      <c r="P26" s="224"/>
      <c r="Q26" s="270"/>
      <c r="R26" s="266"/>
      <c r="S26" s="267"/>
      <c r="T26" s="266"/>
      <c r="U26" s="267"/>
      <c r="V26" s="266"/>
      <c r="W26" s="267"/>
      <c r="X26" s="268"/>
      <c r="Y26" s="224"/>
      <c r="Z26" s="286"/>
      <c r="AA26" s="285">
        <v>1</v>
      </c>
      <c r="AB26" s="285">
        <v>1</v>
      </c>
      <c r="AC26" s="285">
        <v>1</v>
      </c>
    </row>
    <row r="27" ht="15" spans="1:29">
      <c r="A27" s="70"/>
      <c r="B27" s="98" t="s">
        <v>1521</v>
      </c>
      <c r="C27" s="104"/>
      <c r="D27" s="79">
        <v>100</v>
      </c>
      <c r="E27" s="105"/>
      <c r="F27" s="79">
        <f>SUMIF(95:95,E27,96:96)-SUMIF(95:95,C27,96:96)+100</f>
        <v>100</v>
      </c>
      <c r="G27" s="105"/>
      <c r="H27" s="79">
        <f>SUMIF(95:95,G27,96:96)-SUMIF(95:95,C27,96:96)+100</f>
        <v>100</v>
      </c>
      <c r="I27" s="105"/>
      <c r="J27" s="79">
        <f>SUMIF(95:95,I27,96:96)-SUMIF(95:95,C27,96:96)+100</f>
        <v>100</v>
      </c>
      <c r="K27" s="218"/>
      <c r="L27" s="221"/>
      <c r="M27" s="205"/>
      <c r="N27" s="205"/>
      <c r="O27" s="220"/>
      <c r="P27" s="224"/>
      <c r="Q27" s="169" t="str">
        <f t="shared" si="8"/>
        <v>临街状况</v>
      </c>
      <c r="R27" s="271" t="s">
        <v>1440</v>
      </c>
      <c r="S27" s="272">
        <f t="shared" ref="S27:S40" si="10">F27</f>
        <v>100</v>
      </c>
      <c r="T27" s="271" t="s">
        <v>1440</v>
      </c>
      <c r="U27" s="272">
        <f t="shared" ref="U27:U40" si="11">H27</f>
        <v>100</v>
      </c>
      <c r="V27" s="271" t="s">
        <v>1440</v>
      </c>
      <c r="W27" s="272">
        <f t="shared" ref="W27:W40" si="12">J27</f>
        <v>100</v>
      </c>
      <c r="X27" s="258"/>
      <c r="Y27" s="224"/>
      <c r="Z27" s="244" t="str">
        <f t="shared" ref="Z27:Z40" si="13">Q27</f>
        <v>临街状况</v>
      </c>
      <c r="AA27" s="287">
        <f t="shared" si="3"/>
        <v>1</v>
      </c>
      <c r="AB27" s="287">
        <f t="shared" si="4"/>
        <v>1</v>
      </c>
      <c r="AC27" s="287">
        <f t="shared" si="5"/>
        <v>1</v>
      </c>
    </row>
    <row r="28" ht="28.8" spans="1:29">
      <c r="A28" s="70"/>
      <c r="B28" s="101" t="s">
        <v>1535</v>
      </c>
      <c r="C28" s="106">
        <f>估价对象房地状况!G22</f>
        <v>0</v>
      </c>
      <c r="D28" s="93">
        <v>100</v>
      </c>
      <c r="E28" s="96"/>
      <c r="F28" s="93">
        <f>SUMIF(97:97,E29,98:98)-SUMIF(97:97,C29,98:98)+100</f>
        <v>100</v>
      </c>
      <c r="G28" s="96"/>
      <c r="H28" s="93">
        <f>SUMIF(97:97,G29,98:98)-SUMIF(97:97,C29,98:98)+100</f>
        <v>100</v>
      </c>
      <c r="I28" s="225"/>
      <c r="J28" s="93">
        <f>SUMIF(97:97,I29,98:98)-SUMIF(97:97,C29,98:98)+100</f>
        <v>100</v>
      </c>
      <c r="K28" s="218"/>
      <c r="L28" s="221"/>
      <c r="M28" s="205"/>
      <c r="N28" s="205"/>
      <c r="O28" s="220"/>
      <c r="P28" s="224"/>
      <c r="Q28" s="169" t="str">
        <f t="shared" si="8"/>
        <v>毗邻道路的类型与等级</v>
      </c>
      <c r="R28" s="271" t="s">
        <v>1440</v>
      </c>
      <c r="S28" s="272">
        <f t="shared" si="10"/>
        <v>100</v>
      </c>
      <c r="T28" s="271" t="s">
        <v>1440</v>
      </c>
      <c r="U28" s="272">
        <f t="shared" si="11"/>
        <v>100</v>
      </c>
      <c r="V28" s="271" t="s">
        <v>1440</v>
      </c>
      <c r="W28" s="272">
        <f t="shared" si="12"/>
        <v>100</v>
      </c>
      <c r="X28" s="258"/>
      <c r="Y28" s="224"/>
      <c r="Z28" s="244" t="str">
        <f t="shared" si="13"/>
        <v>毗邻道路的类型与等级</v>
      </c>
      <c r="AA28" s="287">
        <f t="shared" si="3"/>
        <v>1</v>
      </c>
      <c r="AB28" s="287">
        <f t="shared" si="4"/>
        <v>1</v>
      </c>
      <c r="AC28" s="287">
        <f t="shared" si="5"/>
        <v>1</v>
      </c>
    </row>
    <row r="29" ht="15" spans="1:29">
      <c r="A29" s="70"/>
      <c r="B29" s="98"/>
      <c r="C29" s="90"/>
      <c r="D29" s="91"/>
      <c r="E29" s="92"/>
      <c r="F29" s="91"/>
      <c r="G29" s="92"/>
      <c r="H29" s="91"/>
      <c r="I29" s="92"/>
      <c r="J29" s="91"/>
      <c r="K29" s="227"/>
      <c r="L29" s="221"/>
      <c r="M29" s="205"/>
      <c r="N29" s="205"/>
      <c r="O29" s="220"/>
      <c r="P29" s="224"/>
      <c r="Q29" s="169"/>
      <c r="R29" s="271"/>
      <c r="S29" s="272"/>
      <c r="T29" s="271"/>
      <c r="U29" s="272"/>
      <c r="V29" s="271"/>
      <c r="W29" s="272"/>
      <c r="X29" s="258"/>
      <c r="Y29" s="224"/>
      <c r="Z29" s="244"/>
      <c r="AA29" s="287">
        <v>1</v>
      </c>
      <c r="AB29" s="287">
        <v>1</v>
      </c>
      <c r="AC29" s="287">
        <v>1</v>
      </c>
    </row>
    <row r="30" ht="15" spans="1:29">
      <c r="A30" s="70"/>
      <c r="B30" s="107" t="s">
        <v>1564</v>
      </c>
      <c r="C30" s="108" t="str">
        <f>估价对象房地状况!G23</f>
        <v>六级</v>
      </c>
      <c r="D30" s="79">
        <v>100</v>
      </c>
      <c r="E30" s="105" t="s">
        <v>286</v>
      </c>
      <c r="F30" s="79">
        <f>SUMIF(99:99,E30,100:100)-SUMIF(99:99,C30,100:100)+100</f>
        <v>97</v>
      </c>
      <c r="G30" s="105" t="s">
        <v>286</v>
      </c>
      <c r="H30" s="79">
        <f>SUMIF(99:99,G30,100:100)-SUMIF(99:99,C30,100:100)+100</f>
        <v>97</v>
      </c>
      <c r="I30" s="105" t="s">
        <v>286</v>
      </c>
      <c r="J30" s="79">
        <f>SUMIF(99:99,I30,100:100)-SUMIF(99:99,C30,100:100)+100</f>
        <v>97</v>
      </c>
      <c r="K30" s="228">
        <v>1</v>
      </c>
      <c r="L30" s="221"/>
      <c r="M30" s="205"/>
      <c r="N30" s="205"/>
      <c r="O30" s="220"/>
      <c r="P30" s="224"/>
      <c r="Q30" s="169" t="str">
        <f t="shared" si="8"/>
        <v>土地级别</v>
      </c>
      <c r="R30" s="271" t="s">
        <v>1440</v>
      </c>
      <c r="S30" s="272">
        <f t="shared" si="10"/>
        <v>97</v>
      </c>
      <c r="T30" s="271" t="s">
        <v>1440</v>
      </c>
      <c r="U30" s="272">
        <f t="shared" si="11"/>
        <v>97</v>
      </c>
      <c r="V30" s="271" t="s">
        <v>1440</v>
      </c>
      <c r="W30" s="272">
        <f t="shared" si="12"/>
        <v>97</v>
      </c>
      <c r="X30" s="258"/>
      <c r="Y30" s="224"/>
      <c r="Z30" s="244" t="str">
        <f t="shared" si="13"/>
        <v>土地级别</v>
      </c>
      <c r="AA30" s="287">
        <f t="shared" si="3"/>
        <v>1.03092783505155</v>
      </c>
      <c r="AB30" s="287">
        <f t="shared" si="4"/>
        <v>1.03092783505155</v>
      </c>
      <c r="AC30" s="287">
        <f t="shared" si="5"/>
        <v>1.03092783505155</v>
      </c>
    </row>
    <row r="31" ht="15" spans="1:29">
      <c r="A31" s="42"/>
      <c r="B31" s="109">
        <v>111</v>
      </c>
      <c r="C31" s="77"/>
      <c r="D31" s="79">
        <v>100</v>
      </c>
      <c r="E31" s="110"/>
      <c r="F31" s="79">
        <f>SUMIF(101:101,E31,102:102)-SUMIF(101:101,C31,102:102)+100</f>
        <v>100</v>
      </c>
      <c r="G31" s="110"/>
      <c r="H31" s="79">
        <f>SUMIF(101:101,G31,102:102)-SUMIF(101:101,C31,102:102)+100</f>
        <v>100</v>
      </c>
      <c r="I31" s="76"/>
      <c r="J31" s="79">
        <f>SUMIF(101:101,I31,102:102)-SUMIF(101:101,C31,102:102)+100</f>
        <v>100</v>
      </c>
      <c r="K31" s="227"/>
      <c r="L31" s="221"/>
      <c r="M31" s="205"/>
      <c r="N31" s="205"/>
      <c r="O31" s="220"/>
      <c r="P31" s="224"/>
      <c r="Q31" s="169">
        <f t="shared" si="8"/>
        <v>111</v>
      </c>
      <c r="R31" s="271" t="s">
        <v>1440</v>
      </c>
      <c r="S31" s="272">
        <f t="shared" si="10"/>
        <v>100</v>
      </c>
      <c r="T31" s="271" t="s">
        <v>1440</v>
      </c>
      <c r="U31" s="272">
        <f t="shared" si="11"/>
        <v>100</v>
      </c>
      <c r="V31" s="271" t="s">
        <v>1440</v>
      </c>
      <c r="W31" s="272">
        <f t="shared" si="12"/>
        <v>100</v>
      </c>
      <c r="X31" s="258"/>
      <c r="Y31" s="224"/>
      <c r="Z31" s="244">
        <f t="shared" si="13"/>
        <v>111</v>
      </c>
      <c r="AA31" s="287">
        <f t="shared" si="3"/>
        <v>1</v>
      </c>
      <c r="AB31" s="287">
        <f t="shared" si="4"/>
        <v>1</v>
      </c>
      <c r="AC31" s="287">
        <f t="shared" si="5"/>
        <v>1</v>
      </c>
    </row>
    <row r="32" ht="15" spans="1:29">
      <c r="A32" s="111"/>
      <c r="B32" s="112">
        <v>111</v>
      </c>
      <c r="C32" s="77"/>
      <c r="D32" s="79">
        <v>100</v>
      </c>
      <c r="E32" s="110"/>
      <c r="F32" s="79">
        <f>SUMIF(103:103,E33,104:104)-SUMIF(103:103,C33,104:104)+100</f>
        <v>100</v>
      </c>
      <c r="G32" s="110"/>
      <c r="H32" s="79">
        <f>SUMIF(103:103,G32,104:104)-SUMIF(103:103,C32,104:104)+100</f>
        <v>100</v>
      </c>
      <c r="I32" s="77"/>
      <c r="J32" s="79">
        <f>SUMIF(103:103,I32,104:104)-SUMIF(103:103,C32,104:104)+100</f>
        <v>100</v>
      </c>
      <c r="K32" s="227"/>
      <c r="L32" s="221"/>
      <c r="M32" s="205"/>
      <c r="N32" s="205"/>
      <c r="O32" s="220"/>
      <c r="P32" s="229" t="s">
        <v>1461</v>
      </c>
      <c r="Q32" s="169">
        <f t="shared" si="8"/>
        <v>111</v>
      </c>
      <c r="R32" s="271" t="s">
        <v>1440</v>
      </c>
      <c r="S32" s="272">
        <f t="shared" si="10"/>
        <v>100</v>
      </c>
      <c r="T32" s="271" t="s">
        <v>1440</v>
      </c>
      <c r="U32" s="272">
        <f t="shared" si="11"/>
        <v>100</v>
      </c>
      <c r="V32" s="271" t="s">
        <v>1440</v>
      </c>
      <c r="W32" s="272">
        <f t="shared" si="12"/>
        <v>100</v>
      </c>
      <c r="X32" s="258"/>
      <c r="Y32" s="232" t="s">
        <v>1461</v>
      </c>
      <c r="Z32" s="244">
        <f t="shared" si="13"/>
        <v>111</v>
      </c>
      <c r="AA32" s="287">
        <f t="shared" si="3"/>
        <v>1</v>
      </c>
      <c r="AB32" s="287">
        <f t="shared" si="4"/>
        <v>1</v>
      </c>
      <c r="AC32" s="287">
        <f t="shared" si="5"/>
        <v>1</v>
      </c>
    </row>
    <row r="33" s="17" customFormat="1" ht="15.75" spans="1:29">
      <c r="A33" s="113"/>
      <c r="B33" s="114">
        <v>111</v>
      </c>
      <c r="C33" s="115"/>
      <c r="D33" s="116">
        <v>100</v>
      </c>
      <c r="E33" s="117"/>
      <c r="F33" s="83">
        <f>SUMIF(105:105,E33,106:106)-SUMIF(105:105,C33,106:106)+100</f>
        <v>100</v>
      </c>
      <c r="G33" s="117"/>
      <c r="H33" s="83">
        <f>SUMIF(105:105,G33,106:106)-SUMIF(105:105,C33,106:106)+100</f>
        <v>100</v>
      </c>
      <c r="I33" s="115"/>
      <c r="J33" s="83">
        <f>SUMIF(105:105,I33,106:106)-SUMIF(105:105,C33,106:106)+100</f>
        <v>100</v>
      </c>
      <c r="K33" s="227"/>
      <c r="L33" s="219"/>
      <c r="M33" s="230"/>
      <c r="N33" s="230"/>
      <c r="O33" s="231"/>
      <c r="P33" s="232"/>
      <c r="Q33" s="169">
        <f t="shared" si="8"/>
        <v>111</v>
      </c>
      <c r="R33" s="273" t="s">
        <v>1440</v>
      </c>
      <c r="S33" s="274">
        <f t="shared" si="10"/>
        <v>100</v>
      </c>
      <c r="T33" s="273" t="s">
        <v>1440</v>
      </c>
      <c r="U33" s="274">
        <f t="shared" si="11"/>
        <v>100</v>
      </c>
      <c r="V33" s="273" t="s">
        <v>1440</v>
      </c>
      <c r="W33" s="274">
        <f t="shared" si="12"/>
        <v>100</v>
      </c>
      <c r="X33" s="275"/>
      <c r="Y33" s="232"/>
      <c r="Z33" s="288">
        <f t="shared" si="13"/>
        <v>111</v>
      </c>
      <c r="AA33" s="287">
        <f t="shared" si="3"/>
        <v>1</v>
      </c>
      <c r="AB33" s="287">
        <f t="shared" si="4"/>
        <v>1</v>
      </c>
      <c r="AC33" s="287">
        <f t="shared" si="5"/>
        <v>1</v>
      </c>
    </row>
    <row r="34" ht="15" spans="1:29">
      <c r="A34" s="84" t="s">
        <v>1459</v>
      </c>
      <c r="B34" s="118" t="s">
        <v>1565</v>
      </c>
      <c r="C34" s="119">
        <f>'数据-汇总表'!D6</f>
        <v>15415.9</v>
      </c>
      <c r="D34" s="120">
        <v>100</v>
      </c>
      <c r="E34" s="119">
        <f>土地案例!D7</f>
        <v>16627.21</v>
      </c>
      <c r="F34" s="120">
        <f>LOOKUP(E34,108:108,109:109)-LOOKUP(C34,108:108,109:109)+100</f>
        <v>100</v>
      </c>
      <c r="G34" s="119">
        <f>土地案例!D9</f>
        <v>19340</v>
      </c>
      <c r="H34" s="120">
        <f>LOOKUP(G34,108:108,109:109)-LOOKUP(C34,108:108,109:109)+100</f>
        <v>100</v>
      </c>
      <c r="I34" s="233">
        <f>土地案例!D10</f>
        <v>16697.47</v>
      </c>
      <c r="J34" s="120">
        <f>LOOKUP(I34,108:108,109:109)-LOOKUP(C34,108:108,109:109)+100</f>
        <v>100</v>
      </c>
      <c r="K34" s="227"/>
      <c r="L34" s="221"/>
      <c r="M34" s="205"/>
      <c r="N34" s="205"/>
      <c r="O34" s="220"/>
      <c r="P34" s="232"/>
      <c r="Q34" s="169" t="str">
        <f t="shared" si="8"/>
        <v>宗地面积</v>
      </c>
      <c r="R34" s="271" t="s">
        <v>1440</v>
      </c>
      <c r="S34" s="272">
        <f t="shared" si="10"/>
        <v>100</v>
      </c>
      <c r="T34" s="271" t="s">
        <v>1440</v>
      </c>
      <c r="U34" s="272">
        <f t="shared" si="11"/>
        <v>100</v>
      </c>
      <c r="V34" s="271" t="s">
        <v>1440</v>
      </c>
      <c r="W34" s="272">
        <f t="shared" si="12"/>
        <v>100</v>
      </c>
      <c r="X34" s="258"/>
      <c r="Y34" s="232"/>
      <c r="Z34" s="244" t="str">
        <f t="shared" si="13"/>
        <v>宗地面积</v>
      </c>
      <c r="AA34" s="287">
        <f t="shared" si="3"/>
        <v>1</v>
      </c>
      <c r="AB34" s="287">
        <f t="shared" si="4"/>
        <v>1</v>
      </c>
      <c r="AC34" s="287">
        <f t="shared" si="5"/>
        <v>1</v>
      </c>
    </row>
    <row r="35" ht="15" spans="1:29">
      <c r="A35" s="121"/>
      <c r="B35" s="67" t="s">
        <v>1566</v>
      </c>
      <c r="C35" s="122"/>
      <c r="D35" s="79">
        <v>100</v>
      </c>
      <c r="E35" s="122"/>
      <c r="F35" s="79">
        <f>SUMIF(110:110,E35,111:111)-SUMIF(110:110,C35,111:111)+100</f>
        <v>100</v>
      </c>
      <c r="G35" s="122"/>
      <c r="H35" s="79">
        <f>SUMIF(110:110,G35,111:111)-SUMIF(110:110,C35,111:111)+100</f>
        <v>100</v>
      </c>
      <c r="I35" s="122"/>
      <c r="J35" s="79">
        <f>SUMIF(110:110,I35,111:111)-SUMIF(110:110,C35,111:111)+100</f>
        <v>100</v>
      </c>
      <c r="K35" s="228"/>
      <c r="L35" s="221"/>
      <c r="M35" s="205"/>
      <c r="N35" s="205"/>
      <c r="O35" s="220"/>
      <c r="P35" s="232"/>
      <c r="Q35" s="169" t="str">
        <f t="shared" ref="Q35:Q40" si="14">B35</f>
        <v>宗地形状</v>
      </c>
      <c r="R35" s="271" t="s">
        <v>1440</v>
      </c>
      <c r="S35" s="272">
        <f t="shared" si="10"/>
        <v>100</v>
      </c>
      <c r="T35" s="271" t="s">
        <v>1440</v>
      </c>
      <c r="U35" s="272">
        <f t="shared" si="11"/>
        <v>100</v>
      </c>
      <c r="V35" s="271" t="s">
        <v>1440</v>
      </c>
      <c r="W35" s="272">
        <f t="shared" si="12"/>
        <v>100</v>
      </c>
      <c r="X35" s="258"/>
      <c r="Y35" s="232"/>
      <c r="Z35" s="244" t="str">
        <f t="shared" si="13"/>
        <v>宗地形状</v>
      </c>
      <c r="AA35" s="287">
        <f t="shared" si="3"/>
        <v>1</v>
      </c>
      <c r="AB35" s="287">
        <f t="shared" si="4"/>
        <v>1</v>
      </c>
      <c r="AC35" s="287">
        <f t="shared" si="5"/>
        <v>1</v>
      </c>
    </row>
    <row r="36" s="15" customFormat="1" ht="15" spans="1:29">
      <c r="A36" s="123"/>
      <c r="B36" s="67" t="s">
        <v>1568</v>
      </c>
      <c r="C36" s="124" t="s">
        <v>246</v>
      </c>
      <c r="D36" s="69">
        <v>100</v>
      </c>
      <c r="E36" s="124" t="s">
        <v>236</v>
      </c>
      <c r="F36" s="79">
        <f>SUMIF(112:112,E36,113:113)-SUMIF(112:112,C36,113:113)+100</f>
        <v>101</v>
      </c>
      <c r="G36" s="124" t="s">
        <v>236</v>
      </c>
      <c r="H36" s="79">
        <f>SUMIF(112:112,G36,113:113)-SUMIF(112:112,C36,113:113)+100</f>
        <v>101</v>
      </c>
      <c r="I36" s="124" t="s">
        <v>236</v>
      </c>
      <c r="J36" s="79">
        <f>SUMIF(112:112,I36,113:113)-SUMIF(112:112,C36,113:113)+100</f>
        <v>101</v>
      </c>
      <c r="K36" s="228">
        <v>1</v>
      </c>
      <c r="L36" s="210"/>
      <c r="M36" s="211"/>
      <c r="N36" s="211"/>
      <c r="O36" s="213"/>
      <c r="P36" s="232"/>
      <c r="Q36" s="169" t="str">
        <f t="shared" si="14"/>
        <v>宗地开发程度</v>
      </c>
      <c r="R36" s="266" t="s">
        <v>1440</v>
      </c>
      <c r="S36" s="267">
        <f t="shared" si="10"/>
        <v>101</v>
      </c>
      <c r="T36" s="266" t="s">
        <v>1440</v>
      </c>
      <c r="U36" s="267">
        <f t="shared" si="11"/>
        <v>101</v>
      </c>
      <c r="V36" s="266" t="s">
        <v>1440</v>
      </c>
      <c r="W36" s="267">
        <f t="shared" si="12"/>
        <v>101</v>
      </c>
      <c r="X36" s="268"/>
      <c r="Y36" s="232"/>
      <c r="Z36" s="286" t="str">
        <f t="shared" si="13"/>
        <v>宗地开发程度</v>
      </c>
      <c r="AA36" s="285">
        <f t="shared" si="3"/>
        <v>0.99009900990099</v>
      </c>
      <c r="AB36" s="285">
        <f t="shared" si="4"/>
        <v>0.99009900990099</v>
      </c>
      <c r="AC36" s="285">
        <f t="shared" si="5"/>
        <v>0.99009900990099</v>
      </c>
    </row>
    <row r="37" ht="15" spans="1:29">
      <c r="A37" s="121"/>
      <c r="B37" s="67" t="s">
        <v>1569</v>
      </c>
      <c r="C37" s="122"/>
      <c r="D37" s="79">
        <v>100</v>
      </c>
      <c r="E37" s="122"/>
      <c r="F37" s="79">
        <f>SUMIF(114:114,E37,115:115)-SUMIF(114:114,C37,115:115)+100</f>
        <v>100</v>
      </c>
      <c r="G37" s="122"/>
      <c r="H37" s="79">
        <f>SUMIF(114:114,G37,115:115)-SUMIF(114:114,C37,115:115)+100</f>
        <v>100</v>
      </c>
      <c r="I37" s="122"/>
      <c r="J37" s="79">
        <f>SUMIF(114:114,I37,115:115)-SUMIF(114:114,C37,115:115)+100</f>
        <v>100</v>
      </c>
      <c r="K37" s="228"/>
      <c r="L37" s="221"/>
      <c r="M37" s="205"/>
      <c r="N37" s="205"/>
      <c r="O37" s="220"/>
      <c r="P37" s="232" t="s">
        <v>1461</v>
      </c>
      <c r="Q37" s="169" t="str">
        <f t="shared" si="14"/>
        <v>工程地质条件</v>
      </c>
      <c r="R37" s="271" t="s">
        <v>1440</v>
      </c>
      <c r="S37" s="272">
        <f t="shared" si="10"/>
        <v>100</v>
      </c>
      <c r="T37" s="271" t="s">
        <v>1440</v>
      </c>
      <c r="U37" s="272">
        <f t="shared" si="11"/>
        <v>100</v>
      </c>
      <c r="V37" s="271" t="s">
        <v>1440</v>
      </c>
      <c r="W37" s="272">
        <f t="shared" si="12"/>
        <v>100</v>
      </c>
      <c r="X37" s="258"/>
      <c r="Y37" s="232" t="s">
        <v>1461</v>
      </c>
      <c r="Z37" s="244" t="str">
        <f t="shared" si="13"/>
        <v>工程地质条件</v>
      </c>
      <c r="AA37" s="287">
        <f t="shared" si="3"/>
        <v>1</v>
      </c>
      <c r="AB37" s="287">
        <f t="shared" si="4"/>
        <v>1</v>
      </c>
      <c r="AC37" s="287">
        <f t="shared" si="5"/>
        <v>1</v>
      </c>
    </row>
    <row r="38" ht="15" spans="1:29">
      <c r="A38" s="121"/>
      <c r="B38" s="125">
        <v>111</v>
      </c>
      <c r="C38" s="77"/>
      <c r="D38" s="79">
        <v>100</v>
      </c>
      <c r="E38" s="77"/>
      <c r="F38" s="79">
        <f>SUMIF(116:116,E38,117:117)-SUMIF(116:116,C38,117:117)+100</f>
        <v>100</v>
      </c>
      <c r="G38" s="77"/>
      <c r="H38" s="79">
        <f>SUMIF(116:116,G38,117:117)-SUMIF(116:116,C38,117:117)+100</f>
        <v>100</v>
      </c>
      <c r="I38" s="76"/>
      <c r="J38" s="79">
        <f>SUMIF(116:116,I38,117:117)-SUMIF(116:116,C38,117:117)+100</f>
        <v>100</v>
      </c>
      <c r="K38" s="227"/>
      <c r="L38" s="221"/>
      <c r="M38" s="205"/>
      <c r="N38" s="205"/>
      <c r="O38" s="220"/>
      <c r="P38" s="232"/>
      <c r="Q38" s="169">
        <f t="shared" si="14"/>
        <v>111</v>
      </c>
      <c r="R38" s="271" t="s">
        <v>1440</v>
      </c>
      <c r="S38" s="272">
        <f t="shared" si="10"/>
        <v>100</v>
      </c>
      <c r="T38" s="271" t="s">
        <v>1440</v>
      </c>
      <c r="U38" s="272">
        <f t="shared" si="11"/>
        <v>100</v>
      </c>
      <c r="V38" s="271" t="s">
        <v>1440</v>
      </c>
      <c r="W38" s="272">
        <f t="shared" si="12"/>
        <v>100</v>
      </c>
      <c r="X38" s="258"/>
      <c r="Y38" s="232"/>
      <c r="Z38" s="244">
        <f t="shared" si="13"/>
        <v>111</v>
      </c>
      <c r="AA38" s="287">
        <f t="shared" si="3"/>
        <v>1</v>
      </c>
      <c r="AB38" s="287">
        <f t="shared" si="4"/>
        <v>1</v>
      </c>
      <c r="AC38" s="287">
        <f t="shared" si="5"/>
        <v>1</v>
      </c>
    </row>
    <row r="39" ht="15" spans="1:29">
      <c r="A39" s="121"/>
      <c r="B39" s="125">
        <v>111</v>
      </c>
      <c r="C39" s="77"/>
      <c r="D39" s="79">
        <v>100</v>
      </c>
      <c r="E39" s="77"/>
      <c r="F39" s="79">
        <f>SUMIF(118:118,E39,119:119)-SUMIF(118:118,C39,119:119)+100</f>
        <v>100</v>
      </c>
      <c r="G39" s="77"/>
      <c r="H39" s="79">
        <f>SUMIF(118:118,G39,119:119)-SUMIF(118:118,C39,119:119)+100</f>
        <v>100</v>
      </c>
      <c r="I39" s="76"/>
      <c r="J39" s="79">
        <f>SUMIF(118:118,I39,119:119)-SUMIF(118:118,C39,119:119)+100</f>
        <v>100</v>
      </c>
      <c r="K39" s="227"/>
      <c r="L39" s="221"/>
      <c r="M39" s="205"/>
      <c r="N39" s="205"/>
      <c r="O39" s="220"/>
      <c r="P39" s="232"/>
      <c r="Q39" s="169">
        <f t="shared" si="14"/>
        <v>111</v>
      </c>
      <c r="R39" s="271" t="s">
        <v>1440</v>
      </c>
      <c r="S39" s="272">
        <f t="shared" si="10"/>
        <v>100</v>
      </c>
      <c r="T39" s="271" t="s">
        <v>1440</v>
      </c>
      <c r="U39" s="272">
        <f t="shared" si="11"/>
        <v>100</v>
      </c>
      <c r="V39" s="271" t="s">
        <v>1440</v>
      </c>
      <c r="W39" s="272">
        <f t="shared" si="12"/>
        <v>100</v>
      </c>
      <c r="X39" s="258"/>
      <c r="Y39" s="232"/>
      <c r="Z39" s="244">
        <f t="shared" si="13"/>
        <v>111</v>
      </c>
      <c r="AA39" s="287">
        <f t="shared" si="3"/>
        <v>1</v>
      </c>
      <c r="AB39" s="287">
        <f t="shared" si="4"/>
        <v>1</v>
      </c>
      <c r="AC39" s="287">
        <f t="shared" si="5"/>
        <v>1</v>
      </c>
    </row>
    <row r="40" s="17" customFormat="1" ht="15.75" spans="1:29">
      <c r="A40" s="126"/>
      <c r="B40" s="125">
        <v>111</v>
      </c>
      <c r="C40" s="127"/>
      <c r="D40" s="116">
        <v>100</v>
      </c>
      <c r="E40" s="77"/>
      <c r="F40" s="83">
        <f>SUMIF(120:120,E40,121:121)-SUMIF(120:120,C40,121:121)+100</f>
        <v>100</v>
      </c>
      <c r="G40" s="77"/>
      <c r="H40" s="83">
        <f>SUMIF(120:120,G40,121:121)-SUMIF(120:120,C40,121:121)+100</f>
        <v>100</v>
      </c>
      <c r="I40" s="76"/>
      <c r="J40" s="83">
        <f>SUMIF(120:120,I40,121:121)-SUMIF(120:120,C40,121:121)+100</f>
        <v>100</v>
      </c>
      <c r="K40" s="234"/>
      <c r="L40" s="219"/>
      <c r="M40" s="230"/>
      <c r="N40" s="230"/>
      <c r="O40" s="231"/>
      <c r="P40" s="232"/>
      <c r="Q40" s="169">
        <f t="shared" si="14"/>
        <v>111</v>
      </c>
      <c r="R40" s="273" t="s">
        <v>1440</v>
      </c>
      <c r="S40" s="274">
        <f t="shared" si="10"/>
        <v>100</v>
      </c>
      <c r="T40" s="273" t="s">
        <v>1440</v>
      </c>
      <c r="U40" s="274">
        <f t="shared" si="11"/>
        <v>100</v>
      </c>
      <c r="V40" s="273" t="s">
        <v>1440</v>
      </c>
      <c r="W40" s="274">
        <f t="shared" si="12"/>
        <v>100</v>
      </c>
      <c r="X40" s="275"/>
      <c r="Y40" s="232"/>
      <c r="Z40" s="288">
        <f t="shared" si="13"/>
        <v>111</v>
      </c>
      <c r="AA40" s="287">
        <f t="shared" si="3"/>
        <v>1</v>
      </c>
      <c r="AB40" s="287">
        <f t="shared" si="4"/>
        <v>1</v>
      </c>
      <c r="AC40" s="287">
        <f t="shared" si="5"/>
        <v>1</v>
      </c>
    </row>
    <row r="41" ht="14.4" spans="1:29">
      <c r="A41" s="128" t="s">
        <v>1552</v>
      </c>
      <c r="B41" s="129" t="s">
        <v>1606</v>
      </c>
      <c r="C41" s="130" t="s">
        <v>124</v>
      </c>
      <c r="D41" s="131"/>
      <c r="E41" s="132">
        <f>土地案例!T7</f>
        <v>4503</v>
      </c>
      <c r="F41" s="133"/>
      <c r="G41" s="134">
        <f>土地案例!T9</f>
        <v>4367</v>
      </c>
      <c r="H41" s="135"/>
      <c r="I41" s="132">
        <f>土地案例!T10</f>
        <v>4367</v>
      </c>
      <c r="J41" s="135"/>
      <c r="K41" s="235"/>
      <c r="L41" s="236"/>
      <c r="M41" s="205"/>
      <c r="N41" s="205"/>
      <c r="O41" s="145"/>
      <c r="P41" s="169" t="str">
        <f>A41</f>
        <v>成交单价</v>
      </c>
      <c r="Q41" s="169"/>
      <c r="R41" s="244">
        <f>E41</f>
        <v>4503</v>
      </c>
      <c r="S41" s="244"/>
      <c r="T41" s="244">
        <f>G41</f>
        <v>4367</v>
      </c>
      <c r="U41" s="244"/>
      <c r="V41" s="244">
        <f>I41</f>
        <v>4367</v>
      </c>
      <c r="W41" s="244"/>
      <c r="X41" s="193"/>
      <c r="Y41" s="289"/>
      <c r="Z41" s="193"/>
      <c r="AA41" s="193"/>
      <c r="AB41" s="193"/>
      <c r="AC41" s="193"/>
    </row>
    <row r="42" ht="15.15" spans="1:29">
      <c r="A42" s="136" t="s">
        <v>1473</v>
      </c>
      <c r="B42" s="137"/>
      <c r="C42" s="138">
        <f>R43</f>
        <v>3840</v>
      </c>
      <c r="D42" s="139" t="s">
        <v>1474</v>
      </c>
      <c r="E42" s="138">
        <f>R42</f>
        <v>3825</v>
      </c>
      <c r="F42" s="140"/>
      <c r="G42" s="141">
        <f>T42</f>
        <v>3827</v>
      </c>
      <c r="H42" s="140"/>
      <c r="I42" s="138">
        <f>V42</f>
        <v>3868</v>
      </c>
      <c r="J42" s="140"/>
      <c r="K42" s="237">
        <f>F42+H42+J42</f>
        <v>0</v>
      </c>
      <c r="L42" s="236"/>
      <c r="M42" s="205"/>
      <c r="N42" s="205"/>
      <c r="O42" s="145"/>
      <c r="P42" s="169" t="str">
        <f>A42</f>
        <v>比较价值（元/平方米）</v>
      </c>
      <c r="Q42" s="169"/>
      <c r="R42" s="276">
        <f>ROUND(PRODUCT(R41,AA7:AA40),0)</f>
        <v>3825</v>
      </c>
      <c r="S42" s="276"/>
      <c r="T42" s="276">
        <f>ROUND(PRODUCT(T41,AB7:AB40),0)</f>
        <v>3827</v>
      </c>
      <c r="U42" s="276"/>
      <c r="V42" s="276">
        <f>ROUND(PRODUCT(V41,AC7:AC40),0)</f>
        <v>3868</v>
      </c>
      <c r="W42" s="276"/>
      <c r="X42" s="193"/>
      <c r="Y42" s="193"/>
      <c r="Z42" s="193"/>
      <c r="AA42" s="193"/>
      <c r="AB42" s="193"/>
      <c r="AC42" s="193"/>
    </row>
    <row r="43" ht="15.15" spans="1:29">
      <c r="A43" s="142" t="s">
        <v>1475</v>
      </c>
      <c r="B43" s="143"/>
      <c r="C43" s="144">
        <f>R43</f>
        <v>3840</v>
      </c>
      <c r="D43" s="144"/>
      <c r="E43" s="144"/>
      <c r="F43" s="144"/>
      <c r="G43" s="144"/>
      <c r="H43" s="144"/>
      <c r="I43" s="144"/>
      <c r="J43" s="144"/>
      <c r="K43" s="238"/>
      <c r="L43" s="236"/>
      <c r="M43" s="205"/>
      <c r="N43" s="205"/>
      <c r="O43" s="145"/>
      <c r="P43" s="239" t="str">
        <f>A43</f>
        <v>估价对象XX用房的比较价值（楼面单价，元/平方米）</v>
      </c>
      <c r="Q43" s="277"/>
      <c r="R43" s="278">
        <f>ROUND(IF(D42="简单平均",AVERAGE(R42:W42),R42*F42+T42*H42+V42*J42),0)</f>
        <v>3840</v>
      </c>
      <c r="S43" s="278"/>
      <c r="T43" s="278"/>
      <c r="U43" s="278"/>
      <c r="V43" s="278"/>
      <c r="W43" s="278"/>
      <c r="X43" s="193"/>
      <c r="Y43" s="193"/>
      <c r="Z43" s="193"/>
      <c r="AA43" s="193"/>
      <c r="AB43" s="193"/>
      <c r="AC43" s="193"/>
    </row>
    <row r="44" spans="1:31">
      <c r="A44" s="145"/>
      <c r="B44" s="145"/>
      <c r="C44" s="145"/>
      <c r="D44" s="145"/>
      <c r="E44" s="145"/>
      <c r="F44" s="145"/>
      <c r="G44" s="146"/>
      <c r="H44" s="145"/>
      <c r="I44" s="145"/>
      <c r="J44" s="145"/>
      <c r="K44" s="240"/>
      <c r="L44" s="241"/>
      <c r="M44" s="205"/>
      <c r="N44" s="205"/>
      <c r="O44" s="145"/>
      <c r="P44" s="145"/>
      <c r="Q44" s="145"/>
      <c r="R44" s="145"/>
      <c r="S44" s="145"/>
      <c r="T44" s="145"/>
      <c r="U44" s="145"/>
      <c r="V44" s="145"/>
      <c r="W44" s="145"/>
      <c r="X44" s="145"/>
      <c r="Y44" s="145"/>
      <c r="Z44" s="145"/>
      <c r="AA44" s="145"/>
      <c r="AB44" s="145"/>
      <c r="AC44" s="145"/>
      <c r="AD44" s="145"/>
      <c r="AE44" s="145"/>
    </row>
    <row r="45" spans="1:31">
      <c r="A45" s="145"/>
      <c r="B45" s="145"/>
      <c r="C45" s="145"/>
      <c r="D45" s="145"/>
      <c r="E45" s="145"/>
      <c r="F45" s="145"/>
      <c r="G45" s="145"/>
      <c r="H45" s="145"/>
      <c r="I45" s="145"/>
      <c r="J45" s="145"/>
      <c r="K45" s="240"/>
      <c r="L45" s="241"/>
      <c r="M45" s="205"/>
      <c r="N45" s="205"/>
      <c r="O45" s="145"/>
      <c r="P45" s="145"/>
      <c r="Q45" s="145"/>
      <c r="R45" s="145"/>
      <c r="S45" s="145"/>
      <c r="T45" s="145"/>
      <c r="U45" s="145"/>
      <c r="V45" s="145"/>
      <c r="W45" s="145"/>
      <c r="X45" s="145"/>
      <c r="Y45" s="145"/>
      <c r="Z45" s="145"/>
      <c r="AA45" s="145"/>
      <c r="AB45" s="145"/>
      <c r="AC45" s="145"/>
      <c r="AD45" s="145"/>
      <c r="AE45" s="145"/>
    </row>
    <row r="46" ht="13.5" customHeight="1" spans="1:31">
      <c r="A46" s="145"/>
      <c r="B46" s="145"/>
      <c r="C46" s="147" t="s">
        <v>1476</v>
      </c>
      <c r="D46" s="148"/>
      <c r="E46" s="149">
        <f>IF(E41&lt;E42,E42/E41-1,E41/E42-1)</f>
        <v>0.177254901960784</v>
      </c>
      <c r="F46" s="150" t="str">
        <f>IF(OR(E46&gt;=0.3,E46&lt;=-0.3),"超过30%","")</f>
        <v/>
      </c>
      <c r="G46" s="149">
        <f>IF(G41&lt;G42,G42/G41-1,G41/G42-1)</f>
        <v>0.141102691403188</v>
      </c>
      <c r="H46" s="150" t="str">
        <f>IF(OR(G46&gt;=0.3,G46&lt;=-0.3),"超过30%","")</f>
        <v/>
      </c>
      <c r="I46" s="149">
        <f>IF(I41&lt;I42,I42/I41-1,I41/I42-1)</f>
        <v>0.129007238883144</v>
      </c>
      <c r="J46" s="150" t="str">
        <f>IF(OR(I46&gt;=0.3,I46&lt;=-0.3),"超过30%","")</f>
        <v/>
      </c>
      <c r="K46" s="240"/>
      <c r="L46" s="241"/>
      <c r="M46" s="205"/>
      <c r="N46" s="205"/>
      <c r="O46" s="145"/>
      <c r="P46" s="145"/>
      <c r="Q46" s="145"/>
      <c r="R46" s="145"/>
      <c r="S46" s="145"/>
      <c r="T46" s="145"/>
      <c r="U46" s="145"/>
      <c r="V46" s="145"/>
      <c r="W46" s="145"/>
      <c r="X46" s="145"/>
      <c r="Y46" s="145"/>
      <c r="Z46" s="145"/>
      <c r="AA46" s="145"/>
      <c r="AB46" s="145"/>
      <c r="AC46" s="145"/>
      <c r="AD46" s="145"/>
      <c r="AE46" s="145"/>
    </row>
    <row r="47" ht="13.5" customHeight="1" spans="1:31">
      <c r="A47" s="145"/>
      <c r="B47" s="145"/>
      <c r="C47" s="147" t="s">
        <v>1477</v>
      </c>
      <c r="D47" s="151"/>
      <c r="E47" s="149">
        <f>IF(E42&lt;G42,G42/E42-1,E42/G42-1)</f>
        <v>0.000522875816993507</v>
      </c>
      <c r="F47" s="150" t="str">
        <f>IF(OR(E47&gt;=0.2,E47&lt;=-0.2),"超过20%","")</f>
        <v/>
      </c>
      <c r="G47" s="149">
        <f>IF(G42&lt;I42,I42/G42-1,G42/I42-1)</f>
        <v>0.0107133524954273</v>
      </c>
      <c r="H47" s="150" t="str">
        <f>IF(OR(G47&gt;=0.2,G47&lt;=-0.2),"超过20%","")</f>
        <v/>
      </c>
      <c r="I47" s="149">
        <f>IF(I42&lt;E42,E42/I42-1,I42/E42-1)</f>
        <v>0.0112418300653594</v>
      </c>
      <c r="J47" s="150" t="str">
        <f>IF(OR(I47&gt;=0.2,I47&lt;=-0.2),"超过20%","")</f>
        <v/>
      </c>
      <c r="K47" s="240"/>
      <c r="L47" s="241"/>
      <c r="M47" s="145"/>
      <c r="N47" s="145"/>
      <c r="O47" s="145"/>
      <c r="P47" s="145"/>
      <c r="Q47" s="145"/>
      <c r="R47" s="145"/>
      <c r="S47" s="145"/>
      <c r="T47" s="145"/>
      <c r="U47" s="145"/>
      <c r="V47" s="145"/>
      <c r="W47" s="145"/>
      <c r="X47" s="145"/>
      <c r="Y47" s="145"/>
      <c r="Z47" s="145"/>
      <c r="AA47" s="145"/>
      <c r="AB47" s="145"/>
      <c r="AC47" s="145"/>
      <c r="AD47" s="145"/>
      <c r="AE47" s="145"/>
    </row>
    <row r="48" s="18" customFormat="1" ht="13.5" customHeight="1" spans="1:31">
      <c r="A48" s="152"/>
      <c r="B48" s="152"/>
      <c r="C48" s="147" t="s">
        <v>1478</v>
      </c>
      <c r="D48" s="151"/>
      <c r="E48" s="149">
        <f>IF(E41&lt;G41,G41/E41-1,E41/G41-1)</f>
        <v>0.0311426608655827</v>
      </c>
      <c r="F48" s="150" t="str">
        <f>IF(OR(E48&gt;=0.3,E48&lt;=-0.3),"超过30%","")</f>
        <v/>
      </c>
      <c r="G48" s="149">
        <f>IF(G41&lt;I41,I41/G41-1,G41/I41-1)</f>
        <v>0</v>
      </c>
      <c r="H48" s="150" t="str">
        <f>IF(OR(G48&gt;=0.3,G48&lt;=-0.3),"超过30%","")</f>
        <v/>
      </c>
      <c r="I48" s="149">
        <f>IF(I41&lt;E41,E41/I41-1,I41/E41-1)</f>
        <v>0.0311426608655827</v>
      </c>
      <c r="J48" s="150" t="str">
        <f>IF(OR(I48&gt;=0.3,I48&lt;=-0.3),"超过30%","")</f>
        <v/>
      </c>
      <c r="K48" s="242"/>
      <c r="L48" s="243"/>
      <c r="M48" s="152"/>
      <c r="N48" s="152"/>
      <c r="O48" s="152"/>
      <c r="P48" s="152"/>
      <c r="Q48" s="152"/>
      <c r="R48" s="152"/>
      <c r="S48" s="152"/>
      <c r="T48" s="152"/>
      <c r="U48" s="152"/>
      <c r="V48" s="152"/>
      <c r="W48" s="152"/>
      <c r="X48" s="152"/>
      <c r="Y48" s="152"/>
      <c r="Z48" s="152"/>
      <c r="AA48" s="152"/>
      <c r="AB48" s="152"/>
      <c r="AC48" s="152"/>
      <c r="AD48" s="152"/>
      <c r="AE48" s="152"/>
    </row>
    <row r="49" s="18" customFormat="1" ht="14.55" spans="1:31">
      <c r="A49" s="152"/>
      <c r="B49" s="153"/>
      <c r="C49" s="154"/>
      <c r="D49" s="155"/>
      <c r="E49" s="155"/>
      <c r="F49" s="155"/>
      <c r="G49" s="155"/>
      <c r="H49" s="155"/>
      <c r="I49" s="155"/>
      <c r="J49" s="155"/>
      <c r="K49" s="242"/>
      <c r="L49" s="243"/>
      <c r="M49" s="152"/>
      <c r="N49" s="152"/>
      <c r="O49" s="152"/>
      <c r="P49" s="152"/>
      <c r="Q49" s="152"/>
      <c r="R49" s="152"/>
      <c r="S49" s="152"/>
      <c r="T49" s="152"/>
      <c r="U49" s="152"/>
      <c r="V49" s="152"/>
      <c r="W49" s="152"/>
      <c r="X49" s="152"/>
      <c r="Y49" s="152"/>
      <c r="Z49" s="152"/>
      <c r="AA49" s="152"/>
      <c r="AB49" s="152"/>
      <c r="AC49" s="152"/>
      <c r="AD49" s="152"/>
      <c r="AE49" s="152"/>
    </row>
    <row r="50" ht="28.8" spans="1:31">
      <c r="A50" s="156" t="s">
        <v>1572</v>
      </c>
      <c r="B50" s="157" t="s">
        <v>1573</v>
      </c>
      <c r="C50" s="158" t="s">
        <v>1574</v>
      </c>
      <c r="D50" s="159" t="s">
        <v>1575</v>
      </c>
      <c r="E50" s="160" t="s">
        <v>1576</v>
      </c>
      <c r="F50" s="161" t="s">
        <v>1577</v>
      </c>
      <c r="G50" s="38" t="s">
        <v>1578</v>
      </c>
      <c r="H50" s="162"/>
      <c r="I50" s="244" t="s">
        <v>1607</v>
      </c>
      <c r="J50" s="244">
        <f>项目基本情况!F35</f>
        <v>0</v>
      </c>
      <c r="K50" s="245" t="s">
        <v>1580</v>
      </c>
      <c r="L50" s="241"/>
      <c r="M50" s="145"/>
      <c r="N50" s="145"/>
      <c r="O50" s="145"/>
      <c r="P50" s="145"/>
      <c r="Q50" s="145"/>
      <c r="R50" s="145"/>
      <c r="S50" s="145"/>
      <c r="T50" s="145"/>
      <c r="U50" s="145"/>
      <c r="V50" s="145"/>
      <c r="W50" s="145"/>
      <c r="X50" s="145"/>
      <c r="Y50" s="145"/>
      <c r="Z50" s="145"/>
      <c r="AA50" s="145"/>
      <c r="AB50" s="145"/>
      <c r="AC50" s="145"/>
      <c r="AD50" s="145"/>
      <c r="AE50" s="145"/>
    </row>
    <row r="51" s="19" customFormat="1" spans="1:31">
      <c r="A51" s="163" t="s">
        <v>1581</v>
      </c>
      <c r="B51" s="164">
        <f>C43</f>
        <v>3840</v>
      </c>
      <c r="C51" s="165">
        <v>1</v>
      </c>
      <c r="D51" s="166">
        <v>1</v>
      </c>
      <c r="E51" s="165">
        <f>'数据-汇总表'!E8+'数据-汇总表'!E9</f>
        <v>4363.97</v>
      </c>
      <c r="F51" s="167">
        <f t="shared" ref="F51:F60" si="15">ROUND(B51*E51/10000,0)</f>
        <v>1676</v>
      </c>
      <c r="G51" s="168"/>
      <c r="H51" s="169"/>
      <c r="I51" s="246">
        <v>1</v>
      </c>
      <c r="J51" s="246">
        <v>1</v>
      </c>
      <c r="K51" s="152"/>
      <c r="L51" s="247"/>
      <c r="M51" s="247"/>
      <c r="N51" s="247"/>
      <c r="O51" s="247"/>
      <c r="P51" s="247"/>
      <c r="Q51" s="247"/>
      <c r="R51" s="247"/>
      <c r="S51" s="247"/>
      <c r="T51" s="247"/>
      <c r="U51" s="247"/>
      <c r="V51" s="247"/>
      <c r="W51" s="247"/>
      <c r="X51" s="247"/>
      <c r="Y51" s="247"/>
      <c r="Z51" s="247"/>
      <c r="AA51" s="247"/>
      <c r="AB51" s="247"/>
      <c r="AC51" s="247"/>
      <c r="AD51" s="247"/>
      <c r="AE51" s="247"/>
    </row>
    <row r="52" s="19" customFormat="1" spans="1:31">
      <c r="A52" s="170" t="s">
        <v>1582</v>
      </c>
      <c r="B52" s="171">
        <f>ROUND($C$43*C52*D52,0)</f>
        <v>0</v>
      </c>
      <c r="C52" s="172">
        <f t="shared" ref="C52:C60" si="16">IF($C$50="北京市系数",I52,J52)</f>
        <v>0</v>
      </c>
      <c r="D52" s="173">
        <v>0.25</v>
      </c>
      <c r="E52" s="174"/>
      <c r="F52" s="167">
        <f t="shared" si="15"/>
        <v>0</v>
      </c>
      <c r="G52" s="175" t="s">
        <v>1583</v>
      </c>
      <c r="H52" s="176">
        <f>项目基本情况!B37</f>
        <v>0</v>
      </c>
      <c r="I52" s="246">
        <f>SUMIF(修正!A57:A68,H52,修正!B57:B68)</f>
        <v>0</v>
      </c>
      <c r="J52" s="248"/>
      <c r="K52" s="145"/>
      <c r="L52" s="247"/>
      <c r="M52" s="247"/>
      <c r="N52" s="247"/>
      <c r="O52" s="247"/>
      <c r="P52" s="247"/>
      <c r="Q52" s="247"/>
      <c r="R52" s="247"/>
      <c r="S52" s="247"/>
      <c r="T52" s="247"/>
      <c r="U52" s="247"/>
      <c r="V52" s="247"/>
      <c r="W52" s="247"/>
      <c r="X52" s="247"/>
      <c r="Y52" s="247"/>
      <c r="Z52" s="247"/>
      <c r="AA52" s="247"/>
      <c r="AB52" s="247"/>
      <c r="AC52" s="247"/>
      <c r="AD52" s="247"/>
      <c r="AE52" s="247"/>
    </row>
    <row r="53" s="19" customFormat="1" spans="1:31">
      <c r="A53" s="170" t="s">
        <v>1584</v>
      </c>
      <c r="B53" s="171">
        <f t="shared" ref="B53:B60" si="17">ROUND($C$43*C53*D53,0)</f>
        <v>0</v>
      </c>
      <c r="C53" s="172">
        <f t="shared" si="16"/>
        <v>0</v>
      </c>
      <c r="D53" s="173">
        <v>0.25</v>
      </c>
      <c r="E53" s="174"/>
      <c r="F53" s="167">
        <f t="shared" si="15"/>
        <v>0</v>
      </c>
      <c r="G53" s="177"/>
      <c r="H53" s="176">
        <f>项目基本情况!B37</f>
        <v>0</v>
      </c>
      <c r="I53" s="246">
        <f>SUMIF(修正!A57:A68,H53,修正!C57:C68)</f>
        <v>0</v>
      </c>
      <c r="J53" s="248"/>
      <c r="K53" s="152"/>
      <c r="L53" s="247"/>
      <c r="M53" s="247"/>
      <c r="N53" s="247"/>
      <c r="O53" s="247"/>
      <c r="P53" s="247"/>
      <c r="Q53" s="247"/>
      <c r="R53" s="247"/>
      <c r="S53" s="247"/>
      <c r="T53" s="247"/>
      <c r="U53" s="247"/>
      <c r="V53" s="247"/>
      <c r="W53" s="247"/>
      <c r="X53" s="247"/>
      <c r="Y53" s="247"/>
      <c r="Z53" s="247"/>
      <c r="AA53" s="247"/>
      <c r="AB53" s="247"/>
      <c r="AC53" s="247"/>
      <c r="AD53" s="247"/>
      <c r="AE53" s="247"/>
    </row>
    <row r="54" s="19" customFormat="1" spans="1:31">
      <c r="A54" s="170" t="s">
        <v>1585</v>
      </c>
      <c r="B54" s="171">
        <f t="shared" si="17"/>
        <v>0</v>
      </c>
      <c r="C54" s="172">
        <f t="shared" si="16"/>
        <v>0</v>
      </c>
      <c r="D54" s="173">
        <v>0.25</v>
      </c>
      <c r="E54" s="174"/>
      <c r="F54" s="167">
        <f t="shared" si="15"/>
        <v>0</v>
      </c>
      <c r="G54" s="177"/>
      <c r="H54" s="176">
        <f>项目基本情况!B37</f>
        <v>0</v>
      </c>
      <c r="I54" s="246">
        <f>SUMIF(修正!A57:A68,H54,修正!D57:D68)</f>
        <v>0</v>
      </c>
      <c r="J54" s="248"/>
      <c r="K54" s="145"/>
      <c r="L54" s="247"/>
      <c r="M54" s="247"/>
      <c r="N54" s="247"/>
      <c r="O54" s="247"/>
      <c r="P54" s="247"/>
      <c r="Q54" s="247"/>
      <c r="R54" s="247"/>
      <c r="S54" s="247"/>
      <c r="T54" s="247"/>
      <c r="U54" s="247"/>
      <c r="V54" s="247"/>
      <c r="W54" s="247"/>
      <c r="X54" s="247"/>
      <c r="Y54" s="247"/>
      <c r="Z54" s="247"/>
      <c r="AA54" s="247"/>
      <c r="AB54" s="247"/>
      <c r="AC54" s="247"/>
      <c r="AD54" s="247"/>
      <c r="AE54" s="247"/>
    </row>
    <row r="55" s="19" customFormat="1" hidden="1" spans="1:31">
      <c r="A55" s="170"/>
      <c r="B55" s="171"/>
      <c r="C55" s="172"/>
      <c r="D55" s="173"/>
      <c r="E55" s="174"/>
      <c r="F55" s="167"/>
      <c r="G55" s="178"/>
      <c r="H55" s="176"/>
      <c r="I55" s="246"/>
      <c r="J55" s="248"/>
      <c r="K55" s="152"/>
      <c r="L55" s="247"/>
      <c r="M55" s="247"/>
      <c r="N55" s="247"/>
      <c r="O55" s="247"/>
      <c r="P55" s="247"/>
      <c r="Q55" s="247"/>
      <c r="R55" s="247"/>
      <c r="S55" s="247"/>
      <c r="T55" s="247"/>
      <c r="U55" s="247"/>
      <c r="V55" s="247"/>
      <c r="W55" s="247"/>
      <c r="X55" s="247"/>
      <c r="Y55" s="247"/>
      <c r="Z55" s="247"/>
      <c r="AA55" s="247"/>
      <c r="AB55" s="247"/>
      <c r="AC55" s="247"/>
      <c r="AD55" s="247"/>
      <c r="AE55" s="247"/>
    </row>
    <row r="56" s="19" customFormat="1" spans="1:31">
      <c r="A56" s="170" t="s">
        <v>1586</v>
      </c>
      <c r="B56" s="171">
        <f t="shared" si="17"/>
        <v>240</v>
      </c>
      <c r="C56" s="172">
        <f t="shared" si="16"/>
        <v>0.25</v>
      </c>
      <c r="D56" s="173">
        <v>0.25</v>
      </c>
      <c r="E56" s="179">
        <f>'数据-汇总表'!E11</f>
        <v>0</v>
      </c>
      <c r="F56" s="167">
        <f t="shared" si="15"/>
        <v>0</v>
      </c>
      <c r="G56" s="180" t="s">
        <v>1587</v>
      </c>
      <c r="H56" s="176" t="str">
        <f>项目基本情况!C37</f>
        <v>六级</v>
      </c>
      <c r="I56" s="246">
        <f>SUMIF(修正!A57:A68,H56,修正!E57:E68)</f>
        <v>0.25</v>
      </c>
      <c r="J56" s="248"/>
      <c r="K56" s="145"/>
      <c r="L56" s="247"/>
      <c r="M56" s="247"/>
      <c r="N56" s="247"/>
      <c r="O56" s="247"/>
      <c r="P56" s="247"/>
      <c r="Q56" s="247"/>
      <c r="R56" s="247"/>
      <c r="S56" s="247"/>
      <c r="T56" s="247"/>
      <c r="U56" s="247"/>
      <c r="V56" s="247"/>
      <c r="W56" s="247"/>
      <c r="X56" s="247"/>
      <c r="Y56" s="247"/>
      <c r="Z56" s="247"/>
      <c r="AA56" s="247"/>
      <c r="AB56" s="247"/>
      <c r="AC56" s="247"/>
      <c r="AD56" s="247"/>
      <c r="AE56" s="247"/>
    </row>
    <row r="57" s="19" customFormat="1" spans="1:31">
      <c r="A57" s="170" t="s">
        <v>1588</v>
      </c>
      <c r="B57" s="171">
        <f t="shared" si="17"/>
        <v>240</v>
      </c>
      <c r="C57" s="172">
        <f t="shared" si="16"/>
        <v>0.25</v>
      </c>
      <c r="D57" s="173">
        <v>0.25</v>
      </c>
      <c r="E57" s="179">
        <f>'数据-汇总表'!E12</f>
        <v>0</v>
      </c>
      <c r="F57" s="167">
        <f t="shared" si="15"/>
        <v>0</v>
      </c>
      <c r="G57" s="181" t="s">
        <v>1589</v>
      </c>
      <c r="H57" s="176" t="str">
        <f>IF(G57="商业",项目基本情况!B37,IF(G57="办公",项目基本情况!C37,IF(G57="住宅",项目基本情况!D37,项目基本情况!E37)))</f>
        <v>六级</v>
      </c>
      <c r="I57" s="246">
        <f>SUMIF(修正!A57:A68,H57,修正!F57:F68)</f>
        <v>0.25</v>
      </c>
      <c r="J57" s="248"/>
      <c r="K57" s="152"/>
      <c r="L57" s="247"/>
      <c r="M57" s="247"/>
      <c r="N57" s="247"/>
      <c r="O57" s="247"/>
      <c r="P57" s="247"/>
      <c r="Q57" s="247"/>
      <c r="R57" s="247"/>
      <c r="S57" s="247"/>
      <c r="T57" s="247"/>
      <c r="U57" s="247"/>
      <c r="V57" s="247"/>
      <c r="W57" s="247"/>
      <c r="X57" s="247"/>
      <c r="Y57" s="247"/>
      <c r="Z57" s="247"/>
      <c r="AA57" s="247"/>
      <c r="AB57" s="247"/>
      <c r="AC57" s="247"/>
      <c r="AD57" s="247"/>
      <c r="AE57" s="247"/>
    </row>
    <row r="58" s="19" customFormat="1" spans="1:31">
      <c r="A58" s="170" t="s">
        <v>1590</v>
      </c>
      <c r="B58" s="171">
        <f t="shared" si="17"/>
        <v>144</v>
      </c>
      <c r="C58" s="172">
        <f t="shared" si="16"/>
        <v>0.15</v>
      </c>
      <c r="D58" s="173">
        <v>0.25</v>
      </c>
      <c r="E58" s="179">
        <f>'数据-汇总表'!E13</f>
        <v>8266.82</v>
      </c>
      <c r="F58" s="167">
        <f t="shared" si="15"/>
        <v>119</v>
      </c>
      <c r="G58" s="181" t="s">
        <v>454</v>
      </c>
      <c r="H58" s="176" t="str">
        <f>IF(G58="商业",项目基本情况!B37,IF(G58="办公",项目基本情况!C37,IF(G58="住宅",项目基本情况!D37,项目基本情况!E37)))</f>
        <v>六级</v>
      </c>
      <c r="I58" s="246">
        <f>SUMIF(修正!A57:A68,H58,修正!G57:G68)</f>
        <v>0.15</v>
      </c>
      <c r="J58" s="248"/>
      <c r="K58" s="145"/>
      <c r="L58" s="247"/>
      <c r="M58" s="247"/>
      <c r="N58" s="247"/>
      <c r="O58" s="247"/>
      <c r="P58" s="247"/>
      <c r="Q58" s="247"/>
      <c r="R58" s="247"/>
      <c r="S58" s="247"/>
      <c r="T58" s="247"/>
      <c r="U58" s="247"/>
      <c r="V58" s="247"/>
      <c r="W58" s="247"/>
      <c r="X58" s="247"/>
      <c r="Y58" s="247"/>
      <c r="Z58" s="247"/>
      <c r="AA58" s="247"/>
      <c r="AB58" s="247"/>
      <c r="AC58" s="247"/>
      <c r="AD58" s="247"/>
      <c r="AE58" s="247"/>
    </row>
    <row r="59" s="19" customFormat="1" spans="1:31">
      <c r="A59" s="170" t="s">
        <v>1592</v>
      </c>
      <c r="B59" s="171">
        <f t="shared" si="17"/>
        <v>0</v>
      </c>
      <c r="C59" s="172">
        <f t="shared" si="16"/>
        <v>0</v>
      </c>
      <c r="D59" s="173">
        <v>0.25</v>
      </c>
      <c r="E59" s="179">
        <f>'数据-汇总表'!E14</f>
        <v>0</v>
      </c>
      <c r="F59" s="167">
        <f t="shared" si="15"/>
        <v>0</v>
      </c>
      <c r="G59" s="180" t="s">
        <v>1583</v>
      </c>
      <c r="H59" s="176">
        <f>项目基本情况!B37</f>
        <v>0</v>
      </c>
      <c r="I59" s="246">
        <f>SUMIF(修正!A57:A68,H59,修正!G57:G68)</f>
        <v>0</v>
      </c>
      <c r="J59" s="248"/>
      <c r="K59" s="152"/>
      <c r="L59" s="247"/>
      <c r="M59" s="247"/>
      <c r="N59" s="247"/>
      <c r="O59" s="247"/>
      <c r="P59" s="247"/>
      <c r="Q59" s="247"/>
      <c r="R59" s="247"/>
      <c r="S59" s="247"/>
      <c r="T59" s="247"/>
      <c r="U59" s="247"/>
      <c r="V59" s="247"/>
      <c r="W59" s="247"/>
      <c r="X59" s="247"/>
      <c r="Y59" s="247"/>
      <c r="Z59" s="247"/>
      <c r="AA59" s="247"/>
      <c r="AB59" s="247"/>
      <c r="AC59" s="247"/>
      <c r="AD59" s="247"/>
      <c r="AE59" s="247"/>
    </row>
    <row r="60" s="19" customFormat="1" ht="14.55" spans="1:31">
      <c r="A60" s="170" t="s">
        <v>1593</v>
      </c>
      <c r="B60" s="171">
        <f t="shared" si="17"/>
        <v>144</v>
      </c>
      <c r="C60" s="172">
        <f t="shared" si="16"/>
        <v>0.15</v>
      </c>
      <c r="D60" s="173">
        <v>0.25</v>
      </c>
      <c r="E60" s="179">
        <f>'数据-汇总表'!E15</f>
        <v>0</v>
      </c>
      <c r="F60" s="167">
        <f t="shared" si="15"/>
        <v>0</v>
      </c>
      <c r="G60" s="182" t="s">
        <v>1587</v>
      </c>
      <c r="H60" s="183" t="str">
        <f>项目基本情况!C37</f>
        <v>六级</v>
      </c>
      <c r="I60" s="246">
        <f>SUMIF(修正!A57:A68,H60,修正!G57:G68)</f>
        <v>0.15</v>
      </c>
      <c r="J60" s="248"/>
      <c r="K60" s="145"/>
      <c r="L60" s="247"/>
      <c r="M60" s="247"/>
      <c r="N60" s="247"/>
      <c r="O60" s="247"/>
      <c r="P60" s="247"/>
      <c r="Q60" s="247"/>
      <c r="R60" s="247"/>
      <c r="S60" s="247"/>
      <c r="T60" s="247"/>
      <c r="U60" s="247"/>
      <c r="V60" s="247"/>
      <c r="W60" s="247"/>
      <c r="X60" s="247"/>
      <c r="Y60" s="247"/>
      <c r="Z60" s="247"/>
      <c r="AA60" s="247"/>
      <c r="AB60" s="247"/>
      <c r="AC60" s="247"/>
      <c r="AD60" s="247"/>
      <c r="AE60" s="247"/>
    </row>
    <row r="61" s="19" customFormat="1" ht="14.55" spans="1:31">
      <c r="A61" s="184" t="s">
        <v>1594</v>
      </c>
      <c r="B61" s="185" t="s">
        <v>1530</v>
      </c>
      <c r="C61" s="185" t="s">
        <v>1530</v>
      </c>
      <c r="D61" s="185" t="s">
        <v>1530</v>
      </c>
      <c r="E61" s="185">
        <f>IF(B41="楼面地价",SUM(E51:E60),'数据-汇总表'!D3)</f>
        <v>15415.9</v>
      </c>
      <c r="F61" s="186">
        <f>IF(B41="楼面地价",SUM(F51:F60),ROUND(C43*E61/10000,0))</f>
        <v>5920</v>
      </c>
      <c r="G61" s="187"/>
      <c r="H61" s="187"/>
      <c r="I61" s="187"/>
      <c r="J61" s="187"/>
      <c r="K61" s="240"/>
      <c r="L61" s="247"/>
      <c r="M61" s="247"/>
      <c r="N61" s="247"/>
      <c r="O61" s="247"/>
      <c r="P61" s="247"/>
      <c r="Q61" s="247"/>
      <c r="R61" s="247"/>
      <c r="S61" s="247"/>
      <c r="T61" s="247"/>
      <c r="U61" s="247"/>
      <c r="V61" s="247"/>
      <c r="W61" s="247"/>
      <c r="X61" s="247"/>
      <c r="Y61" s="247"/>
      <c r="Z61" s="247"/>
      <c r="AA61" s="247"/>
      <c r="AB61" s="247"/>
      <c r="AC61" s="247"/>
      <c r="AD61" s="247"/>
      <c r="AE61" s="247"/>
    </row>
    <row r="62" spans="1:31">
      <c r="A62" s="188"/>
      <c r="B62" s="189"/>
      <c r="C62" s="190"/>
      <c r="D62" s="188"/>
      <c r="E62" s="188"/>
      <c r="F62" s="188"/>
      <c r="G62" s="188"/>
      <c r="H62" s="188"/>
      <c r="I62" s="188"/>
      <c r="J62" s="188"/>
      <c r="K62" s="249"/>
      <c r="L62" s="250"/>
      <c r="M62" s="188"/>
      <c r="N62" s="188"/>
      <c r="O62" s="188"/>
      <c r="P62" s="145"/>
      <c r="Q62" s="145"/>
      <c r="R62" s="145"/>
      <c r="S62" s="145"/>
      <c r="T62" s="145"/>
      <c r="U62" s="145"/>
      <c r="V62" s="145"/>
      <c r="W62" s="145"/>
      <c r="X62" s="145"/>
      <c r="Y62" s="145"/>
      <c r="Z62" s="145"/>
      <c r="AA62" s="145"/>
      <c r="AB62" s="145"/>
      <c r="AC62" s="145"/>
      <c r="AD62" s="145"/>
      <c r="AE62" s="145"/>
    </row>
    <row r="63" spans="1:31">
      <c r="A63" s="188"/>
      <c r="B63" s="189"/>
      <c r="C63" s="191" t="str">
        <f>YEAR(C7)&amp;"-"&amp;MONTH(C7)&amp;"-1"</f>
        <v>2022-8-1</v>
      </c>
      <c r="D63" s="191">
        <f>EDATE(C63,-3)</f>
        <v>44682</v>
      </c>
      <c r="E63" s="191">
        <f>EDATE(D63,-3)</f>
        <v>44593</v>
      </c>
      <c r="F63" s="191">
        <f t="shared" ref="F63:O63" si="18">EDATE(E63,-3)</f>
        <v>44501</v>
      </c>
      <c r="G63" s="191">
        <f t="shared" si="18"/>
        <v>44409</v>
      </c>
      <c r="H63" s="191">
        <f t="shared" si="18"/>
        <v>44317</v>
      </c>
      <c r="I63" s="191">
        <f t="shared" si="18"/>
        <v>44228</v>
      </c>
      <c r="J63" s="191">
        <f t="shared" si="18"/>
        <v>44136</v>
      </c>
      <c r="K63" s="191">
        <f t="shared" si="18"/>
        <v>44044</v>
      </c>
      <c r="L63" s="191">
        <f t="shared" si="18"/>
        <v>43952</v>
      </c>
      <c r="M63" s="191">
        <f t="shared" si="18"/>
        <v>43862</v>
      </c>
      <c r="N63" s="191">
        <f t="shared" si="18"/>
        <v>43770</v>
      </c>
      <c r="O63" s="191">
        <f t="shared" si="18"/>
        <v>43678</v>
      </c>
      <c r="P63" s="145"/>
      <c r="Q63" s="145"/>
      <c r="R63" s="145"/>
      <c r="S63" s="145"/>
      <c r="T63" s="145"/>
      <c r="U63" s="145"/>
      <c r="V63" s="145"/>
      <c r="W63" s="145"/>
      <c r="X63" s="145"/>
      <c r="Y63" s="145"/>
      <c r="Z63" s="145"/>
      <c r="AA63" s="145"/>
      <c r="AB63" s="145"/>
      <c r="AC63" s="145"/>
      <c r="AD63" s="145"/>
      <c r="AE63" s="145"/>
    </row>
    <row r="64" ht="21.15" spans="1:31">
      <c r="A64" s="192" t="s">
        <v>1479</v>
      </c>
      <c r="B64" s="193"/>
      <c r="C64" s="194"/>
      <c r="D64" s="194"/>
      <c r="E64" s="194"/>
      <c r="F64" s="195"/>
      <c r="G64" s="195"/>
      <c r="H64" s="194"/>
      <c r="I64" s="194"/>
      <c r="J64" s="194"/>
      <c r="K64" s="251"/>
      <c r="L64" s="252"/>
      <c r="M64" s="194"/>
      <c r="N64" s="194"/>
      <c r="O64" s="253"/>
      <c r="P64" s="254"/>
      <c r="Q64" s="279"/>
      <c r="R64" s="145"/>
      <c r="S64" s="145"/>
      <c r="T64" s="145"/>
      <c r="U64" s="145"/>
      <c r="V64" s="145"/>
      <c r="W64" s="145"/>
      <c r="X64" s="145"/>
      <c r="Y64" s="145"/>
      <c r="Z64" s="145"/>
      <c r="AA64" s="145"/>
      <c r="AB64" s="145"/>
      <c r="AC64" s="145"/>
      <c r="AD64" s="145"/>
      <c r="AE64" s="145"/>
    </row>
    <row r="65" s="20" customFormat="1" ht="14.4" spans="1:31">
      <c r="A65" s="290" t="s">
        <v>1595</v>
      </c>
      <c r="B65" s="291"/>
      <c r="C65" s="292" t="str">
        <f>YEAR(C63)&amp;"-"&amp;ROUNDUP(MONTH(C63)/3,0)</f>
        <v>2022-3</v>
      </c>
      <c r="D65" s="292" t="str">
        <f t="shared" ref="D65:O65" si="19">YEAR(D63)&amp;"-"&amp;ROUNDUP(MONTH(D63)/3,0)</f>
        <v>2022-2</v>
      </c>
      <c r="E65" s="292" t="str">
        <f t="shared" si="19"/>
        <v>2022-1</v>
      </c>
      <c r="F65" s="292" t="str">
        <f t="shared" si="19"/>
        <v>2021-4</v>
      </c>
      <c r="G65" s="292" t="str">
        <f t="shared" si="19"/>
        <v>2021-3</v>
      </c>
      <c r="H65" s="292" t="str">
        <f t="shared" si="19"/>
        <v>2021-2</v>
      </c>
      <c r="I65" s="292" t="str">
        <f t="shared" si="19"/>
        <v>2021-1</v>
      </c>
      <c r="J65" s="292" t="str">
        <f t="shared" si="19"/>
        <v>2020-4</v>
      </c>
      <c r="K65" s="292" t="str">
        <f t="shared" si="19"/>
        <v>2020-3</v>
      </c>
      <c r="L65" s="292" t="str">
        <f t="shared" si="19"/>
        <v>2020-2</v>
      </c>
      <c r="M65" s="292" t="str">
        <f t="shared" si="19"/>
        <v>2020-1</v>
      </c>
      <c r="N65" s="292" t="str">
        <f t="shared" si="19"/>
        <v>2019-4</v>
      </c>
      <c r="O65" s="292" t="str">
        <f t="shared" si="19"/>
        <v>2019-3</v>
      </c>
      <c r="P65" s="347"/>
      <c r="Q65" s="401"/>
      <c r="R65" s="401"/>
      <c r="S65" s="401"/>
      <c r="T65" s="401"/>
      <c r="U65" s="401"/>
      <c r="V65" s="401"/>
      <c r="W65" s="401"/>
      <c r="X65" s="401"/>
      <c r="Y65" s="401"/>
      <c r="Z65" s="401"/>
      <c r="AA65" s="401"/>
      <c r="AB65" s="401"/>
      <c r="AC65" s="401"/>
      <c r="AD65" s="401"/>
      <c r="AE65" s="401"/>
    </row>
    <row r="66" s="15" customFormat="1" ht="30.75" customHeight="1" spans="1:31">
      <c r="A66" s="293" t="s">
        <v>1608</v>
      </c>
      <c r="B66" s="294" t="str">
        <f>"北京市平均增长率"&amp;TEXT(基准地价修正!P24,"0.00%")</f>
        <v>北京市平均增长率0.00%</v>
      </c>
      <c r="C66" s="295">
        <v>100</v>
      </c>
      <c r="D66" s="296">
        <v>99.5</v>
      </c>
      <c r="E66" s="296">
        <v>99</v>
      </c>
      <c r="F66" s="296">
        <v>98.5</v>
      </c>
      <c r="G66" s="296">
        <v>98</v>
      </c>
      <c r="H66" s="296">
        <v>97.5</v>
      </c>
      <c r="I66" s="296">
        <v>97</v>
      </c>
      <c r="J66" s="296">
        <v>96.5</v>
      </c>
      <c r="K66" s="296">
        <v>96</v>
      </c>
      <c r="L66" s="296">
        <v>95.5</v>
      </c>
      <c r="M66" s="296">
        <v>95</v>
      </c>
      <c r="N66" s="296">
        <v>94.5</v>
      </c>
      <c r="O66" s="296">
        <v>94</v>
      </c>
      <c r="P66" s="296">
        <v>93.5</v>
      </c>
      <c r="Q66" s="402"/>
      <c r="R66" s="402"/>
      <c r="S66" s="402"/>
      <c r="T66" s="402"/>
      <c r="U66" s="402"/>
      <c r="V66" s="402"/>
      <c r="W66" s="402"/>
      <c r="X66" s="402"/>
      <c r="Y66" s="402"/>
      <c r="Z66" s="402"/>
      <c r="AA66" s="402"/>
      <c r="AB66" s="402"/>
      <c r="AC66" s="402"/>
      <c r="AD66" s="402"/>
      <c r="AE66" s="402"/>
    </row>
    <row r="67" s="15" customFormat="1" ht="15.15" spans="1:31">
      <c r="A67" s="297" t="s">
        <v>1480</v>
      </c>
      <c r="B67" s="298"/>
      <c r="C67" s="299"/>
      <c r="D67" s="300"/>
      <c r="E67" s="300"/>
      <c r="F67" s="300"/>
      <c r="G67" s="300"/>
      <c r="H67" s="300"/>
      <c r="I67" s="300"/>
      <c r="J67" s="300"/>
      <c r="K67" s="300"/>
      <c r="L67" s="300"/>
      <c r="M67" s="348"/>
      <c r="N67" s="348"/>
      <c r="O67" s="349"/>
      <c r="P67" s="279"/>
      <c r="Q67" s="279"/>
      <c r="R67" s="402"/>
      <c r="S67" s="402"/>
      <c r="T67" s="402"/>
      <c r="U67" s="402"/>
      <c r="V67" s="402"/>
      <c r="W67" s="402"/>
      <c r="X67" s="402"/>
      <c r="Y67" s="402"/>
      <c r="Z67" s="402"/>
      <c r="AA67" s="402"/>
      <c r="AB67" s="402"/>
      <c r="AC67" s="402"/>
      <c r="AD67" s="402"/>
      <c r="AE67" s="402"/>
    </row>
    <row r="68" s="15" customFormat="1" ht="14.4" spans="1:31">
      <c r="A68" s="301" t="s">
        <v>1441</v>
      </c>
      <c r="B68" s="302"/>
      <c r="C68" s="303" t="s">
        <v>1442</v>
      </c>
      <c r="D68" s="304"/>
      <c r="E68" s="304"/>
      <c r="F68" s="304"/>
      <c r="G68" s="304"/>
      <c r="H68" s="304"/>
      <c r="I68" s="304"/>
      <c r="J68" s="304"/>
      <c r="K68" s="304"/>
      <c r="L68" s="350"/>
      <c r="M68" s="351"/>
      <c r="N68" s="352"/>
      <c r="O68" s="352"/>
      <c r="P68" s="353"/>
      <c r="Q68" s="279"/>
      <c r="R68" s="402"/>
      <c r="S68" s="402"/>
      <c r="T68" s="402"/>
      <c r="U68" s="402"/>
      <c r="V68" s="402"/>
      <c r="W68" s="402"/>
      <c r="X68" s="402"/>
      <c r="Y68" s="402"/>
      <c r="Z68" s="402"/>
      <c r="AA68" s="402"/>
      <c r="AB68" s="402"/>
      <c r="AC68" s="402"/>
      <c r="AD68" s="402"/>
      <c r="AE68" s="402"/>
    </row>
    <row r="69" s="15" customFormat="1" ht="14.55" spans="1:31">
      <c r="A69" s="301"/>
      <c r="B69" s="302"/>
      <c r="C69" s="305">
        <v>100</v>
      </c>
      <c r="D69" s="306"/>
      <c r="E69" s="306"/>
      <c r="F69" s="306"/>
      <c r="G69" s="306"/>
      <c r="H69" s="306"/>
      <c r="I69" s="306"/>
      <c r="J69" s="306"/>
      <c r="K69" s="306"/>
      <c r="L69" s="306"/>
      <c r="M69" s="354"/>
      <c r="N69" s="352"/>
      <c r="O69" s="352"/>
      <c r="P69" s="279"/>
      <c r="Q69" s="279"/>
      <c r="R69" s="402"/>
      <c r="S69" s="402"/>
      <c r="T69" s="402"/>
      <c r="U69" s="402"/>
      <c r="V69" s="402"/>
      <c r="W69" s="402"/>
      <c r="X69" s="402"/>
      <c r="Y69" s="402"/>
      <c r="Z69" s="402"/>
      <c r="AA69" s="402"/>
      <c r="AB69" s="402"/>
      <c r="AC69" s="402"/>
      <c r="AD69" s="402"/>
      <c r="AE69" s="402"/>
    </row>
    <row r="70" ht="14.4" spans="1:31">
      <c r="A70" s="307" t="s">
        <v>1481</v>
      </c>
      <c r="B70" s="308" t="s">
        <v>1445</v>
      </c>
      <c r="C70" s="233"/>
      <c r="D70" s="233"/>
      <c r="E70" s="233"/>
      <c r="F70" s="233"/>
      <c r="G70" s="233"/>
      <c r="H70" s="233"/>
      <c r="I70" s="233"/>
      <c r="J70" s="233"/>
      <c r="K70" s="355"/>
      <c r="L70" s="356"/>
      <c r="M70" s="357"/>
      <c r="N70" s="358"/>
      <c r="O70" s="358"/>
      <c r="P70" s="359"/>
      <c r="Q70" s="279"/>
      <c r="R70" s="145"/>
      <c r="S70" s="145"/>
      <c r="T70" s="145"/>
      <c r="U70" s="145"/>
      <c r="V70" s="145"/>
      <c r="W70" s="145"/>
      <c r="X70" s="145"/>
      <c r="Y70" s="145"/>
      <c r="Z70" s="145"/>
      <c r="AA70" s="145"/>
      <c r="AB70" s="145"/>
      <c r="AC70" s="145"/>
      <c r="AD70" s="145"/>
      <c r="AE70" s="145"/>
    </row>
    <row r="71" ht="14.55" spans="1:31">
      <c r="A71" s="309"/>
      <c r="B71" s="310"/>
      <c r="C71" s="311"/>
      <c r="D71" s="311"/>
      <c r="E71" s="311"/>
      <c r="F71" s="311"/>
      <c r="G71" s="311"/>
      <c r="H71" s="311"/>
      <c r="I71" s="311"/>
      <c r="J71" s="311"/>
      <c r="K71" s="311"/>
      <c r="L71" s="311"/>
      <c r="M71" s="360"/>
      <c r="N71" s="361"/>
      <c r="O71" s="361"/>
      <c r="P71" s="359"/>
      <c r="Q71" s="279"/>
      <c r="R71" s="145"/>
      <c r="S71" s="145"/>
      <c r="T71" s="145"/>
      <c r="U71" s="145"/>
      <c r="V71" s="145"/>
      <c r="W71" s="145"/>
      <c r="X71" s="145"/>
      <c r="Y71" s="145"/>
      <c r="Z71" s="145"/>
      <c r="AA71" s="145"/>
      <c r="AB71" s="145"/>
      <c r="AC71" s="145"/>
      <c r="AD71" s="145"/>
      <c r="AE71" s="145"/>
    </row>
    <row r="72" ht="29.55" spans="1:31">
      <c r="A72" s="309"/>
      <c r="B72" s="312" t="s">
        <v>1448</v>
      </c>
      <c r="C72" s="313"/>
      <c r="D72" s="313"/>
      <c r="E72" s="313"/>
      <c r="F72" s="313"/>
      <c r="G72" s="313"/>
      <c r="H72" s="313"/>
      <c r="I72" s="313"/>
      <c r="J72" s="313"/>
      <c r="K72" s="362"/>
      <c r="L72" s="363"/>
      <c r="M72" s="364"/>
      <c r="N72" s="358"/>
      <c r="O72" s="358"/>
      <c r="P72" s="359"/>
      <c r="Q72" s="279"/>
      <c r="R72" s="145"/>
      <c r="S72" s="145"/>
      <c r="T72" s="145"/>
      <c r="U72" s="145"/>
      <c r="V72" s="145"/>
      <c r="W72" s="145"/>
      <c r="X72" s="145"/>
      <c r="Y72" s="145"/>
      <c r="Z72" s="145"/>
      <c r="AA72" s="145"/>
      <c r="AB72" s="145"/>
      <c r="AC72" s="145"/>
      <c r="AD72" s="145"/>
      <c r="AE72" s="145"/>
    </row>
    <row r="73" ht="14.55" spans="1:31">
      <c r="A73" s="309"/>
      <c r="B73" s="314"/>
      <c r="C73" s="315"/>
      <c r="D73" s="315"/>
      <c r="E73" s="315"/>
      <c r="F73" s="315"/>
      <c r="G73" s="315"/>
      <c r="H73" s="315"/>
      <c r="I73" s="315"/>
      <c r="J73" s="315"/>
      <c r="K73" s="315"/>
      <c r="L73" s="315"/>
      <c r="M73" s="365"/>
      <c r="N73" s="361"/>
      <c r="O73" s="361"/>
      <c r="P73" s="359"/>
      <c r="Q73" s="279"/>
      <c r="R73" s="145"/>
      <c r="S73" s="145"/>
      <c r="T73" s="145"/>
      <c r="U73" s="145"/>
      <c r="V73" s="145"/>
      <c r="W73" s="145"/>
      <c r="X73" s="145"/>
      <c r="Y73" s="145"/>
      <c r="Z73" s="145"/>
      <c r="AA73" s="145"/>
      <c r="AB73" s="145"/>
      <c r="AC73" s="145"/>
      <c r="AD73" s="145"/>
      <c r="AE73" s="145"/>
    </row>
    <row r="74" ht="15.15" spans="1:31">
      <c r="A74" s="309"/>
      <c r="B74" s="316" t="s">
        <v>1449</v>
      </c>
      <c r="C74" s="317" t="str">
        <f>C75&amp;"（含）"&amp;"-"&amp;D75</f>
        <v>0（含）-0.5</v>
      </c>
      <c r="D74" s="317" t="str">
        <f t="shared" ref="D74:L74" si="20">D75&amp;"（含）"&amp;"-"&amp;E75</f>
        <v>0.5（含）-1</v>
      </c>
      <c r="E74" s="317" t="str">
        <f t="shared" si="20"/>
        <v>1（含）-1.5</v>
      </c>
      <c r="F74" s="317" t="str">
        <f t="shared" si="20"/>
        <v>1.5（含）-2</v>
      </c>
      <c r="G74" s="317" t="str">
        <f t="shared" si="20"/>
        <v>2（含）-</v>
      </c>
      <c r="H74" s="317" t="str">
        <f t="shared" si="20"/>
        <v>（含）-</v>
      </c>
      <c r="I74" s="317" t="str">
        <f t="shared" si="20"/>
        <v>（含）-</v>
      </c>
      <c r="J74" s="317" t="str">
        <f t="shared" si="20"/>
        <v>（含）-</v>
      </c>
      <c r="K74" s="317" t="str">
        <f t="shared" si="20"/>
        <v>（含）-</v>
      </c>
      <c r="L74" s="317" t="str">
        <f t="shared" si="20"/>
        <v>（含）-</v>
      </c>
      <c r="M74" s="91" t="str">
        <f>M75&amp;"（含）"&amp;"-"&amp;P75</f>
        <v>（含）-</v>
      </c>
      <c r="N74" s="361"/>
      <c r="O74" s="361"/>
      <c r="P74" s="359"/>
      <c r="Q74" s="279"/>
      <c r="R74" s="145"/>
      <c r="S74" s="145"/>
      <c r="T74" s="145"/>
      <c r="U74" s="145"/>
      <c r="V74" s="145"/>
      <c r="W74" s="145"/>
      <c r="X74" s="145"/>
      <c r="Y74" s="145"/>
      <c r="Z74" s="145"/>
      <c r="AA74" s="145"/>
      <c r="AB74" s="145"/>
      <c r="AC74" s="145"/>
      <c r="AD74" s="145"/>
      <c r="AE74" s="145"/>
    </row>
    <row r="75" spans="1:31">
      <c r="A75" s="309"/>
      <c r="B75" s="318"/>
      <c r="C75" s="76">
        <v>0</v>
      </c>
      <c r="D75" s="76">
        <v>0.5</v>
      </c>
      <c r="E75" s="76">
        <v>1</v>
      </c>
      <c r="F75" s="76">
        <v>1.5</v>
      </c>
      <c r="G75" s="76">
        <v>2</v>
      </c>
      <c r="H75" s="76"/>
      <c r="I75" s="76"/>
      <c r="J75" s="76"/>
      <c r="K75" s="366"/>
      <c r="L75" s="367"/>
      <c r="M75" s="368"/>
      <c r="N75" s="358"/>
      <c r="O75" s="358"/>
      <c r="P75" s="359"/>
      <c r="Q75" s="279"/>
      <c r="R75" s="145"/>
      <c r="S75" s="145"/>
      <c r="T75" s="145"/>
      <c r="U75" s="145"/>
      <c r="V75" s="145"/>
      <c r="W75" s="145"/>
      <c r="X75" s="145"/>
      <c r="Y75" s="145"/>
      <c r="Z75" s="145"/>
      <c r="AA75" s="145"/>
      <c r="AB75" s="145"/>
      <c r="AC75" s="145"/>
      <c r="AD75" s="145"/>
      <c r="AE75" s="145"/>
    </row>
    <row r="76" ht="14.55" spans="1:31">
      <c r="A76" s="309"/>
      <c r="B76" s="310"/>
      <c r="C76" s="315">
        <v>100</v>
      </c>
      <c r="D76" s="315">
        <f>IF($B$41="单位面积地价",C76+$K11,C76-$K11)</f>
        <v>115</v>
      </c>
      <c r="E76" s="315">
        <f t="shared" ref="E76:M76" si="21">IF($B$41="单位面积地价",D76+$K11,D76-$K11)</f>
        <v>130</v>
      </c>
      <c r="F76" s="315">
        <f t="shared" si="21"/>
        <v>145</v>
      </c>
      <c r="G76" s="315">
        <f t="shared" si="21"/>
        <v>160</v>
      </c>
      <c r="H76" s="315">
        <f t="shared" si="21"/>
        <v>175</v>
      </c>
      <c r="I76" s="315">
        <f t="shared" si="21"/>
        <v>190</v>
      </c>
      <c r="J76" s="315">
        <f t="shared" si="21"/>
        <v>205</v>
      </c>
      <c r="K76" s="315">
        <f t="shared" si="21"/>
        <v>220</v>
      </c>
      <c r="L76" s="315">
        <f t="shared" si="21"/>
        <v>235</v>
      </c>
      <c r="M76" s="315">
        <f t="shared" si="21"/>
        <v>250</v>
      </c>
      <c r="N76" s="361"/>
      <c r="O76" s="361"/>
      <c r="P76" s="359"/>
      <c r="Q76" s="279"/>
      <c r="R76" s="145"/>
      <c r="S76" s="145"/>
      <c r="T76" s="145"/>
      <c r="U76" s="145"/>
      <c r="V76" s="145"/>
      <c r="W76" s="145"/>
      <c r="X76" s="145"/>
      <c r="Y76" s="145"/>
      <c r="Z76" s="145"/>
      <c r="AA76" s="145"/>
      <c r="AB76" s="145"/>
      <c r="AC76" s="145"/>
      <c r="AD76" s="145"/>
      <c r="AE76" s="145"/>
    </row>
    <row r="77" s="17" customFormat="1" ht="14.55" spans="1:31">
      <c r="A77" s="319"/>
      <c r="B77" s="312">
        <f>B12</f>
        <v>111</v>
      </c>
      <c r="C77" s="320"/>
      <c r="D77" s="320"/>
      <c r="E77" s="320"/>
      <c r="F77" s="320"/>
      <c r="G77" s="320"/>
      <c r="H77" s="321"/>
      <c r="I77" s="321"/>
      <c r="J77" s="321"/>
      <c r="K77" s="321"/>
      <c r="L77" s="369"/>
      <c r="M77" s="370"/>
      <c r="N77" s="371"/>
      <c r="O77" s="371"/>
      <c r="P77" s="372"/>
      <c r="Q77" s="403"/>
      <c r="R77" s="404"/>
      <c r="S77" s="404"/>
      <c r="T77" s="404"/>
      <c r="U77" s="404"/>
      <c r="V77" s="404"/>
      <c r="W77" s="404"/>
      <c r="X77" s="404"/>
      <c r="Y77" s="404"/>
      <c r="Z77" s="404"/>
      <c r="AA77" s="404"/>
      <c r="AB77" s="404"/>
      <c r="AC77" s="404"/>
      <c r="AD77" s="404"/>
      <c r="AE77" s="404"/>
    </row>
    <row r="78" s="17" customFormat="1" ht="14.55" spans="1:31">
      <c r="A78" s="319"/>
      <c r="B78" s="314"/>
      <c r="C78" s="322"/>
      <c r="D78" s="311"/>
      <c r="E78" s="311"/>
      <c r="F78" s="311"/>
      <c r="G78" s="311"/>
      <c r="H78" s="311"/>
      <c r="I78" s="311"/>
      <c r="J78" s="311"/>
      <c r="K78" s="311"/>
      <c r="L78" s="311"/>
      <c r="M78" s="360"/>
      <c r="N78" s="361"/>
      <c r="O78" s="361"/>
      <c r="P78" s="372"/>
      <c r="Q78" s="403"/>
      <c r="R78" s="404"/>
      <c r="S78" s="404"/>
      <c r="T78" s="404"/>
      <c r="U78" s="404"/>
      <c r="V78" s="404"/>
      <c r="W78" s="404"/>
      <c r="X78" s="404"/>
      <c r="Y78" s="404"/>
      <c r="Z78" s="404"/>
      <c r="AA78" s="404"/>
      <c r="AB78" s="404"/>
      <c r="AC78" s="404"/>
      <c r="AD78" s="404"/>
      <c r="AE78" s="404"/>
    </row>
    <row r="79" s="17" customFormat="1" ht="14.55" spans="1:31">
      <c r="A79" s="319"/>
      <c r="B79" s="312">
        <f>B13</f>
        <v>111</v>
      </c>
      <c r="C79" s="320"/>
      <c r="D79" s="320"/>
      <c r="E79" s="320"/>
      <c r="F79" s="320"/>
      <c r="G79" s="320"/>
      <c r="H79" s="321"/>
      <c r="I79" s="321"/>
      <c r="J79" s="321"/>
      <c r="K79" s="321"/>
      <c r="L79" s="369"/>
      <c r="M79" s="370"/>
      <c r="N79" s="371"/>
      <c r="O79" s="371"/>
      <c r="P79" s="230"/>
      <c r="Q79" s="405"/>
      <c r="R79" s="404"/>
      <c r="S79" s="404"/>
      <c r="T79" s="404"/>
      <c r="U79" s="404"/>
      <c r="V79" s="404"/>
      <c r="W79" s="404"/>
      <c r="X79" s="404"/>
      <c r="Y79" s="404"/>
      <c r="Z79" s="404"/>
      <c r="AA79" s="404"/>
      <c r="AB79" s="404"/>
      <c r="AC79" s="404"/>
      <c r="AD79" s="404"/>
      <c r="AE79" s="404"/>
    </row>
    <row r="80" s="17" customFormat="1" ht="14.55" spans="1:31">
      <c r="A80" s="319"/>
      <c r="B80" s="314"/>
      <c r="C80" s="322"/>
      <c r="D80" s="322"/>
      <c r="E80" s="322"/>
      <c r="F80" s="322"/>
      <c r="G80" s="322"/>
      <c r="H80" s="323"/>
      <c r="I80" s="323"/>
      <c r="J80" s="323"/>
      <c r="K80" s="323"/>
      <c r="L80" s="323"/>
      <c r="M80" s="373"/>
      <c r="N80" s="371"/>
      <c r="O80" s="371"/>
      <c r="P80" s="372"/>
      <c r="Q80" s="403"/>
      <c r="R80" s="404"/>
      <c r="S80" s="404"/>
      <c r="T80" s="404"/>
      <c r="U80" s="404"/>
      <c r="V80" s="404"/>
      <c r="W80" s="404"/>
      <c r="X80" s="404"/>
      <c r="Y80" s="404"/>
      <c r="Z80" s="404"/>
      <c r="AA80" s="404"/>
      <c r="AB80" s="404"/>
      <c r="AC80" s="404"/>
      <c r="AD80" s="404"/>
      <c r="AE80" s="404"/>
    </row>
    <row r="81" s="17" customFormat="1" ht="14.55" spans="1:31">
      <c r="A81" s="319"/>
      <c r="B81" s="316">
        <f>B14</f>
        <v>111</v>
      </c>
      <c r="C81" s="304"/>
      <c r="D81" s="304"/>
      <c r="E81" s="304"/>
      <c r="F81" s="304"/>
      <c r="G81" s="304"/>
      <c r="H81" s="324"/>
      <c r="I81" s="324"/>
      <c r="J81" s="324"/>
      <c r="K81" s="324"/>
      <c r="L81" s="374"/>
      <c r="M81" s="375"/>
      <c r="N81" s="371"/>
      <c r="O81" s="371"/>
      <c r="P81" s="376"/>
      <c r="Q81" s="403"/>
      <c r="R81" s="404"/>
      <c r="S81" s="404"/>
      <c r="T81" s="404"/>
      <c r="U81" s="404"/>
      <c r="V81" s="404"/>
      <c r="W81" s="404"/>
      <c r="X81" s="404"/>
      <c r="Y81" s="404"/>
      <c r="Z81" s="404"/>
      <c r="AA81" s="404"/>
      <c r="AB81" s="404"/>
      <c r="AC81" s="404"/>
      <c r="AD81" s="404"/>
      <c r="AE81" s="404"/>
    </row>
    <row r="82" s="17" customFormat="1" ht="14.55" spans="1:31">
      <c r="A82" s="325"/>
      <c r="B82" s="326"/>
      <c r="C82" s="327"/>
      <c r="D82" s="327"/>
      <c r="E82" s="327"/>
      <c r="F82" s="327"/>
      <c r="G82" s="327"/>
      <c r="H82" s="328"/>
      <c r="I82" s="328"/>
      <c r="J82" s="328"/>
      <c r="K82" s="328"/>
      <c r="L82" s="328"/>
      <c r="M82" s="377"/>
      <c r="N82" s="371"/>
      <c r="O82" s="371"/>
      <c r="P82" s="372"/>
      <c r="Q82" s="403"/>
      <c r="R82" s="404"/>
      <c r="S82" s="404"/>
      <c r="T82" s="404"/>
      <c r="U82" s="404"/>
      <c r="V82" s="404"/>
      <c r="W82" s="404"/>
      <c r="X82" s="404"/>
      <c r="Y82" s="404"/>
      <c r="Z82" s="404"/>
      <c r="AA82" s="404"/>
      <c r="AB82" s="404"/>
      <c r="AC82" s="404"/>
      <c r="AD82" s="404"/>
      <c r="AE82" s="404"/>
    </row>
    <row r="83" ht="14.4" spans="1:31">
      <c r="A83" s="307" t="s">
        <v>1450</v>
      </c>
      <c r="B83" s="308" t="s">
        <v>1540</v>
      </c>
      <c r="C83" s="329" t="s">
        <v>1489</v>
      </c>
      <c r="D83" s="329" t="s">
        <v>1490</v>
      </c>
      <c r="E83" s="329" t="s">
        <v>1491</v>
      </c>
      <c r="F83" s="329" t="s">
        <v>1492</v>
      </c>
      <c r="G83" s="329" t="s">
        <v>1493</v>
      </c>
      <c r="H83" s="330"/>
      <c r="I83" s="330"/>
      <c r="J83" s="330"/>
      <c r="K83" s="378"/>
      <c r="L83" s="379"/>
      <c r="M83" s="380"/>
      <c r="N83" s="358"/>
      <c r="O83" s="358"/>
      <c r="P83" s="381"/>
      <c r="Q83" s="279"/>
      <c r="R83" s="145"/>
      <c r="S83" s="145"/>
      <c r="T83" s="145"/>
      <c r="U83" s="145"/>
      <c r="V83" s="145"/>
      <c r="W83" s="145"/>
      <c r="X83" s="145"/>
      <c r="Y83" s="145"/>
      <c r="Z83" s="145"/>
      <c r="AA83" s="145"/>
      <c r="AB83" s="145"/>
      <c r="AC83" s="145"/>
      <c r="AD83" s="145"/>
      <c r="AE83" s="145"/>
    </row>
    <row r="84" ht="14.55" spans="1:31">
      <c r="A84" s="309"/>
      <c r="B84" s="314"/>
      <c r="C84" s="315">
        <v>100</v>
      </c>
      <c r="D84" s="315">
        <f>C84-$K15</f>
        <v>98</v>
      </c>
      <c r="E84" s="315">
        <f>D84-$K15</f>
        <v>96</v>
      </c>
      <c r="F84" s="315">
        <f>E84-$K15</f>
        <v>94</v>
      </c>
      <c r="G84" s="315">
        <f>F84-$K15</f>
        <v>92</v>
      </c>
      <c r="H84" s="315"/>
      <c r="I84" s="315"/>
      <c r="J84" s="315"/>
      <c r="K84" s="315"/>
      <c r="L84" s="315"/>
      <c r="M84" s="365"/>
      <c r="N84" s="361"/>
      <c r="O84" s="361"/>
      <c r="P84" s="359"/>
      <c r="Q84" s="279"/>
      <c r="R84" s="145"/>
      <c r="S84" s="145"/>
      <c r="T84" s="145"/>
      <c r="U84" s="145"/>
      <c r="V84" s="145"/>
      <c r="W84" s="145"/>
      <c r="X84" s="145"/>
      <c r="Y84" s="145"/>
      <c r="Z84" s="145"/>
      <c r="AA84" s="145"/>
      <c r="AB84" s="145"/>
      <c r="AC84" s="145"/>
      <c r="AD84" s="145"/>
      <c r="AE84" s="145"/>
    </row>
    <row r="85" ht="15.15" spans="1:31">
      <c r="A85" s="309"/>
      <c r="B85" s="312" t="s">
        <v>1453</v>
      </c>
      <c r="C85" s="331" t="s">
        <v>1489</v>
      </c>
      <c r="D85" s="331" t="s">
        <v>1490</v>
      </c>
      <c r="E85" s="331" t="s">
        <v>1491</v>
      </c>
      <c r="F85" s="331" t="s">
        <v>1492</v>
      </c>
      <c r="G85" s="331" t="s">
        <v>1493</v>
      </c>
      <c r="H85" s="313"/>
      <c r="I85" s="313"/>
      <c r="J85" s="313"/>
      <c r="K85" s="362"/>
      <c r="L85" s="363"/>
      <c r="M85" s="364"/>
      <c r="N85" s="358"/>
      <c r="O85" s="358"/>
      <c r="P85" s="359"/>
      <c r="Q85" s="279"/>
      <c r="R85" s="145"/>
      <c r="S85" s="145"/>
      <c r="T85" s="145"/>
      <c r="U85" s="145"/>
      <c r="V85" s="145"/>
      <c r="W85" s="145"/>
      <c r="X85" s="145"/>
      <c r="Y85" s="145"/>
      <c r="Z85" s="145"/>
      <c r="AA85" s="145"/>
      <c r="AB85" s="145"/>
      <c r="AC85" s="145"/>
      <c r="AD85" s="145"/>
      <c r="AE85" s="145"/>
    </row>
    <row r="86" ht="14.55" spans="1:31">
      <c r="A86" s="309"/>
      <c r="B86" s="314"/>
      <c r="C86" s="315">
        <v>100</v>
      </c>
      <c r="D86" s="315">
        <f>C86-$K17</f>
        <v>99</v>
      </c>
      <c r="E86" s="315">
        <f>D86-$K17</f>
        <v>98</v>
      </c>
      <c r="F86" s="315">
        <f>E86-$K17</f>
        <v>97</v>
      </c>
      <c r="G86" s="315">
        <f>F86-$K17</f>
        <v>96</v>
      </c>
      <c r="H86" s="315"/>
      <c r="I86" s="315"/>
      <c r="J86" s="315"/>
      <c r="K86" s="315"/>
      <c r="L86" s="315"/>
      <c r="M86" s="365"/>
      <c r="N86" s="361"/>
      <c r="O86" s="361"/>
      <c r="P86" s="359"/>
      <c r="Q86" s="279"/>
      <c r="R86" s="145"/>
      <c r="S86" s="145"/>
      <c r="T86" s="145"/>
      <c r="U86" s="145"/>
      <c r="V86" s="145"/>
      <c r="W86" s="145"/>
      <c r="X86" s="145"/>
      <c r="Y86" s="145"/>
      <c r="Z86" s="145"/>
      <c r="AA86" s="145"/>
      <c r="AB86" s="145"/>
      <c r="AC86" s="145"/>
      <c r="AD86" s="145"/>
      <c r="AE86" s="145"/>
    </row>
    <row r="87" s="15" customFormat="1" ht="29.55" spans="1:31">
      <c r="A87" s="332"/>
      <c r="B87" s="312" t="s">
        <v>1562</v>
      </c>
      <c r="C87" s="329" t="s">
        <v>1489</v>
      </c>
      <c r="D87" s="329" t="s">
        <v>1490</v>
      </c>
      <c r="E87" s="329" t="s">
        <v>1491</v>
      </c>
      <c r="F87" s="329" t="s">
        <v>1492</v>
      </c>
      <c r="G87" s="329" t="s">
        <v>1493</v>
      </c>
      <c r="H87" s="331"/>
      <c r="I87" s="331"/>
      <c r="J87" s="331"/>
      <c r="K87" s="331"/>
      <c r="L87" s="382"/>
      <c r="M87" s="383"/>
      <c r="N87" s="352"/>
      <c r="O87" s="352"/>
      <c r="P87" s="359"/>
      <c r="Q87" s="279"/>
      <c r="R87" s="402"/>
      <c r="S87" s="402"/>
      <c r="T87" s="402"/>
      <c r="U87" s="402"/>
      <c r="V87" s="402"/>
      <c r="W87" s="402"/>
      <c r="X87" s="402"/>
      <c r="Y87" s="402"/>
      <c r="Z87" s="402"/>
      <c r="AA87" s="402"/>
      <c r="AB87" s="402"/>
      <c r="AC87" s="402"/>
      <c r="AD87" s="402"/>
      <c r="AE87" s="402"/>
    </row>
    <row r="88" s="15" customFormat="1" ht="14.55" spans="1:31">
      <c r="A88" s="332"/>
      <c r="B88" s="314"/>
      <c r="C88" s="333">
        <v>100</v>
      </c>
      <c r="D88" s="315">
        <f>C88-$K19</f>
        <v>100</v>
      </c>
      <c r="E88" s="315">
        <f>D88-$K19</f>
        <v>100</v>
      </c>
      <c r="F88" s="315">
        <f>E88-$K19</f>
        <v>100</v>
      </c>
      <c r="G88" s="315">
        <f>F88-$K19</f>
        <v>100</v>
      </c>
      <c r="H88" s="315"/>
      <c r="I88" s="315"/>
      <c r="J88" s="315"/>
      <c r="K88" s="315"/>
      <c r="L88" s="315"/>
      <c r="M88" s="365"/>
      <c r="N88" s="361"/>
      <c r="O88" s="361"/>
      <c r="P88" s="359"/>
      <c r="Q88" s="279"/>
      <c r="R88" s="402"/>
      <c r="S88" s="402"/>
      <c r="T88" s="402"/>
      <c r="U88" s="402"/>
      <c r="V88" s="402"/>
      <c r="W88" s="402"/>
      <c r="X88" s="402"/>
      <c r="Y88" s="402"/>
      <c r="Z88" s="402"/>
      <c r="AA88" s="402"/>
      <c r="AB88" s="402"/>
      <c r="AC88" s="402"/>
      <c r="AD88" s="402"/>
      <c r="AE88" s="402"/>
    </row>
    <row r="89" s="15" customFormat="1" ht="29.55" spans="1:31">
      <c r="A89" s="332"/>
      <c r="B89" s="312" t="s">
        <v>1563</v>
      </c>
      <c r="C89" s="329" t="s">
        <v>1489</v>
      </c>
      <c r="D89" s="329" t="s">
        <v>1490</v>
      </c>
      <c r="E89" s="329" t="s">
        <v>1491</v>
      </c>
      <c r="F89" s="329" t="s">
        <v>1492</v>
      </c>
      <c r="G89" s="329" t="s">
        <v>1493</v>
      </c>
      <c r="H89" s="331"/>
      <c r="I89" s="331"/>
      <c r="J89" s="331"/>
      <c r="K89" s="331"/>
      <c r="L89" s="331"/>
      <c r="M89" s="383"/>
      <c r="N89" s="352"/>
      <c r="O89" s="352"/>
      <c r="P89" s="359"/>
      <c r="Q89" s="279"/>
      <c r="R89" s="402"/>
      <c r="S89" s="402"/>
      <c r="T89" s="402"/>
      <c r="U89" s="402"/>
      <c r="V89" s="402"/>
      <c r="W89" s="402"/>
      <c r="X89" s="402"/>
      <c r="Y89" s="402"/>
      <c r="Z89" s="402"/>
      <c r="AA89" s="402"/>
      <c r="AB89" s="402"/>
      <c r="AC89" s="402"/>
      <c r="AD89" s="402"/>
      <c r="AE89" s="402"/>
    </row>
    <row r="90" s="15" customFormat="1" ht="14.55" spans="1:31">
      <c r="A90" s="332"/>
      <c r="B90" s="314"/>
      <c r="C90" s="315">
        <v>100</v>
      </c>
      <c r="D90" s="315">
        <f>C90-$K21</f>
        <v>99</v>
      </c>
      <c r="E90" s="315">
        <f>D90-$K21</f>
        <v>98</v>
      </c>
      <c r="F90" s="315">
        <f>E90-$K21</f>
        <v>97</v>
      </c>
      <c r="G90" s="315">
        <f>F90-$K21</f>
        <v>96</v>
      </c>
      <c r="H90" s="315"/>
      <c r="I90" s="315"/>
      <c r="J90" s="315"/>
      <c r="K90" s="315"/>
      <c r="L90" s="315"/>
      <c r="M90" s="365"/>
      <c r="N90" s="361"/>
      <c r="O90" s="361"/>
      <c r="P90" s="359"/>
      <c r="Q90" s="279"/>
      <c r="R90" s="402"/>
      <c r="S90" s="402"/>
      <c r="T90" s="402"/>
      <c r="U90" s="402"/>
      <c r="V90" s="402"/>
      <c r="W90" s="402"/>
      <c r="X90" s="402"/>
      <c r="Y90" s="402"/>
      <c r="Z90" s="402"/>
      <c r="AA90" s="402"/>
      <c r="AB90" s="402"/>
      <c r="AC90" s="402"/>
      <c r="AD90" s="402"/>
      <c r="AE90" s="402"/>
    </row>
    <row r="91" s="17" customFormat="1" ht="15.15" spans="1:31">
      <c r="A91" s="319"/>
      <c r="B91" s="312" t="s">
        <v>1454</v>
      </c>
      <c r="C91" s="329" t="s">
        <v>1489</v>
      </c>
      <c r="D91" s="329" t="s">
        <v>1490</v>
      </c>
      <c r="E91" s="329" t="s">
        <v>1491</v>
      </c>
      <c r="F91" s="329" t="s">
        <v>1492</v>
      </c>
      <c r="G91" s="329" t="s">
        <v>1493</v>
      </c>
      <c r="H91" s="334"/>
      <c r="I91" s="334"/>
      <c r="J91" s="334"/>
      <c r="K91" s="334"/>
      <c r="L91" s="384"/>
      <c r="M91" s="385"/>
      <c r="N91" s="371"/>
      <c r="O91" s="371"/>
      <c r="P91" s="372"/>
      <c r="Q91" s="403"/>
      <c r="R91" s="404"/>
      <c r="S91" s="404"/>
      <c r="T91" s="404"/>
      <c r="U91" s="404"/>
      <c r="V91" s="404"/>
      <c r="W91" s="404"/>
      <c r="X91" s="404"/>
      <c r="Y91" s="404"/>
      <c r="Z91" s="404"/>
      <c r="AA91" s="404"/>
      <c r="AB91" s="404"/>
      <c r="AC91" s="404"/>
      <c r="AD91" s="404"/>
      <c r="AE91" s="404"/>
    </row>
    <row r="92" s="17" customFormat="1" ht="14.55" spans="1:31">
      <c r="A92" s="319"/>
      <c r="B92" s="314"/>
      <c r="C92" s="315">
        <v>100</v>
      </c>
      <c r="D92" s="315">
        <f>C92-$K23</f>
        <v>99</v>
      </c>
      <c r="E92" s="315">
        <f>D92-$K23</f>
        <v>98</v>
      </c>
      <c r="F92" s="315">
        <f>E92-$K23</f>
        <v>97</v>
      </c>
      <c r="G92" s="315">
        <f>F92-$K23</f>
        <v>96</v>
      </c>
      <c r="H92" s="335"/>
      <c r="I92" s="335"/>
      <c r="J92" s="335"/>
      <c r="K92" s="335"/>
      <c r="L92" s="335"/>
      <c r="M92" s="386"/>
      <c r="N92" s="371"/>
      <c r="O92" s="371"/>
      <c r="P92" s="372"/>
      <c r="Q92" s="403"/>
      <c r="R92" s="404"/>
      <c r="S92" s="404"/>
      <c r="T92" s="404"/>
      <c r="U92" s="404"/>
      <c r="V92" s="404"/>
      <c r="W92" s="404"/>
      <c r="X92" s="404"/>
      <c r="Y92" s="404"/>
      <c r="Z92" s="404"/>
      <c r="AA92" s="404"/>
      <c r="AB92" s="404"/>
      <c r="AC92" s="404"/>
      <c r="AD92" s="404"/>
      <c r="AE92" s="404"/>
    </row>
    <row r="93" s="17" customFormat="1" ht="15.15" spans="1:31">
      <c r="A93" s="319"/>
      <c r="B93" s="316" t="s">
        <v>1455</v>
      </c>
      <c r="C93" s="336" t="s">
        <v>1494</v>
      </c>
      <c r="D93" s="336" t="s">
        <v>1495</v>
      </c>
      <c r="E93" s="336" t="s">
        <v>1496</v>
      </c>
      <c r="F93" s="336" t="s">
        <v>1497</v>
      </c>
      <c r="G93" s="336" t="s">
        <v>1498</v>
      </c>
      <c r="H93" s="334"/>
      <c r="I93" s="334"/>
      <c r="J93" s="334"/>
      <c r="K93" s="334"/>
      <c r="L93" s="334"/>
      <c r="M93" s="385"/>
      <c r="N93" s="371"/>
      <c r="O93" s="371"/>
      <c r="P93" s="372"/>
      <c r="Q93" s="403"/>
      <c r="R93" s="404"/>
      <c r="S93" s="404"/>
      <c r="T93" s="404"/>
      <c r="U93" s="404"/>
      <c r="V93" s="404"/>
      <c r="W93" s="404"/>
      <c r="X93" s="404"/>
      <c r="Y93" s="404"/>
      <c r="Z93" s="404"/>
      <c r="AA93" s="404"/>
      <c r="AB93" s="404"/>
      <c r="AC93" s="404"/>
      <c r="AD93" s="404"/>
      <c r="AE93" s="404"/>
    </row>
    <row r="94" s="17" customFormat="1" ht="14.55" spans="1:31">
      <c r="A94" s="319"/>
      <c r="B94" s="316"/>
      <c r="C94" s="315">
        <v>100</v>
      </c>
      <c r="D94" s="315">
        <f>C94-$K25</f>
        <v>100</v>
      </c>
      <c r="E94" s="315">
        <f>D94-$K25</f>
        <v>100</v>
      </c>
      <c r="F94" s="315">
        <f>E94-$K25</f>
        <v>100</v>
      </c>
      <c r="G94" s="315">
        <f>F94-$K25</f>
        <v>100</v>
      </c>
      <c r="H94" s="318"/>
      <c r="I94" s="318"/>
      <c r="J94" s="318"/>
      <c r="K94" s="318"/>
      <c r="L94" s="318"/>
      <c r="M94" s="387"/>
      <c r="N94" s="371"/>
      <c r="O94" s="371"/>
      <c r="P94" s="372"/>
      <c r="Q94" s="403"/>
      <c r="R94" s="404"/>
      <c r="S94" s="404"/>
      <c r="T94" s="404"/>
      <c r="U94" s="404"/>
      <c r="V94" s="404"/>
      <c r="W94" s="404"/>
      <c r="X94" s="404"/>
      <c r="Y94" s="404"/>
      <c r="Z94" s="404"/>
      <c r="AA94" s="404"/>
      <c r="AB94" s="404"/>
      <c r="AC94" s="404"/>
      <c r="AD94" s="404"/>
      <c r="AE94" s="404"/>
    </row>
    <row r="95" ht="15.15" spans="1:31">
      <c r="A95" s="309"/>
      <c r="B95" s="312" t="str">
        <f>B27</f>
        <v>临街状况</v>
      </c>
      <c r="C95" s="313" t="s">
        <v>1597</v>
      </c>
      <c r="D95" s="313" t="s">
        <v>1598</v>
      </c>
      <c r="E95" s="313" t="s">
        <v>1599</v>
      </c>
      <c r="F95" s="313" t="s">
        <v>1600</v>
      </c>
      <c r="G95" s="313"/>
      <c r="H95" s="313"/>
      <c r="I95" s="313"/>
      <c r="J95" s="313"/>
      <c r="K95" s="362"/>
      <c r="L95" s="363"/>
      <c r="M95" s="364"/>
      <c r="N95" s="358"/>
      <c r="O95" s="358"/>
      <c r="P95" s="359"/>
      <c r="Q95" s="279"/>
      <c r="R95" s="145"/>
      <c r="S95" s="145"/>
      <c r="T95" s="145"/>
      <c r="U95" s="145"/>
      <c r="V95" s="145"/>
      <c r="W95" s="145"/>
      <c r="X95" s="145"/>
      <c r="Y95" s="145"/>
      <c r="Z95" s="145"/>
      <c r="AA95" s="145"/>
      <c r="AB95" s="145"/>
      <c r="AC95" s="145"/>
      <c r="AD95" s="145"/>
      <c r="AE95" s="145"/>
    </row>
    <row r="96" ht="14.55" spans="1:31">
      <c r="A96" s="309"/>
      <c r="B96" s="314"/>
      <c r="C96" s="315">
        <v>100</v>
      </c>
      <c r="D96" s="315">
        <f t="shared" ref="D96:M96" si="22">C96-$K27</f>
        <v>100</v>
      </c>
      <c r="E96" s="315">
        <f t="shared" si="22"/>
        <v>100</v>
      </c>
      <c r="F96" s="315">
        <f t="shared" si="22"/>
        <v>100</v>
      </c>
      <c r="G96" s="315">
        <f t="shared" si="22"/>
        <v>100</v>
      </c>
      <c r="H96" s="315">
        <f t="shared" si="22"/>
        <v>100</v>
      </c>
      <c r="I96" s="315">
        <f t="shared" si="22"/>
        <v>100</v>
      </c>
      <c r="J96" s="315">
        <f t="shared" si="22"/>
        <v>100</v>
      </c>
      <c r="K96" s="315">
        <f t="shared" si="22"/>
        <v>100</v>
      </c>
      <c r="L96" s="315">
        <f t="shared" si="22"/>
        <v>100</v>
      </c>
      <c r="M96" s="315">
        <f t="shared" si="22"/>
        <v>100</v>
      </c>
      <c r="N96" s="361"/>
      <c r="O96" s="361"/>
      <c r="P96" s="359"/>
      <c r="Q96" s="279"/>
      <c r="R96" s="145"/>
      <c r="S96" s="145"/>
      <c r="T96" s="145"/>
      <c r="U96" s="145"/>
      <c r="V96" s="145"/>
      <c r="W96" s="145"/>
      <c r="X96" s="145"/>
      <c r="Y96" s="145"/>
      <c r="Z96" s="145"/>
      <c r="AA96" s="145"/>
      <c r="AB96" s="145"/>
      <c r="AC96" s="145"/>
      <c r="AD96" s="145"/>
      <c r="AE96" s="145"/>
    </row>
    <row r="97" ht="29.55" spans="1:31">
      <c r="A97" s="309"/>
      <c r="B97" s="312" t="s">
        <v>1535</v>
      </c>
      <c r="C97" s="320"/>
      <c r="D97" s="320"/>
      <c r="E97" s="320"/>
      <c r="F97" s="320"/>
      <c r="G97" s="320"/>
      <c r="H97" s="337"/>
      <c r="I97" s="337"/>
      <c r="J97" s="337"/>
      <c r="K97" s="388"/>
      <c r="L97" s="389"/>
      <c r="M97" s="390"/>
      <c r="N97" s="358"/>
      <c r="O97" s="358"/>
      <c r="P97" s="359"/>
      <c r="Q97" s="279"/>
      <c r="R97" s="145"/>
      <c r="S97" s="145"/>
      <c r="T97" s="145"/>
      <c r="U97" s="145"/>
      <c r="V97" s="145"/>
      <c r="W97" s="145"/>
      <c r="X97" s="145"/>
      <c r="Y97" s="145"/>
      <c r="Z97" s="145"/>
      <c r="AA97" s="145"/>
      <c r="AB97" s="145"/>
      <c r="AC97" s="145"/>
      <c r="AD97" s="145"/>
      <c r="AE97" s="145"/>
    </row>
    <row r="98" ht="14.55" spans="1:31">
      <c r="A98" s="309"/>
      <c r="B98" s="314"/>
      <c r="C98" s="315">
        <v>100</v>
      </c>
      <c r="D98" s="315">
        <f t="shared" ref="D98:M98" si="23">C98-$K28</f>
        <v>100</v>
      </c>
      <c r="E98" s="315">
        <f t="shared" si="23"/>
        <v>100</v>
      </c>
      <c r="F98" s="315">
        <f t="shared" si="23"/>
        <v>100</v>
      </c>
      <c r="G98" s="315">
        <f t="shared" si="23"/>
        <v>100</v>
      </c>
      <c r="H98" s="315">
        <f t="shared" si="23"/>
        <v>100</v>
      </c>
      <c r="I98" s="315">
        <f t="shared" si="23"/>
        <v>100</v>
      </c>
      <c r="J98" s="315">
        <f t="shared" si="23"/>
        <v>100</v>
      </c>
      <c r="K98" s="315">
        <f t="shared" si="23"/>
        <v>100</v>
      </c>
      <c r="L98" s="315">
        <f t="shared" si="23"/>
        <v>100</v>
      </c>
      <c r="M98" s="315">
        <f t="shared" si="23"/>
        <v>100</v>
      </c>
      <c r="N98" s="361"/>
      <c r="O98" s="361"/>
      <c r="P98" s="359"/>
      <c r="Q98" s="279"/>
      <c r="R98" s="145"/>
      <c r="S98" s="145"/>
      <c r="T98" s="145"/>
      <c r="U98" s="145"/>
      <c r="V98" s="145"/>
      <c r="W98" s="145"/>
      <c r="X98" s="145"/>
      <c r="Y98" s="145"/>
      <c r="Z98" s="145"/>
      <c r="AA98" s="145"/>
      <c r="AB98" s="145"/>
      <c r="AC98" s="145"/>
      <c r="AD98" s="145"/>
      <c r="AE98" s="145"/>
    </row>
    <row r="99" ht="15.15" spans="1:31">
      <c r="A99" s="309"/>
      <c r="B99" s="312" t="s">
        <v>1564</v>
      </c>
      <c r="C99" s="338" t="s">
        <v>273</v>
      </c>
      <c r="D99" s="338" t="s">
        <v>278</v>
      </c>
      <c r="E99" s="338" t="s">
        <v>283</v>
      </c>
      <c r="F99" s="338" t="s">
        <v>286</v>
      </c>
      <c r="G99" s="337"/>
      <c r="H99" s="337"/>
      <c r="I99" s="337"/>
      <c r="J99" s="337"/>
      <c r="K99" s="388"/>
      <c r="L99" s="389"/>
      <c r="M99" s="390"/>
      <c r="N99" s="358"/>
      <c r="O99" s="358"/>
      <c r="P99" s="359"/>
      <c r="Q99" s="279"/>
      <c r="R99" s="145"/>
      <c r="S99" s="145"/>
      <c r="T99" s="145"/>
      <c r="U99" s="145"/>
      <c r="V99" s="145"/>
      <c r="W99" s="145"/>
      <c r="X99" s="145"/>
      <c r="Y99" s="145"/>
      <c r="Z99" s="145"/>
      <c r="AA99" s="145"/>
      <c r="AB99" s="145"/>
      <c r="AC99" s="145"/>
      <c r="AD99" s="145"/>
      <c r="AE99" s="145"/>
    </row>
    <row r="100" ht="14.55" spans="1:31">
      <c r="A100" s="309"/>
      <c r="B100" s="314"/>
      <c r="C100" s="315">
        <v>100</v>
      </c>
      <c r="D100" s="315">
        <f t="shared" ref="D100:M100" si="24">C100-$K30</f>
        <v>99</v>
      </c>
      <c r="E100" s="315">
        <f t="shared" si="24"/>
        <v>98</v>
      </c>
      <c r="F100" s="315">
        <f t="shared" si="24"/>
        <v>97</v>
      </c>
      <c r="G100" s="315">
        <f t="shared" si="24"/>
        <v>96</v>
      </c>
      <c r="H100" s="315">
        <f t="shared" si="24"/>
        <v>95</v>
      </c>
      <c r="I100" s="315">
        <f t="shared" si="24"/>
        <v>94</v>
      </c>
      <c r="J100" s="315">
        <f t="shared" si="24"/>
        <v>93</v>
      </c>
      <c r="K100" s="315">
        <f t="shared" si="24"/>
        <v>92</v>
      </c>
      <c r="L100" s="315">
        <f t="shared" si="24"/>
        <v>91</v>
      </c>
      <c r="M100" s="315">
        <f t="shared" si="24"/>
        <v>90</v>
      </c>
      <c r="N100" s="361"/>
      <c r="O100" s="361"/>
      <c r="P100" s="359"/>
      <c r="Q100" s="279"/>
      <c r="R100" s="145"/>
      <c r="S100" s="145"/>
      <c r="T100" s="145"/>
      <c r="U100" s="145"/>
      <c r="V100" s="145"/>
      <c r="W100" s="145"/>
      <c r="X100" s="145"/>
      <c r="Y100" s="145"/>
      <c r="Z100" s="145"/>
      <c r="AA100" s="145"/>
      <c r="AB100" s="145"/>
      <c r="AC100" s="145"/>
      <c r="AD100" s="145"/>
      <c r="AE100" s="145"/>
    </row>
    <row r="101" ht="14.55" spans="1:31">
      <c r="A101" s="309"/>
      <c r="B101" s="316">
        <f>B31</f>
        <v>111</v>
      </c>
      <c r="C101" s="320"/>
      <c r="D101" s="320"/>
      <c r="E101" s="320"/>
      <c r="F101" s="320"/>
      <c r="G101" s="339"/>
      <c r="H101" s="339"/>
      <c r="I101" s="339"/>
      <c r="J101" s="339"/>
      <c r="K101" s="391"/>
      <c r="L101" s="392"/>
      <c r="M101" s="393"/>
      <c r="N101" s="358"/>
      <c r="O101" s="358"/>
      <c r="P101" s="359"/>
      <c r="Q101" s="279"/>
      <c r="R101" s="145"/>
      <c r="S101" s="145"/>
      <c r="T101" s="145"/>
      <c r="U101" s="145"/>
      <c r="V101" s="145"/>
      <c r="W101" s="145"/>
      <c r="X101" s="145"/>
      <c r="Y101" s="145"/>
      <c r="Z101" s="145"/>
      <c r="AA101" s="145"/>
      <c r="AB101" s="145"/>
      <c r="AC101" s="145"/>
      <c r="AD101" s="145"/>
      <c r="AE101" s="145"/>
    </row>
    <row r="102" ht="14.55" spans="1:31">
      <c r="A102" s="309"/>
      <c r="B102" s="326"/>
      <c r="C102" s="322"/>
      <c r="D102" s="311"/>
      <c r="E102" s="311"/>
      <c r="F102" s="311"/>
      <c r="G102" s="340"/>
      <c r="H102" s="340"/>
      <c r="I102" s="340"/>
      <c r="J102" s="340"/>
      <c r="K102" s="340"/>
      <c r="L102" s="340"/>
      <c r="M102" s="394"/>
      <c r="N102" s="361"/>
      <c r="O102" s="361"/>
      <c r="P102" s="359"/>
      <c r="Q102" s="279"/>
      <c r="R102" s="145"/>
      <c r="S102" s="145"/>
      <c r="T102" s="145"/>
      <c r="U102" s="145"/>
      <c r="V102" s="145"/>
      <c r="W102" s="145"/>
      <c r="X102" s="145"/>
      <c r="Y102" s="145"/>
      <c r="Z102" s="145"/>
      <c r="AA102" s="145"/>
      <c r="AB102" s="145"/>
      <c r="AC102" s="145"/>
      <c r="AD102" s="145"/>
      <c r="AE102" s="145"/>
    </row>
    <row r="103" ht="14.55" spans="1:31">
      <c r="A103" s="111"/>
      <c r="B103" s="312">
        <f>B32</f>
        <v>111</v>
      </c>
      <c r="C103" s="320"/>
      <c r="D103" s="320"/>
      <c r="E103" s="320"/>
      <c r="F103" s="320"/>
      <c r="G103" s="337"/>
      <c r="H103" s="337"/>
      <c r="I103" s="337"/>
      <c r="J103" s="337"/>
      <c r="K103" s="388"/>
      <c r="L103" s="389"/>
      <c r="M103" s="390"/>
      <c r="N103" s="358"/>
      <c r="O103" s="358"/>
      <c r="P103" s="359"/>
      <c r="Q103" s="279"/>
      <c r="R103" s="145"/>
      <c r="S103" s="145"/>
      <c r="T103" s="145"/>
      <c r="U103" s="145"/>
      <c r="V103" s="145"/>
      <c r="W103" s="145"/>
      <c r="X103" s="145"/>
      <c r="Y103" s="145"/>
      <c r="Z103" s="145"/>
      <c r="AA103" s="145"/>
      <c r="AB103" s="145"/>
      <c r="AC103" s="145"/>
      <c r="AD103" s="145"/>
      <c r="AE103" s="145"/>
    </row>
    <row r="104" ht="14.55" spans="1:31">
      <c r="A104" s="309"/>
      <c r="B104" s="314"/>
      <c r="C104" s="322"/>
      <c r="D104" s="322"/>
      <c r="E104" s="322"/>
      <c r="F104" s="322"/>
      <c r="G104" s="311"/>
      <c r="H104" s="311"/>
      <c r="I104" s="311"/>
      <c r="J104" s="311"/>
      <c r="K104" s="311"/>
      <c r="L104" s="311"/>
      <c r="M104" s="360"/>
      <c r="N104" s="361"/>
      <c r="O104" s="361"/>
      <c r="P104" s="359"/>
      <c r="Q104" s="279"/>
      <c r="R104" s="145"/>
      <c r="S104" s="145"/>
      <c r="T104" s="145"/>
      <c r="U104" s="145"/>
      <c r="V104" s="145"/>
      <c r="W104" s="145"/>
      <c r="X104" s="145"/>
      <c r="Y104" s="145"/>
      <c r="Z104" s="145"/>
      <c r="AA104" s="145"/>
      <c r="AB104" s="145"/>
      <c r="AC104" s="145"/>
      <c r="AD104" s="145"/>
      <c r="AE104" s="145"/>
    </row>
    <row r="105" s="17" customFormat="1" ht="14.55" spans="1:31">
      <c r="A105" s="341"/>
      <c r="B105" s="342">
        <f>B33</f>
        <v>111</v>
      </c>
      <c r="C105" s="304"/>
      <c r="D105" s="304"/>
      <c r="E105" s="304"/>
      <c r="F105" s="304"/>
      <c r="G105" s="296"/>
      <c r="H105" s="296"/>
      <c r="I105" s="296"/>
      <c r="J105" s="395"/>
      <c r="K105" s="395"/>
      <c r="L105" s="396"/>
      <c r="M105" s="397"/>
      <c r="N105" s="371"/>
      <c r="O105" s="371"/>
      <c r="P105" s="372"/>
      <c r="Q105" s="403"/>
      <c r="R105" s="404"/>
      <c r="S105" s="404"/>
      <c r="T105" s="404"/>
      <c r="U105" s="404"/>
      <c r="V105" s="404"/>
      <c r="W105" s="404"/>
      <c r="X105" s="404"/>
      <c r="Y105" s="404"/>
      <c r="Z105" s="404"/>
      <c r="AA105" s="404"/>
      <c r="AB105" s="404"/>
      <c r="AC105" s="404"/>
      <c r="AD105" s="404"/>
      <c r="AE105" s="404"/>
    </row>
    <row r="106" s="17" customFormat="1" ht="14.55" spans="1:31">
      <c r="A106" s="319"/>
      <c r="B106" s="316"/>
      <c r="C106" s="327"/>
      <c r="D106" s="327"/>
      <c r="E106" s="327"/>
      <c r="F106" s="327"/>
      <c r="G106" s="343"/>
      <c r="H106" s="343"/>
      <c r="I106" s="343"/>
      <c r="J106" s="343"/>
      <c r="K106" s="343"/>
      <c r="L106" s="343"/>
      <c r="M106" s="398"/>
      <c r="N106" s="361"/>
      <c r="O106" s="361"/>
      <c r="P106" s="372"/>
      <c r="Q106" s="403"/>
      <c r="R106" s="404"/>
      <c r="S106" s="404"/>
      <c r="T106" s="404"/>
      <c r="U106" s="404"/>
      <c r="V106" s="404"/>
      <c r="W106" s="404"/>
      <c r="X106" s="404"/>
      <c r="Y106" s="404"/>
      <c r="Z106" s="404"/>
      <c r="AA106" s="404"/>
      <c r="AB106" s="404"/>
      <c r="AC106" s="404"/>
      <c r="AD106" s="404"/>
      <c r="AE106" s="404"/>
    </row>
    <row r="107" ht="28.2" spans="1:31">
      <c r="A107" s="307" t="s">
        <v>1459</v>
      </c>
      <c r="B107" s="308" t="s">
        <v>1565</v>
      </c>
      <c r="C107" s="330" t="str">
        <f t="shared" ref="C107:L107" si="25">C108&amp;"(含)"&amp;"-"&amp;D108</f>
        <v>0(含)-20000</v>
      </c>
      <c r="D107" s="330" t="str">
        <f t="shared" si="25"/>
        <v>20000(含)-40000</v>
      </c>
      <c r="E107" s="330" t="str">
        <f t="shared" si="25"/>
        <v>40000(含)-60000</v>
      </c>
      <c r="F107" s="330" t="str">
        <f t="shared" si="25"/>
        <v>60000(含)-80000</v>
      </c>
      <c r="G107" s="330" t="str">
        <f t="shared" si="25"/>
        <v>80000(含)-100000</v>
      </c>
      <c r="H107" s="330" t="str">
        <f t="shared" si="25"/>
        <v>100000(含)-</v>
      </c>
      <c r="I107" s="330" t="str">
        <f t="shared" si="25"/>
        <v>(含)-</v>
      </c>
      <c r="J107" s="330" t="str">
        <f t="shared" si="25"/>
        <v>(含)-</v>
      </c>
      <c r="K107" s="399" t="str">
        <f t="shared" si="25"/>
        <v>(含)-</v>
      </c>
      <c r="L107" s="399" t="str">
        <f t="shared" si="25"/>
        <v>(含)-</v>
      </c>
      <c r="M107" s="400" t="str">
        <f>M108&amp;"(含)"&amp;"-"&amp;P108</f>
        <v>(含)-</v>
      </c>
      <c r="N107" s="358"/>
      <c r="O107" s="358"/>
      <c r="P107" s="359"/>
      <c r="Q107" s="279"/>
      <c r="R107" s="145"/>
      <c r="S107" s="145"/>
      <c r="T107" s="145"/>
      <c r="U107" s="145"/>
      <c r="V107" s="145"/>
      <c r="W107" s="145"/>
      <c r="X107" s="145"/>
      <c r="Y107" s="145"/>
      <c r="Z107" s="145"/>
      <c r="AA107" s="145"/>
      <c r="AB107" s="145"/>
      <c r="AC107" s="145"/>
      <c r="AD107" s="145"/>
      <c r="AE107" s="145"/>
    </row>
    <row r="108" spans="1:31">
      <c r="A108" s="309"/>
      <c r="B108" s="316"/>
      <c r="C108" s="296">
        <v>0</v>
      </c>
      <c r="D108" s="296">
        <v>20000</v>
      </c>
      <c r="E108" s="296">
        <v>40000</v>
      </c>
      <c r="F108" s="296">
        <v>60000</v>
      </c>
      <c r="G108" s="296">
        <v>80000</v>
      </c>
      <c r="H108" s="296">
        <v>100000</v>
      </c>
      <c r="I108" s="296"/>
      <c r="J108" s="395"/>
      <c r="K108" s="395"/>
      <c r="L108" s="396"/>
      <c r="M108" s="397"/>
      <c r="N108" s="358"/>
      <c r="O108" s="358"/>
      <c r="P108" s="359"/>
      <c r="Q108" s="279"/>
      <c r="R108" s="145"/>
      <c r="S108" s="145"/>
      <c r="T108" s="145"/>
      <c r="U108" s="145"/>
      <c r="V108" s="145"/>
      <c r="W108" s="145"/>
      <c r="X108" s="145"/>
      <c r="Y108" s="145"/>
      <c r="Z108" s="145"/>
      <c r="AA108" s="145"/>
      <c r="AB108" s="145"/>
      <c r="AC108" s="145"/>
      <c r="AD108" s="145"/>
      <c r="AE108" s="145"/>
    </row>
    <row r="109" ht="14.55" spans="1:31">
      <c r="A109" s="309"/>
      <c r="B109" s="314"/>
      <c r="C109" s="327">
        <v>100</v>
      </c>
      <c r="D109" s="340">
        <v>102</v>
      </c>
      <c r="E109" s="327">
        <v>104</v>
      </c>
      <c r="F109" s="340">
        <v>106</v>
      </c>
      <c r="G109" s="327">
        <v>108</v>
      </c>
      <c r="H109" s="340">
        <v>110</v>
      </c>
      <c r="I109" s="340"/>
      <c r="J109" s="340"/>
      <c r="K109" s="340"/>
      <c r="L109" s="340"/>
      <c r="M109" s="394"/>
      <c r="N109" s="361"/>
      <c r="O109" s="361"/>
      <c r="P109" s="359"/>
      <c r="Q109" s="279"/>
      <c r="R109" s="145"/>
      <c r="S109" s="145"/>
      <c r="T109" s="145"/>
      <c r="U109" s="145"/>
      <c r="V109" s="145"/>
      <c r="W109" s="145"/>
      <c r="X109" s="145"/>
      <c r="Y109" s="145"/>
      <c r="Z109" s="145"/>
      <c r="AA109" s="145"/>
      <c r="AB109" s="145"/>
      <c r="AC109" s="145"/>
      <c r="AD109" s="145"/>
      <c r="AE109" s="145"/>
    </row>
    <row r="110" ht="15.15" spans="1:31">
      <c r="A110" s="344"/>
      <c r="B110" s="312" t="s">
        <v>1566</v>
      </c>
      <c r="C110" s="337"/>
      <c r="D110" s="337"/>
      <c r="E110" s="337"/>
      <c r="F110" s="337"/>
      <c r="G110" s="337"/>
      <c r="H110" s="337"/>
      <c r="I110" s="337"/>
      <c r="J110" s="337"/>
      <c r="K110" s="388"/>
      <c r="L110" s="389"/>
      <c r="M110" s="390"/>
      <c r="N110" s="358"/>
      <c r="O110" s="358"/>
      <c r="P110" s="359"/>
      <c r="Q110" s="279"/>
      <c r="R110" s="145"/>
      <c r="S110" s="145"/>
      <c r="T110" s="145"/>
      <c r="U110" s="145"/>
      <c r="V110" s="145"/>
      <c r="W110" s="145"/>
      <c r="X110" s="145"/>
      <c r="Y110" s="145"/>
      <c r="Z110" s="145"/>
      <c r="AA110" s="145"/>
      <c r="AB110" s="145"/>
      <c r="AC110" s="145"/>
      <c r="AD110" s="145"/>
      <c r="AE110" s="145"/>
    </row>
    <row r="111" ht="14.55" spans="1:31">
      <c r="A111" s="309"/>
      <c r="B111" s="314"/>
      <c r="C111" s="315">
        <v>100</v>
      </c>
      <c r="D111" s="315">
        <f t="shared" ref="D111:M111" si="26">C111-$K35</f>
        <v>100</v>
      </c>
      <c r="E111" s="315">
        <f t="shared" si="26"/>
        <v>100</v>
      </c>
      <c r="F111" s="315">
        <f t="shared" si="26"/>
        <v>100</v>
      </c>
      <c r="G111" s="315">
        <f t="shared" si="26"/>
        <v>100</v>
      </c>
      <c r="H111" s="315">
        <f t="shared" si="26"/>
        <v>100</v>
      </c>
      <c r="I111" s="315">
        <f t="shared" si="26"/>
        <v>100</v>
      </c>
      <c r="J111" s="315">
        <f t="shared" si="26"/>
        <v>100</v>
      </c>
      <c r="K111" s="315">
        <f t="shared" si="26"/>
        <v>100</v>
      </c>
      <c r="L111" s="315">
        <f t="shared" si="26"/>
        <v>100</v>
      </c>
      <c r="M111" s="365">
        <f t="shared" si="26"/>
        <v>100</v>
      </c>
      <c r="N111" s="361"/>
      <c r="O111" s="361"/>
      <c r="P111" s="359"/>
      <c r="Q111" s="279"/>
      <c r="R111" s="145"/>
      <c r="S111" s="145"/>
      <c r="T111" s="145"/>
      <c r="U111" s="145"/>
      <c r="V111" s="145"/>
      <c r="W111" s="145"/>
      <c r="X111" s="145"/>
      <c r="Y111" s="145"/>
      <c r="Z111" s="145"/>
      <c r="AA111" s="145"/>
      <c r="AB111" s="145"/>
      <c r="AC111" s="145"/>
      <c r="AD111" s="145"/>
      <c r="AE111" s="145"/>
    </row>
    <row r="112" s="17" customFormat="1" ht="15.15" spans="1:31">
      <c r="A112" s="341"/>
      <c r="B112" s="312" t="s">
        <v>1568</v>
      </c>
      <c r="C112" s="345" t="s">
        <v>236</v>
      </c>
      <c r="D112" s="345" t="s">
        <v>246</v>
      </c>
      <c r="E112" s="320"/>
      <c r="F112" s="320"/>
      <c r="G112" s="320"/>
      <c r="H112" s="337"/>
      <c r="I112" s="337"/>
      <c r="J112" s="337"/>
      <c r="K112" s="388"/>
      <c r="L112" s="389"/>
      <c r="M112" s="390"/>
      <c r="N112" s="371"/>
      <c r="O112" s="371"/>
      <c r="P112" s="372"/>
      <c r="Q112" s="403"/>
      <c r="R112" s="404"/>
      <c r="S112" s="404"/>
      <c r="T112" s="404"/>
      <c r="U112" s="404"/>
      <c r="V112" s="404"/>
      <c r="W112" s="404"/>
      <c r="X112" s="404"/>
      <c r="Y112" s="404"/>
      <c r="Z112" s="404"/>
      <c r="AA112" s="404"/>
      <c r="AB112" s="404"/>
      <c r="AC112" s="404"/>
      <c r="AD112" s="404"/>
      <c r="AE112" s="404"/>
    </row>
    <row r="113" s="17" customFormat="1" ht="14.55" spans="1:31">
      <c r="A113" s="319"/>
      <c r="B113" s="314"/>
      <c r="C113" s="315">
        <v>100</v>
      </c>
      <c r="D113" s="315">
        <f t="shared" ref="D113:M113" si="27">C113-$K36</f>
        <v>99</v>
      </c>
      <c r="E113" s="315">
        <f t="shared" si="27"/>
        <v>98</v>
      </c>
      <c r="F113" s="315">
        <f t="shared" si="27"/>
        <v>97</v>
      </c>
      <c r="G113" s="315">
        <f t="shared" si="27"/>
        <v>96</v>
      </c>
      <c r="H113" s="315">
        <f t="shared" si="27"/>
        <v>95</v>
      </c>
      <c r="I113" s="315">
        <f t="shared" si="27"/>
        <v>94</v>
      </c>
      <c r="J113" s="315">
        <f t="shared" si="27"/>
        <v>93</v>
      </c>
      <c r="K113" s="315">
        <f t="shared" si="27"/>
        <v>92</v>
      </c>
      <c r="L113" s="315">
        <f t="shared" si="27"/>
        <v>91</v>
      </c>
      <c r="M113" s="365">
        <f t="shared" si="27"/>
        <v>90</v>
      </c>
      <c r="N113" s="371"/>
      <c r="O113" s="371"/>
      <c r="P113" s="372"/>
      <c r="Q113" s="403"/>
      <c r="R113" s="404"/>
      <c r="S113" s="404"/>
      <c r="T113" s="404"/>
      <c r="U113" s="404"/>
      <c r="V113" s="404"/>
      <c r="W113" s="404"/>
      <c r="X113" s="404"/>
      <c r="Y113" s="404"/>
      <c r="Z113" s="404"/>
      <c r="AA113" s="404"/>
      <c r="AB113" s="404"/>
      <c r="AC113" s="404"/>
      <c r="AD113" s="404"/>
      <c r="AE113" s="404"/>
    </row>
    <row r="114" ht="15.15" spans="1:31">
      <c r="A114" s="344"/>
      <c r="B114" s="312" t="s">
        <v>1569</v>
      </c>
      <c r="C114" s="320"/>
      <c r="D114" s="320"/>
      <c r="E114" s="337"/>
      <c r="F114" s="337"/>
      <c r="G114" s="337"/>
      <c r="H114" s="337"/>
      <c r="I114" s="337"/>
      <c r="J114" s="337"/>
      <c r="K114" s="388"/>
      <c r="L114" s="389"/>
      <c r="M114" s="390"/>
      <c r="N114" s="358"/>
      <c r="O114" s="358"/>
      <c r="P114" s="359"/>
      <c r="Q114" s="279"/>
      <c r="R114" s="145"/>
      <c r="S114" s="145"/>
      <c r="T114" s="145"/>
      <c r="U114" s="145"/>
      <c r="V114" s="145"/>
      <c r="W114" s="145"/>
      <c r="X114" s="145"/>
      <c r="Y114" s="145"/>
      <c r="Z114" s="145"/>
      <c r="AA114" s="145"/>
      <c r="AB114" s="145"/>
      <c r="AC114" s="145"/>
      <c r="AD114" s="145"/>
      <c r="AE114" s="145"/>
    </row>
    <row r="115" ht="14.55" spans="1:31">
      <c r="A115" s="309"/>
      <c r="B115" s="314"/>
      <c r="C115" s="315">
        <v>100</v>
      </c>
      <c r="D115" s="315">
        <f t="shared" ref="D115:M115" si="28">C115-$K37</f>
        <v>100</v>
      </c>
      <c r="E115" s="315">
        <f t="shared" si="28"/>
        <v>100</v>
      </c>
      <c r="F115" s="315">
        <f t="shared" si="28"/>
        <v>100</v>
      </c>
      <c r="G115" s="315">
        <f t="shared" si="28"/>
        <v>100</v>
      </c>
      <c r="H115" s="315">
        <f t="shared" si="28"/>
        <v>100</v>
      </c>
      <c r="I115" s="315">
        <f t="shared" si="28"/>
        <v>100</v>
      </c>
      <c r="J115" s="315">
        <f t="shared" si="28"/>
        <v>100</v>
      </c>
      <c r="K115" s="315">
        <f t="shared" si="28"/>
        <v>100</v>
      </c>
      <c r="L115" s="315">
        <f t="shared" si="28"/>
        <v>100</v>
      </c>
      <c r="M115" s="365">
        <f t="shared" si="28"/>
        <v>100</v>
      </c>
      <c r="N115" s="361"/>
      <c r="O115" s="361"/>
      <c r="P115" s="359"/>
      <c r="Q115" s="279"/>
      <c r="R115" s="145"/>
      <c r="S115" s="145"/>
      <c r="T115" s="145"/>
      <c r="U115" s="145"/>
      <c r="V115" s="145"/>
      <c r="W115" s="145"/>
      <c r="X115" s="145"/>
      <c r="Y115" s="145"/>
      <c r="Z115" s="145"/>
      <c r="AA115" s="145"/>
      <c r="AB115" s="145"/>
      <c r="AC115" s="145"/>
      <c r="AD115" s="145"/>
      <c r="AE115" s="145"/>
    </row>
    <row r="116" ht="14.55" spans="1:31">
      <c r="A116" s="344"/>
      <c r="B116" s="312">
        <f>B38</f>
        <v>111</v>
      </c>
      <c r="C116" s="320"/>
      <c r="D116" s="320"/>
      <c r="E116" s="320"/>
      <c r="F116" s="320"/>
      <c r="G116" s="320"/>
      <c r="H116" s="337"/>
      <c r="I116" s="337"/>
      <c r="J116" s="337"/>
      <c r="K116" s="388"/>
      <c r="L116" s="389"/>
      <c r="M116" s="390"/>
      <c r="N116" s="358"/>
      <c r="O116" s="358"/>
      <c r="P116" s="359"/>
      <c r="Q116" s="279"/>
      <c r="R116" s="145"/>
      <c r="S116" s="145"/>
      <c r="T116" s="145"/>
      <c r="U116" s="145"/>
      <c r="V116" s="145"/>
      <c r="W116" s="145"/>
      <c r="X116" s="145"/>
      <c r="Y116" s="145"/>
      <c r="Z116" s="145"/>
      <c r="AA116" s="145"/>
      <c r="AB116" s="145"/>
      <c r="AC116" s="145"/>
      <c r="AD116" s="145"/>
      <c r="AE116" s="145"/>
    </row>
    <row r="117" ht="14.55" spans="1:31">
      <c r="A117" s="309"/>
      <c r="B117" s="314"/>
      <c r="C117" s="322"/>
      <c r="D117" s="311"/>
      <c r="E117" s="311"/>
      <c r="F117" s="311"/>
      <c r="G117" s="311"/>
      <c r="H117" s="311"/>
      <c r="I117" s="311"/>
      <c r="J117" s="311"/>
      <c r="K117" s="311"/>
      <c r="L117" s="311"/>
      <c r="M117" s="360"/>
      <c r="N117" s="361"/>
      <c r="O117" s="361"/>
      <c r="P117" s="359"/>
      <c r="Q117" s="279"/>
      <c r="R117" s="145"/>
      <c r="S117" s="145"/>
      <c r="T117" s="145"/>
      <c r="U117" s="145"/>
      <c r="V117" s="145"/>
      <c r="W117" s="145"/>
      <c r="X117" s="145"/>
      <c r="Y117" s="145"/>
      <c r="Z117" s="145"/>
      <c r="AA117" s="145"/>
      <c r="AB117" s="145"/>
      <c r="AC117" s="145"/>
      <c r="AD117" s="145"/>
      <c r="AE117" s="145"/>
    </row>
    <row r="118" ht="14.55" spans="1:31">
      <c r="A118" s="344"/>
      <c r="B118" s="312">
        <f>B39</f>
        <v>111</v>
      </c>
      <c r="C118" s="320"/>
      <c r="D118" s="320"/>
      <c r="E118" s="320"/>
      <c r="F118" s="320"/>
      <c r="G118" s="337"/>
      <c r="H118" s="337"/>
      <c r="I118" s="337"/>
      <c r="J118" s="337"/>
      <c r="K118" s="388"/>
      <c r="L118" s="389"/>
      <c r="M118" s="390"/>
      <c r="N118" s="358"/>
      <c r="O118" s="358"/>
      <c r="P118" s="359"/>
      <c r="Q118" s="279"/>
      <c r="R118" s="145"/>
      <c r="S118" s="145"/>
      <c r="T118" s="145"/>
      <c r="U118" s="145"/>
      <c r="V118" s="145"/>
      <c r="W118" s="145"/>
      <c r="X118" s="145"/>
      <c r="Y118" s="145"/>
      <c r="Z118" s="145"/>
      <c r="AA118" s="145"/>
      <c r="AB118" s="145"/>
      <c r="AC118" s="145"/>
      <c r="AD118" s="145"/>
      <c r="AE118" s="145"/>
    </row>
    <row r="119" ht="14.55" spans="1:31">
      <c r="A119" s="309"/>
      <c r="B119" s="314"/>
      <c r="C119" s="322"/>
      <c r="D119" s="322"/>
      <c r="E119" s="322"/>
      <c r="F119" s="322"/>
      <c r="G119" s="311"/>
      <c r="H119" s="311"/>
      <c r="I119" s="311"/>
      <c r="J119" s="311"/>
      <c r="K119" s="311"/>
      <c r="L119" s="311"/>
      <c r="M119" s="360"/>
      <c r="N119" s="361"/>
      <c r="O119" s="361"/>
      <c r="P119" s="359"/>
      <c r="Q119" s="279"/>
      <c r="R119" s="145"/>
      <c r="S119" s="145"/>
      <c r="T119" s="145"/>
      <c r="U119" s="145"/>
      <c r="V119" s="145"/>
      <c r="W119" s="145"/>
      <c r="X119" s="145"/>
      <c r="Y119" s="145"/>
      <c r="Z119" s="145"/>
      <c r="AA119" s="145"/>
      <c r="AB119" s="145"/>
      <c r="AC119" s="145"/>
      <c r="AD119" s="145"/>
      <c r="AE119" s="145"/>
    </row>
    <row r="120" s="17" customFormat="1" ht="14.55" spans="1:31">
      <c r="A120" s="341"/>
      <c r="B120" s="312">
        <f>B40</f>
        <v>111</v>
      </c>
      <c r="C120" s="304"/>
      <c r="D120" s="304"/>
      <c r="E120" s="304"/>
      <c r="F120" s="304"/>
      <c r="G120" s="321"/>
      <c r="H120" s="321"/>
      <c r="I120" s="321"/>
      <c r="J120" s="321"/>
      <c r="K120" s="321"/>
      <c r="L120" s="369"/>
      <c r="M120" s="370"/>
      <c r="N120" s="371"/>
      <c r="O120" s="371"/>
      <c r="P120" s="372"/>
      <c r="Q120" s="403"/>
      <c r="R120" s="404"/>
      <c r="S120" s="404"/>
      <c r="T120" s="404"/>
      <c r="U120" s="404"/>
      <c r="V120" s="404"/>
      <c r="W120" s="404"/>
      <c r="X120" s="404"/>
      <c r="Y120" s="404"/>
      <c r="Z120" s="404"/>
      <c r="AA120" s="404"/>
      <c r="AB120" s="404"/>
      <c r="AC120" s="404"/>
      <c r="AD120" s="404"/>
      <c r="AE120" s="404"/>
    </row>
    <row r="121" s="17" customFormat="1" ht="14.55" spans="1:31">
      <c r="A121" s="325"/>
      <c r="B121" s="346"/>
      <c r="C121" s="327"/>
      <c r="D121" s="327"/>
      <c r="E121" s="327"/>
      <c r="F121" s="327"/>
      <c r="G121" s="340"/>
      <c r="H121" s="340"/>
      <c r="I121" s="340"/>
      <c r="J121" s="340"/>
      <c r="K121" s="340"/>
      <c r="L121" s="340"/>
      <c r="M121" s="394"/>
      <c r="N121" s="371"/>
      <c r="O121" s="371"/>
      <c r="P121" s="372"/>
      <c r="Q121" s="403"/>
      <c r="R121" s="404"/>
      <c r="S121" s="404"/>
      <c r="T121" s="404"/>
      <c r="U121" s="404"/>
      <c r="V121" s="404"/>
      <c r="W121" s="404"/>
      <c r="X121" s="404"/>
      <c r="Y121" s="404"/>
      <c r="Z121" s="404"/>
      <c r="AA121" s="404"/>
      <c r="AB121" s="404"/>
      <c r="AC121" s="404"/>
      <c r="AD121" s="404"/>
      <c r="AE121" s="404"/>
    </row>
    <row r="122" spans="14:31">
      <c r="N122" s="145"/>
      <c r="O122" s="145"/>
      <c r="P122" s="145"/>
      <c r="Q122" s="145"/>
      <c r="R122" s="145"/>
      <c r="S122" s="145"/>
      <c r="T122" s="145"/>
      <c r="U122" s="145"/>
      <c r="V122" s="145"/>
      <c r="W122" s="145"/>
      <c r="X122" s="145"/>
      <c r="Y122" s="145"/>
      <c r="Z122" s="145"/>
      <c r="AA122" s="145"/>
      <c r="AB122" s="145"/>
      <c r="AC122" s="145"/>
      <c r="AD122" s="145"/>
      <c r="AE122" s="145"/>
    </row>
    <row r="123" spans="16:31">
      <c r="P123" s="145"/>
      <c r="Q123" s="145"/>
      <c r="R123" s="145"/>
      <c r="S123" s="145"/>
      <c r="T123" s="145"/>
      <c r="U123" s="145"/>
      <c r="V123" s="145"/>
      <c r="W123" s="145"/>
      <c r="X123" s="145"/>
      <c r="Y123" s="145"/>
      <c r="Z123" s="145"/>
      <c r="AA123" s="145"/>
      <c r="AB123" s="145"/>
      <c r="AC123" s="145"/>
      <c r="AD123" s="145"/>
      <c r="AE123" s="145"/>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26 E26 G26 I26">
      <formula1>基础设施水平</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D52:D60">
      <formula1>"25%,1"</formula1>
    </dataValidation>
    <dataValidation type="list" allowBlank="1" showInputMessage="1" showErrorMessage="1" sqref="C16 E16 G16 I16">
      <formula1>产业集聚程度</formula1>
    </dataValidation>
    <dataValidation type="list" allowBlank="1" showInputMessage="1" showErrorMessage="1" sqref="C22 E22 G22 I22">
      <formula1>环境</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4 E24 G24 I24">
      <formula1>公共配套设施</formula1>
    </dataValidation>
    <dataValidation type="list" allowBlank="1" showInputMessage="1" showErrorMessage="1" sqref="C36 E36 G36 I36">
      <formula1>套工宗地开发程度</formula1>
    </dataValidation>
    <dataValidation type="list" allowBlank="1" showInputMessage="1" showErrorMessage="1" sqref="C27 E27 G27 I27">
      <formula1>临街状况</formula1>
    </dataValidation>
    <dataValidation type="list" allowBlank="1" showInputMessage="1" showErrorMessage="1" sqref="G57">
      <formula1>"商业,办公,住宅,工业"</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8">
      <formula1>"住宅,工业"</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18"/>
  <sheetViews>
    <sheetView view="pageBreakPreview" zoomScale="70" zoomScaleNormal="80" workbookViewId="0">
      <selection activeCell="E21" sqref="E21"/>
    </sheetView>
  </sheetViews>
  <sheetFormatPr defaultColWidth="12" defaultRowHeight="13.2"/>
  <cols>
    <col min="1" max="1" width="9.77777777777778" style="1022" customWidth="1"/>
    <col min="2" max="2" width="19.2222222222222" style="1023" customWidth="1"/>
    <col min="3" max="4" width="12" style="1024"/>
    <col min="5" max="5" width="14.6666666666667" style="1024" customWidth="1"/>
    <col min="6" max="8" width="12" style="1024"/>
    <col min="9" max="9" width="12.2222222222222" style="1024" customWidth="1"/>
    <col min="10" max="10" width="12" style="1024"/>
    <col min="11" max="11" width="8.11111111111111" style="1025" customWidth="1"/>
    <col min="12" max="12" width="12" style="1024"/>
    <col min="13" max="13" width="8.44444444444444" style="1024" customWidth="1"/>
    <col min="14" max="14" width="9.77777777777778" style="1024" customWidth="1"/>
    <col min="15" max="25" width="12" style="1024"/>
    <col min="26" max="26" width="9.33333333333333" style="1022" customWidth="1"/>
    <col min="27" max="32" width="9.33333333333333" style="1026" customWidth="1"/>
    <col min="33" max="36" width="9.33333333333333" style="1022" customWidth="1"/>
    <col min="37" max="38" width="9.33333333333333" style="1024" customWidth="1"/>
    <col min="39" max="16384" width="12" style="1024"/>
  </cols>
  <sheetData>
    <row r="1" ht="31.2" spans="1:36">
      <c r="A1" s="559" t="s">
        <v>1609</v>
      </c>
      <c r="B1" s="560"/>
      <c r="C1" s="29" t="s">
        <v>1424</v>
      </c>
      <c r="D1" s="1027">
        <f>SUM(D29:D30,D33:D39)</f>
        <v>0</v>
      </c>
      <c r="E1" s="1028"/>
      <c r="F1" s="1028"/>
      <c r="G1" s="1028"/>
      <c r="H1" s="1028"/>
      <c r="I1" s="1028"/>
      <c r="J1" s="1028"/>
      <c r="K1" s="1020"/>
      <c r="L1" s="1204" t="s">
        <v>1610</v>
      </c>
      <c r="M1" s="1205">
        <f>SUMPRODUCT((区片价!B5:B9=I2)*(区片价!C3:F3=E2)*(区片价!C5:F9))</f>
        <v>0</v>
      </c>
      <c r="N1" s="1206">
        <f>SUMPRODUCT((因素修正幅度!B5:B9=I2)*(因素修正幅度!C3:F3=E2)*(因素修正幅度!C5:F9))</f>
        <v>0</v>
      </c>
      <c r="O1" s="1021"/>
      <c r="P1" s="1021"/>
      <c r="Q1" s="1020"/>
      <c r="R1" s="1286" t="s">
        <v>1611</v>
      </c>
      <c r="S1" s="1286" t="s">
        <v>1612</v>
      </c>
      <c r="T1" s="1286" t="s">
        <v>1613</v>
      </c>
      <c r="U1" s="1286" t="s">
        <v>1614</v>
      </c>
      <c r="V1" s="1286" t="s">
        <v>1615</v>
      </c>
      <c r="W1" s="1287"/>
      <c r="X1" s="1287"/>
      <c r="Y1" s="1287"/>
      <c r="Z1" s="1287"/>
      <c r="AA1" s="1287"/>
      <c r="AB1" s="1287"/>
      <c r="AC1" s="1297"/>
      <c r="AD1" s="1298"/>
      <c r="AE1" s="1298"/>
      <c r="AF1" s="1298"/>
      <c r="AG1" s="1298"/>
      <c r="AH1" s="1298"/>
      <c r="AI1" s="1298"/>
      <c r="AJ1" s="1308"/>
    </row>
    <row r="2" ht="15.6" spans="1:36">
      <c r="A2" s="29" t="s">
        <v>937</v>
      </c>
      <c r="B2" s="565" t="e">
        <f ca="1">C26</f>
        <v>#DIV/0!</v>
      </c>
      <c r="C2" s="1029" t="s">
        <v>938</v>
      </c>
      <c r="D2" s="1030" t="s">
        <v>1616</v>
      </c>
      <c r="E2" s="1031"/>
      <c r="F2" s="1030" t="s">
        <v>1617</v>
      </c>
      <c r="G2" s="1032" t="str">
        <f>IF(E2="商业",项目基本情况!B37,IF(E2="办公",项目基本情况!C37,IF(E2="住宅",项目基本情况!D37,项目基本情况!E37)))</f>
        <v>六级</v>
      </c>
      <c r="H2" s="1030" t="s">
        <v>1618</v>
      </c>
      <c r="I2" s="1032" t="str">
        <f>IF(E2="商业",项目基本情况!B38,IF(E2="办公",项目基本情况!C38,IF(E2="住宅",项目基本情况!D38,项目基本情况!E38)))</f>
        <v>Ⅵ-空港A</v>
      </c>
      <c r="J2" s="1207"/>
      <c r="K2" s="1020"/>
      <c r="L2" s="1208" t="s">
        <v>1619</v>
      </c>
      <c r="M2" s="1209">
        <f>SUMPRODUCT((区片价!B10:B28=I2)*(区片价!C3:F3=E2)*(区片价!C10:F28))</f>
        <v>0</v>
      </c>
      <c r="N2" s="1206">
        <f>SUMPRODUCT((因素修正幅度!B10:B28=I2)*(因素修正幅度!C3:F3=E2)*(因素修正幅度!C10:F28))</f>
        <v>0</v>
      </c>
      <c r="O2" s="1020"/>
      <c r="P2" s="1020"/>
      <c r="Q2" s="1020"/>
      <c r="R2" s="1286">
        <v>1</v>
      </c>
      <c r="S2" s="1286">
        <f>ROUND(IF(G3&gt;1,IF(R2&lt;7,SUMPRODUCT((B93:B98=R2)*(C92:N92=G2)*(C93:N98)),SUMIF(C92:N92,G2,C100:N100)),IF(R2&lt;7,SUMPRODUCT((B102:B107=R2)*(C92:N92=G2)*(C102:N107)),SUMIF(C92:N92,G2,C109:N109))),4)</f>
        <v>6.6532</v>
      </c>
      <c r="T2" s="1286" t="e">
        <f>ROUND($C$5*$C$18*$C$19*$C$20*S2*$C$24,0)</f>
        <v>#DIV/0!</v>
      </c>
      <c r="U2" s="1288"/>
      <c r="V2" s="1286" t="e">
        <f>ROUND(T2*U2/10000,0)</f>
        <v>#DIV/0!</v>
      </c>
      <c r="W2" s="1287"/>
      <c r="X2" s="1287"/>
      <c r="Y2" s="1287"/>
      <c r="Z2" s="1287"/>
      <c r="AA2" s="1287"/>
      <c r="AB2" s="1287"/>
      <c r="AC2" s="1297"/>
      <c r="AD2" s="1298"/>
      <c r="AE2" s="1298"/>
      <c r="AF2" s="1298"/>
      <c r="AG2" s="1298"/>
      <c r="AH2" s="1298"/>
      <c r="AI2" s="1298"/>
      <c r="AJ2" s="1308"/>
    </row>
    <row r="3" ht="15.6" spans="1:36">
      <c r="A3" s="33" t="s">
        <v>939</v>
      </c>
      <c r="B3" s="565" t="e">
        <f ca="1">ROUND(B2*10000/D1,0)</f>
        <v>#DIV/0!</v>
      </c>
      <c r="C3" s="1029" t="s">
        <v>940</v>
      </c>
      <c r="D3" s="1030" t="s">
        <v>1620</v>
      </c>
      <c r="E3" s="1033"/>
      <c r="F3" s="1034" t="s">
        <v>1621</v>
      </c>
      <c r="G3" s="1035">
        <f>IF(F3="宗地容积率",'数据-汇总表'!I4,IF(F3="估价对象容积率",'数据-汇总表'!I6,'数据-汇总表'!I7))</f>
        <v>0.28</v>
      </c>
      <c r="H3" s="1036" t="s">
        <v>1622</v>
      </c>
      <c r="I3" s="1210"/>
      <c r="J3" s="1207" t="s">
        <v>1623</v>
      </c>
      <c r="K3" s="1020"/>
      <c r="L3" s="1208" t="s">
        <v>1624</v>
      </c>
      <c r="M3" s="1209">
        <f>SUMPRODUCT((区片价!B29:B48=I2)*(区片价!C3:F3=E2)*(区片价!C29:F48))</f>
        <v>0</v>
      </c>
      <c r="N3" s="1206">
        <f>SUMPRODUCT((因素修正幅度!B29:B48=I2)*(因素修正幅度!C3:F3=E2)*(因素修正幅度!C29:F48))</f>
        <v>0</v>
      </c>
      <c r="O3" s="1020"/>
      <c r="P3" s="1020"/>
      <c r="Q3" s="1020"/>
      <c r="R3" s="1286">
        <v>2</v>
      </c>
      <c r="S3" s="1286">
        <f>ROUND(IF(G3&gt;1,IF(R3&lt;7,SUMPRODUCT((B93:B98=R3)*(C92:N92=G2)*(C93:N98)),SUMIF(C92:N92,G2,C100:N100)),IF(R3&lt;7,SUMPRODUCT((B102:B107=R3)*(C92:N92=G2)*(C102:N107)),SUMIF(C92:N92,G2,C109:N109))),4)</f>
        <v>4.7757</v>
      </c>
      <c r="T3" s="1286" t="e">
        <f t="shared" ref="T3:T16" si="0">ROUND($C$5*$C$18*$C$19*$C$20*S3*$C$24,0)</f>
        <v>#DIV/0!</v>
      </c>
      <c r="U3" s="1288"/>
      <c r="V3" s="1286" t="e">
        <f t="shared" ref="V3:V16" si="1">ROUND(T3*U3/10000,0)</f>
        <v>#DIV/0!</v>
      </c>
      <c r="W3" s="1287"/>
      <c r="X3" s="1287"/>
      <c r="Y3" s="1287"/>
      <c r="Z3" s="1287"/>
      <c r="AA3" s="1287"/>
      <c r="AB3" s="1287"/>
      <c r="AC3" s="1297"/>
      <c r="AD3" s="1298"/>
      <c r="AE3" s="1298"/>
      <c r="AF3" s="1298"/>
      <c r="AG3" s="1298"/>
      <c r="AH3" s="1298"/>
      <c r="AI3" s="1298"/>
      <c r="AJ3" s="1308"/>
    </row>
    <row r="4" ht="15.6" spans="1:36">
      <c r="A4" s="1037"/>
      <c r="B4" s="1038"/>
      <c r="C4" s="1038"/>
      <c r="D4" s="1039"/>
      <c r="E4" s="1039"/>
      <c r="F4" s="1039"/>
      <c r="G4" s="1039"/>
      <c r="H4" s="1039"/>
      <c r="I4" s="1039"/>
      <c r="J4" s="1211"/>
      <c r="K4" s="1020"/>
      <c r="L4" s="1208" t="s">
        <v>1625</v>
      </c>
      <c r="M4" s="1209">
        <f>SUMPRODUCT((区片价!B49:B75=I2)*(区片价!C3:F3=E2)*(区片价!C49:F75))</f>
        <v>0</v>
      </c>
      <c r="N4" s="1206">
        <f>SUMPRODUCT((因素修正幅度!B49:B75=I2)*(因素修正幅度!C3:F3=E2)*(因素修正幅度!C49:F75))</f>
        <v>0</v>
      </c>
      <c r="O4" s="1020"/>
      <c r="P4" s="1020"/>
      <c r="Q4" s="1020"/>
      <c r="R4" s="1286">
        <v>3</v>
      </c>
      <c r="S4" s="1286">
        <f>ROUND(IF(G3&gt;1,IF(R4&lt;7,SUMPRODUCT((B93:B98=R4)*(C92:N92=G2)*(C93:N98)),SUMIF(C92:N92,G2,C100:N100)),IF(R4&lt;7,SUMPRODUCT((B102:B107=R4)*(C92:N92=G2)*(C102:N107)),SUMIF(C92:N92,G2,C109:N109))),4)</f>
        <v>3.8529</v>
      </c>
      <c r="T4" s="1286" t="e">
        <f t="shared" si="0"/>
        <v>#DIV/0!</v>
      </c>
      <c r="U4" s="1288"/>
      <c r="V4" s="1286" t="e">
        <f t="shared" si="1"/>
        <v>#DIV/0!</v>
      </c>
      <c r="W4" s="1287"/>
      <c r="X4" s="1287"/>
      <c r="Y4" s="1287"/>
      <c r="Z4" s="1287"/>
      <c r="AA4" s="1287"/>
      <c r="AB4" s="1287"/>
      <c r="AC4" s="1297"/>
      <c r="AD4" s="1298"/>
      <c r="AE4" s="1298"/>
      <c r="AF4" s="1298"/>
      <c r="AG4" s="1298"/>
      <c r="AH4" s="1298"/>
      <c r="AI4" s="1298"/>
      <c r="AJ4" s="1308"/>
    </row>
    <row r="5" s="1019" customFormat="1" ht="15.75" spans="1:36">
      <c r="A5" s="1040" t="s">
        <v>843</v>
      </c>
      <c r="B5" s="1041" t="s">
        <v>1626</v>
      </c>
      <c r="C5" s="1042" t="e">
        <f>ROUND(IF(E2="商业",C6*C7+C16,(IF(E2="住宅",C6*C12+C16,C6+C16))),0)</f>
        <v>#DIV/0!</v>
      </c>
      <c r="D5" s="1043" t="e">
        <f>ROUND(C6+C16,0)</f>
        <v>#DIV/0!</v>
      </c>
      <c r="E5" s="1043"/>
      <c r="F5" s="1044"/>
      <c r="G5" s="1045"/>
      <c r="H5" s="1045"/>
      <c r="I5" s="1045"/>
      <c r="J5" s="1212"/>
      <c r="K5" s="1213"/>
      <c r="L5" s="1208" t="s">
        <v>1627</v>
      </c>
      <c r="M5" s="1209">
        <f>SUMPRODUCT((区片价!B76:B109=I2)*(区片价!C3:F3=E2)*(区片价!C76:F109))</f>
        <v>0</v>
      </c>
      <c r="N5" s="1206">
        <f>SUMPRODUCT((因素修正幅度!B76:B109=I2)*(因素修正幅度!C3:F3=E2)*(因素修正幅度!C76:F109))</f>
        <v>0</v>
      </c>
      <c r="O5" s="1020"/>
      <c r="P5" s="1020"/>
      <c r="Q5" s="1020"/>
      <c r="R5" s="1286">
        <v>4</v>
      </c>
      <c r="S5" s="1286">
        <f>ROUND(IF(G3&gt;1,IF(R5&lt;7,SUMPRODUCT((B93:B98=R5)*(C92:N92=G2)*(C93:N98)),SUMIF(C92:N92,G2,C100:N100)),IF(R5&lt;7,SUMPRODUCT((B102:B107=R5)*(C92:N92=G2)*(C102:N107)),SUMIF(C92:N92,G2,C109:N109))),4)</f>
        <v>3.0914</v>
      </c>
      <c r="T5" s="1286" t="e">
        <f t="shared" si="0"/>
        <v>#DIV/0!</v>
      </c>
      <c r="U5" s="1288"/>
      <c r="V5" s="1286" t="e">
        <f t="shared" si="1"/>
        <v>#DIV/0!</v>
      </c>
      <c r="W5" s="1287"/>
      <c r="X5" s="1287"/>
      <c r="Y5" s="1287"/>
      <c r="Z5" s="1287"/>
      <c r="AA5" s="1287"/>
      <c r="AB5" s="1287"/>
      <c r="AC5" s="1299"/>
      <c r="AD5" s="1300"/>
      <c r="AE5" s="1300"/>
      <c r="AF5" s="1300"/>
      <c r="AG5" s="1300"/>
      <c r="AH5" s="1300"/>
      <c r="AI5" s="1300"/>
      <c r="AJ5" s="1309"/>
    </row>
    <row r="6" ht="15.75" spans="1:36">
      <c r="A6" s="1046" t="s">
        <v>942</v>
      </c>
      <c r="B6" s="1047" t="s">
        <v>1628</v>
      </c>
      <c r="C6" s="1048">
        <f>SUMIF(L1:L12,G2,M1:M12)</f>
        <v>0</v>
      </c>
      <c r="D6" s="1049" t="s">
        <v>1629</v>
      </c>
      <c r="E6" s="1050"/>
      <c r="F6" s="1050"/>
      <c r="G6" s="1051"/>
      <c r="H6" s="1051"/>
      <c r="I6" s="1051"/>
      <c r="J6" s="1214"/>
      <c r="K6" s="1215"/>
      <c r="L6" s="1208" t="s">
        <v>1630</v>
      </c>
      <c r="M6" s="1209">
        <f>SUMPRODUCT((区片价!B110:B157=I2)*(区片价!C3:F3=E2)*(区片价!C110:F157))</f>
        <v>0</v>
      </c>
      <c r="N6" s="1206">
        <f>SUMPRODUCT((因素修正幅度!B110:B157=I2)*(因素修正幅度!C3:F3=E2)*(因素修正幅度!C110:F157))</f>
        <v>0</v>
      </c>
      <c r="O6" s="1020"/>
      <c r="P6" s="1020"/>
      <c r="Q6" s="1020"/>
      <c r="R6" s="1286">
        <v>5</v>
      </c>
      <c r="S6" s="1286">
        <f>ROUND(IF(G3&gt;1,IF(R6&lt;7,SUMPRODUCT((B93:B98=R6)*(C92:N92=G2)*(C93:N98)),SUMIF(C92:N92,G2,C100:N100)),IF(R6&lt;7,SUMPRODUCT((B102:B107=R6)*(C92:N92=G2)*(C102:N107)),SUMIF(C92:N92,G2,C109:N109))),4)</f>
        <v>2.6325</v>
      </c>
      <c r="T6" s="1286" t="e">
        <f t="shared" si="0"/>
        <v>#DIV/0!</v>
      </c>
      <c r="U6" s="1288"/>
      <c r="V6" s="1286" t="e">
        <f t="shared" si="1"/>
        <v>#DIV/0!</v>
      </c>
      <c r="W6" s="1287"/>
      <c r="X6" s="1287"/>
      <c r="Y6" s="1287"/>
      <c r="Z6" s="1287"/>
      <c r="AA6" s="1287"/>
      <c r="AB6" s="1287"/>
      <c r="AC6" s="1299"/>
      <c r="AD6" s="1300"/>
      <c r="AE6" s="1300"/>
      <c r="AF6" s="1300"/>
      <c r="AG6" s="1300"/>
      <c r="AH6" s="1300"/>
      <c r="AI6" s="1300"/>
      <c r="AJ6" s="1309"/>
    </row>
    <row r="7" ht="24" spans="1:36">
      <c r="A7" s="1052" t="str">
        <f>IF(E2="商业",IF(C8="不临58条商业街","",2),"")</f>
        <v/>
      </c>
      <c r="B7" s="1053" t="s">
        <v>1631</v>
      </c>
      <c r="C7" s="1054" t="e">
        <f>IF(C8="不临58条商业街",1,ROUND(1+(1.6*E8+1.2*E9+0.8*E10+0.4*E11)*C9,4))</f>
        <v>#DIV/0!</v>
      </c>
      <c r="D7" s="1055" t="s">
        <v>1632</v>
      </c>
      <c r="E7" s="1056"/>
      <c r="F7" s="1057"/>
      <c r="G7" s="1058"/>
      <c r="H7" s="1058"/>
      <c r="I7" s="1058"/>
      <c r="J7" s="1216"/>
      <c r="K7" s="1215"/>
      <c r="L7" s="1208" t="s">
        <v>1633</v>
      </c>
      <c r="M7" s="1209">
        <f>SUMPRODUCT((区片价!B158:B205=I2)*(区片价!C3:F3=E2)*(区片价!C158:F205))</f>
        <v>0</v>
      </c>
      <c r="N7" s="1206">
        <f>SUMPRODUCT((因素修正幅度!B158:B205=I2)*(因素修正幅度!C3:F3=E2)*(因素修正幅度!C158:F205))</f>
        <v>0</v>
      </c>
      <c r="O7" s="1020"/>
      <c r="P7" s="1020"/>
      <c r="Q7" s="1020"/>
      <c r="R7" s="1286">
        <v>6</v>
      </c>
      <c r="S7" s="1286">
        <f>ROUND(IF(G3&gt;1,IF(R7&lt;7,SUMPRODUCT((B93:B98=R7)*(C92:N92=G2)*(C93:N98)),SUMIF(C92:N92,G2,C100:N100)),IF(R7&lt;7,SUMPRODUCT((B102:B107=R7)*(C92:N92=G2)*(C102:N107)),SUMIF(C92:N92,G2,C109:N109))),4)</f>
        <v>2.315</v>
      </c>
      <c r="T7" s="1286" t="e">
        <f t="shared" si="0"/>
        <v>#DIV/0!</v>
      </c>
      <c r="U7" s="1288"/>
      <c r="V7" s="1286" t="e">
        <f t="shared" si="1"/>
        <v>#DIV/0!</v>
      </c>
      <c r="W7" s="1289" t="s">
        <v>1634</v>
      </c>
      <c r="X7" s="1290" t="str">
        <f>G2</f>
        <v>六级</v>
      </c>
      <c r="Y7" s="1290" t="s">
        <v>1635</v>
      </c>
      <c r="Z7" s="1301">
        <f>G3</f>
        <v>0.28</v>
      </c>
      <c r="AA7" s="1287"/>
      <c r="AB7" s="1287"/>
      <c r="AC7" s="1297"/>
      <c r="AD7" s="1298"/>
      <c r="AE7" s="1298"/>
      <c r="AF7" s="1298"/>
      <c r="AG7" s="1298"/>
      <c r="AH7" s="1298"/>
      <c r="AI7" s="1298"/>
      <c r="AJ7" s="1308"/>
    </row>
    <row r="8" ht="15" spans="1:36">
      <c r="A8" s="1059"/>
      <c r="B8" s="1036" t="s">
        <v>1636</v>
      </c>
      <c r="C8" s="1060"/>
      <c r="D8" s="1061" t="s">
        <v>1637</v>
      </c>
      <c r="E8" s="1062" t="e">
        <f>ROUND(C11/E7,4)</f>
        <v>#DIV/0!</v>
      </c>
      <c r="F8" s="1063" t="s">
        <v>1638</v>
      </c>
      <c r="G8" s="1064"/>
      <c r="H8" s="1064"/>
      <c r="I8" s="1064"/>
      <c r="J8" s="1217"/>
      <c r="K8" s="1020"/>
      <c r="L8" s="1208" t="s">
        <v>1639</v>
      </c>
      <c r="M8" s="1209">
        <f>SUMPRODUCT((区片价!B206:B244=I2)*(区片价!C3:F3=E2)*(区片价!C206:F244))</f>
        <v>0</v>
      </c>
      <c r="N8" s="1206">
        <f>SUMPRODUCT((因素修正幅度!B206:B244=I2)*(因素修正幅度!C3:F3=E2)*(因素修正幅度!C206:F244))</f>
        <v>0</v>
      </c>
      <c r="O8" s="1020"/>
      <c r="P8" s="1020"/>
      <c r="Q8" s="1020"/>
      <c r="R8" s="1286">
        <v>7</v>
      </c>
      <c r="S8" s="1288"/>
      <c r="T8" s="1286" t="e">
        <f t="shared" si="0"/>
        <v>#DIV/0!</v>
      </c>
      <c r="U8" s="1288"/>
      <c r="V8" s="1286" t="e">
        <f t="shared" si="1"/>
        <v>#DIV/0!</v>
      </c>
      <c r="W8" s="1291" t="s">
        <v>1640</v>
      </c>
      <c r="X8" s="1292"/>
      <c r="Y8" s="1302" t="s">
        <v>1641</v>
      </c>
      <c r="Z8" s="1302" t="s">
        <v>1642</v>
      </c>
      <c r="AA8" s="1302" t="s">
        <v>1643</v>
      </c>
      <c r="AB8" s="1302" t="s">
        <v>1644</v>
      </c>
      <c r="AC8" s="1302" t="s">
        <v>1645</v>
      </c>
      <c r="AD8" s="1302" t="s">
        <v>1646</v>
      </c>
      <c r="AE8" s="1302" t="s">
        <v>1647</v>
      </c>
      <c r="AF8" s="1302" t="s">
        <v>1648</v>
      </c>
      <c r="AG8" s="1302" t="s">
        <v>1649</v>
      </c>
      <c r="AH8" s="1302" t="s">
        <v>1650</v>
      </c>
      <c r="AI8" s="1302" t="s">
        <v>1651</v>
      </c>
      <c r="AJ8" s="1302" t="s">
        <v>1652</v>
      </c>
    </row>
    <row r="9" ht="15" spans="1:36">
      <c r="A9" s="1059"/>
      <c r="B9" s="1036" t="s">
        <v>1653</v>
      </c>
      <c r="C9" s="1065">
        <f>SUMIF(修正!C71:C138,C8,修正!E71:E138)</f>
        <v>0</v>
      </c>
      <c r="D9" s="172" t="s">
        <v>1654</v>
      </c>
      <c r="E9" s="172" t="e">
        <f>ROUND(C11/E7,4)</f>
        <v>#DIV/0!</v>
      </c>
      <c r="F9" s="1063" t="s">
        <v>1655</v>
      </c>
      <c r="G9" s="1064"/>
      <c r="H9" s="1064"/>
      <c r="I9" s="1064"/>
      <c r="J9" s="1217"/>
      <c r="K9" s="1020"/>
      <c r="L9" s="1208" t="s">
        <v>1656</v>
      </c>
      <c r="M9" s="1209">
        <f>SUMPRODUCT((区片价!B245:B289=I2)*(区片价!C3:F3=E2)*(区片价!C245:F289))</f>
        <v>0</v>
      </c>
      <c r="N9" s="1206">
        <f>SUMPRODUCT((因素修正幅度!B245:B289=I2)*(因素修正幅度!C3:F3=E2)*(因素修正幅度!C245:F289))</f>
        <v>0</v>
      </c>
      <c r="O9" s="1020"/>
      <c r="P9" s="1020"/>
      <c r="Q9" s="1020"/>
      <c r="R9" s="1286">
        <v>8</v>
      </c>
      <c r="S9" s="1288"/>
      <c r="T9" s="1286" t="e">
        <f t="shared" si="0"/>
        <v>#DIV/0!</v>
      </c>
      <c r="U9" s="1288"/>
      <c r="V9" s="1286" t="e">
        <f t="shared" si="1"/>
        <v>#DIV/0!</v>
      </c>
      <c r="W9" s="1289" t="s">
        <v>1657</v>
      </c>
      <c r="X9" s="1293" t="s">
        <v>1658</v>
      </c>
      <c r="Y9" s="1303"/>
      <c r="Z9" s="1304">
        <f>$Y$9</f>
        <v>0</v>
      </c>
      <c r="AA9" s="1304">
        <f t="shared" ref="AA9:AJ9" si="2">$Y$9</f>
        <v>0</v>
      </c>
      <c r="AB9" s="1304">
        <f t="shared" si="2"/>
        <v>0</v>
      </c>
      <c r="AC9" s="1304">
        <f t="shared" si="2"/>
        <v>0</v>
      </c>
      <c r="AD9" s="1304">
        <f t="shared" si="2"/>
        <v>0</v>
      </c>
      <c r="AE9" s="1304">
        <f t="shared" si="2"/>
        <v>0</v>
      </c>
      <c r="AF9" s="1304">
        <f t="shared" si="2"/>
        <v>0</v>
      </c>
      <c r="AG9" s="1304">
        <f t="shared" si="2"/>
        <v>0</v>
      </c>
      <c r="AH9" s="1304">
        <f t="shared" si="2"/>
        <v>0</v>
      </c>
      <c r="AI9" s="1304">
        <f t="shared" si="2"/>
        <v>0</v>
      </c>
      <c r="AJ9" s="1304">
        <f t="shared" si="2"/>
        <v>0</v>
      </c>
    </row>
    <row r="10" ht="15" spans="1:36">
      <c r="A10" s="1059"/>
      <c r="B10" s="1036" t="s">
        <v>1659</v>
      </c>
      <c r="C10" s="172">
        <f>SUMIF(修正!C71:C138,C8,修正!F71:F138)</f>
        <v>0</v>
      </c>
      <c r="D10" s="172" t="s">
        <v>1660</v>
      </c>
      <c r="E10" s="172" t="e">
        <f>ROUND(C11/E7,4)</f>
        <v>#DIV/0!</v>
      </c>
      <c r="F10" s="1063" t="s">
        <v>1661</v>
      </c>
      <c r="G10" s="1064"/>
      <c r="H10" s="1064"/>
      <c r="I10" s="1064"/>
      <c r="J10" s="1217"/>
      <c r="K10" s="1020"/>
      <c r="L10" s="1208" t="s">
        <v>1662</v>
      </c>
      <c r="M10" s="1209">
        <f>SUMPRODUCT((区片价!B290:B316=I2)*(区片价!C3:F3=E2)*(区片价!C290:F316))</f>
        <v>0</v>
      </c>
      <c r="N10" s="1206">
        <f>SUMPRODUCT((因素修正幅度!B290:B316=I2)*(因素修正幅度!C3:F3=E2)*(因素修正幅度!C290:F316))</f>
        <v>0</v>
      </c>
      <c r="O10" s="1020"/>
      <c r="P10" s="1020"/>
      <c r="Q10" s="1020"/>
      <c r="R10" s="1286">
        <v>9</v>
      </c>
      <c r="S10" s="1288"/>
      <c r="T10" s="1286" t="e">
        <f t="shared" si="0"/>
        <v>#DIV/0!</v>
      </c>
      <c r="U10" s="1288"/>
      <c r="V10" s="1286" t="e">
        <f t="shared" si="1"/>
        <v>#DIV/0!</v>
      </c>
      <c r="W10" s="1289"/>
      <c r="X10" s="1293">
        <v>7</v>
      </c>
      <c r="Y10" s="1305">
        <f>(-0.163*(Y9^2)-0.59*Y9+7617)*(10^(-4))</f>
        <v>0.7617</v>
      </c>
      <c r="Z10" s="1305">
        <f>(-0.163*(Z9^2)-0.59*Z9+7617)*(10^(-4))</f>
        <v>0.7617</v>
      </c>
      <c r="AA10" s="1305">
        <f>(-0.161*(AA9^2)-7.509*AA9+6533)*(10^(-4))</f>
        <v>0.6533</v>
      </c>
      <c r="AB10" s="1305">
        <f>(-0.161*(AB9^2)-7.509*AB9+6533)*(10^(-4))</f>
        <v>0.6533</v>
      </c>
      <c r="AC10" s="1305">
        <f>(-0.161*(AC9^2)-7.509*AC9+6533)*(10^(-4))</f>
        <v>0.6533</v>
      </c>
      <c r="AD10" s="1305">
        <f>(-0.161*(AD9^2)-7.509*AD9+6533)*(10^(-4))</f>
        <v>0.6533</v>
      </c>
      <c r="AE10" s="1305">
        <f>(-0.161*(AE9^2)-7.509*AE9+6533)*(10^(-4))</f>
        <v>0.6533</v>
      </c>
      <c r="AF10" s="1305">
        <f>(-0.214*(AF9^2)-21.991*AF9+4665)*(10^(-4))</f>
        <v>0.4665</v>
      </c>
      <c r="AG10" s="1305">
        <f>(-0.214*(AG9^2)-21.991*AG9+4665)*(10^(-4))</f>
        <v>0.4665</v>
      </c>
      <c r="AH10" s="1305">
        <f>(-0.214*(AH9^2)-21.991*AH9+4665)*(10^(-4))</f>
        <v>0.4665</v>
      </c>
      <c r="AI10" s="1305">
        <f>(-0.214*(AI9^2)-21.991*AI9+4665)*(10^(-4))</f>
        <v>0.4665</v>
      </c>
      <c r="AJ10" s="1305">
        <f>(-0.214*(AJ9^2)-21.991*AJ9+4665)*(10^(-4))</f>
        <v>0.4665</v>
      </c>
    </row>
    <row r="11" ht="15.75" spans="1:36">
      <c r="A11" s="1059"/>
      <c r="B11" s="1066" t="s">
        <v>1663</v>
      </c>
      <c r="C11" s="1067">
        <f>C10/4</f>
        <v>0</v>
      </c>
      <c r="D11" s="1067" t="s">
        <v>1664</v>
      </c>
      <c r="E11" s="1067" t="e">
        <f>ROUND(C11/E7,4)</f>
        <v>#DIV/0!</v>
      </c>
      <c r="F11" s="1068" t="s">
        <v>1665</v>
      </c>
      <c r="G11" s="1069"/>
      <c r="H11" s="1069"/>
      <c r="I11" s="1069"/>
      <c r="J11" s="1218"/>
      <c r="K11" s="1020"/>
      <c r="L11" s="1208" t="s">
        <v>1666</v>
      </c>
      <c r="M11" s="1209">
        <f>SUMPRODUCT((区片价!B317:B337=I2)*(区片价!C3:F3=E2)*(区片价!C317:F337))</f>
        <v>0</v>
      </c>
      <c r="N11" s="1206">
        <f>SUMPRODUCT((因素修正幅度!B317:B337=I2)*(因素修正幅度!C3:F3=E2)*(因素修正幅度!C317:F337))</f>
        <v>0</v>
      </c>
      <c r="O11" s="1020"/>
      <c r="P11" s="1020"/>
      <c r="Q11" s="1020"/>
      <c r="R11" s="1286">
        <v>10</v>
      </c>
      <c r="S11" s="1288"/>
      <c r="T11" s="1286" t="e">
        <f t="shared" si="0"/>
        <v>#DIV/0!</v>
      </c>
      <c r="U11" s="1288"/>
      <c r="V11" s="1286" t="e">
        <f t="shared" si="1"/>
        <v>#DIV/0!</v>
      </c>
      <c r="W11" s="1289" t="s">
        <v>1667</v>
      </c>
      <c r="X11" s="1294" t="s">
        <v>1635</v>
      </c>
      <c r="Y11" s="1306">
        <f>$G$3</f>
        <v>0.28</v>
      </c>
      <c r="Z11" s="1306">
        <f t="shared" ref="Z11:AJ11" si="3">$G$3</f>
        <v>0.28</v>
      </c>
      <c r="AA11" s="1306">
        <f t="shared" si="3"/>
        <v>0.28</v>
      </c>
      <c r="AB11" s="1306">
        <f t="shared" si="3"/>
        <v>0.28</v>
      </c>
      <c r="AC11" s="1306">
        <f t="shared" si="3"/>
        <v>0.28</v>
      </c>
      <c r="AD11" s="1306">
        <f t="shared" si="3"/>
        <v>0.28</v>
      </c>
      <c r="AE11" s="1306">
        <f t="shared" si="3"/>
        <v>0.28</v>
      </c>
      <c r="AF11" s="1306">
        <f t="shared" si="3"/>
        <v>0.28</v>
      </c>
      <c r="AG11" s="1306">
        <f t="shared" si="3"/>
        <v>0.28</v>
      </c>
      <c r="AH11" s="1306">
        <f t="shared" si="3"/>
        <v>0.28</v>
      </c>
      <c r="AI11" s="1306">
        <f t="shared" si="3"/>
        <v>0.28</v>
      </c>
      <c r="AJ11" s="1306">
        <f t="shared" si="3"/>
        <v>0.28</v>
      </c>
    </row>
    <row r="12" ht="25.95" spans="1:36">
      <c r="A12" s="1052" t="s">
        <v>1348</v>
      </c>
      <c r="B12" s="1070" t="s">
        <v>1668</v>
      </c>
      <c r="C12" s="1054">
        <f>ROUND(C15*D15*E15*F15*G15*H15*I15*J15,4)</f>
        <v>1</v>
      </c>
      <c r="D12" s="1071" t="s">
        <v>1669</v>
      </c>
      <c r="E12" s="1072"/>
      <c r="F12" s="1072"/>
      <c r="G12" s="1073"/>
      <c r="H12" s="1073"/>
      <c r="I12" s="1073"/>
      <c r="J12" s="1219"/>
      <c r="K12" s="1020"/>
      <c r="L12" s="1220" t="s">
        <v>1670</v>
      </c>
      <c r="M12" s="1221">
        <f>SUMPRODUCT((区片价!B338:B344=I2)*(区片价!C3:F3=E2)*(区片价!C338:F344))</f>
        <v>0</v>
      </c>
      <c r="N12" s="1206">
        <f>SUMPRODUCT((因素修正幅度!B338:B344=I2)*(因素修正幅度!C3:F3=E2)*(因素修正幅度!C338:F344))</f>
        <v>0</v>
      </c>
      <c r="O12" s="1020"/>
      <c r="P12" s="1020"/>
      <c r="Q12" s="1020"/>
      <c r="R12" s="1286">
        <v>11</v>
      </c>
      <c r="S12" s="1288"/>
      <c r="T12" s="1286" t="e">
        <f t="shared" si="0"/>
        <v>#DIV/0!</v>
      </c>
      <c r="U12" s="1288"/>
      <c r="V12" s="1286" t="e">
        <f t="shared" si="1"/>
        <v>#DIV/0!</v>
      </c>
      <c r="W12" s="1289"/>
      <c r="X12" s="1295" t="s">
        <v>1671</v>
      </c>
      <c r="Y12" s="1304">
        <f t="shared" ref="Y12:AJ12" si="4">Y9</f>
        <v>0</v>
      </c>
      <c r="Z12" s="1304">
        <f t="shared" si="4"/>
        <v>0</v>
      </c>
      <c r="AA12" s="1304">
        <f t="shared" si="4"/>
        <v>0</v>
      </c>
      <c r="AB12" s="1304">
        <f t="shared" si="4"/>
        <v>0</v>
      </c>
      <c r="AC12" s="1304">
        <f t="shared" si="4"/>
        <v>0</v>
      </c>
      <c r="AD12" s="1304">
        <f t="shared" si="4"/>
        <v>0</v>
      </c>
      <c r="AE12" s="1304">
        <f t="shared" si="4"/>
        <v>0</v>
      </c>
      <c r="AF12" s="1304">
        <f t="shared" si="4"/>
        <v>0</v>
      </c>
      <c r="AG12" s="1304">
        <f t="shared" si="4"/>
        <v>0</v>
      </c>
      <c r="AH12" s="1304">
        <f t="shared" si="4"/>
        <v>0</v>
      </c>
      <c r="AI12" s="1304">
        <f t="shared" si="4"/>
        <v>0</v>
      </c>
      <c r="AJ12" s="1304">
        <f t="shared" si="4"/>
        <v>0</v>
      </c>
    </row>
    <row r="13" ht="24" spans="1:36">
      <c r="A13" s="1074"/>
      <c r="B13" s="1075" t="s">
        <v>1672</v>
      </c>
      <c r="C13" s="1076" t="s">
        <v>1673</v>
      </c>
      <c r="D13" s="1077" t="s">
        <v>1674</v>
      </c>
      <c r="E13" s="1077" t="s">
        <v>1675</v>
      </c>
      <c r="F13" s="1078" t="s">
        <v>1676</v>
      </c>
      <c r="G13" s="1079" t="s">
        <v>1677</v>
      </c>
      <c r="H13" s="1079" t="s">
        <v>1677</v>
      </c>
      <c r="I13" s="1079" t="s">
        <v>1677</v>
      </c>
      <c r="J13" s="1222" t="s">
        <v>1677</v>
      </c>
      <c r="K13" s="1020"/>
      <c r="L13" s="1020"/>
      <c r="M13" s="1020"/>
      <c r="N13" s="1020"/>
      <c r="O13" s="1020"/>
      <c r="P13" s="1020"/>
      <c r="Q13" s="1020"/>
      <c r="R13" s="1286">
        <v>12</v>
      </c>
      <c r="S13" s="1288"/>
      <c r="T13" s="1286" t="e">
        <f t="shared" si="0"/>
        <v>#DIV/0!</v>
      </c>
      <c r="U13" s="1288"/>
      <c r="V13" s="1286" t="e">
        <f t="shared" si="1"/>
        <v>#DIV/0!</v>
      </c>
      <c r="W13" s="1289"/>
      <c r="X13" s="1295"/>
      <c r="Y13" s="1305">
        <f>(-0.163*(Y12^2)-0.59*Y12+7617)*(10^(-4))/Y11</f>
        <v>2.72035714285714</v>
      </c>
      <c r="Z13" s="1305">
        <f t="shared" ref="Z13:AJ13" si="5">(-0.163*(Z12^2)-0.59*Z12+7617)*(10^(-4))/Z11</f>
        <v>2.72035714285714</v>
      </c>
      <c r="AA13" s="1305">
        <f t="shared" si="5"/>
        <v>2.72035714285714</v>
      </c>
      <c r="AB13" s="1305">
        <f t="shared" si="5"/>
        <v>2.72035714285714</v>
      </c>
      <c r="AC13" s="1305">
        <f t="shared" si="5"/>
        <v>2.72035714285714</v>
      </c>
      <c r="AD13" s="1305">
        <f t="shared" si="5"/>
        <v>2.72035714285714</v>
      </c>
      <c r="AE13" s="1305">
        <f t="shared" si="5"/>
        <v>2.72035714285714</v>
      </c>
      <c r="AF13" s="1305">
        <f t="shared" si="5"/>
        <v>2.72035714285714</v>
      </c>
      <c r="AG13" s="1305">
        <f t="shared" si="5"/>
        <v>2.72035714285714</v>
      </c>
      <c r="AH13" s="1305">
        <f t="shared" si="5"/>
        <v>2.72035714285714</v>
      </c>
      <c r="AI13" s="1305">
        <f t="shared" si="5"/>
        <v>2.72035714285714</v>
      </c>
      <c r="AJ13" s="1305">
        <f t="shared" si="5"/>
        <v>2.72035714285714</v>
      </c>
    </row>
    <row r="14" ht="15" spans="1:36">
      <c r="A14" s="1074"/>
      <c r="B14" s="1080"/>
      <c r="C14" s="1081"/>
      <c r="D14" s="1082"/>
      <c r="E14" s="1082"/>
      <c r="F14" s="1083"/>
      <c r="G14" s="1084" t="s">
        <v>1678</v>
      </c>
      <c r="H14" s="1085"/>
      <c r="I14" s="1223"/>
      <c r="J14" s="1224"/>
      <c r="K14" s="1020"/>
      <c r="L14" s="1020"/>
      <c r="M14" s="1020"/>
      <c r="N14" s="1020"/>
      <c r="O14" s="1020"/>
      <c r="P14" s="1020"/>
      <c r="Q14" s="1020"/>
      <c r="R14" s="1286">
        <v>13</v>
      </c>
      <c r="S14" s="1288"/>
      <c r="T14" s="1286" t="e">
        <f t="shared" si="0"/>
        <v>#DIV/0!</v>
      </c>
      <c r="U14" s="1288"/>
      <c r="V14" s="1286" t="e">
        <f t="shared" si="1"/>
        <v>#DIV/0!</v>
      </c>
      <c r="W14" s="1287"/>
      <c r="X14" s="1287"/>
      <c r="Y14" s="1287"/>
      <c r="Z14" s="1287"/>
      <c r="AA14" s="1287"/>
      <c r="AB14" s="1287"/>
      <c r="AC14" s="1297"/>
      <c r="AD14" s="1307"/>
      <c r="AE14" s="1307"/>
      <c r="AF14" s="1307"/>
      <c r="AG14" s="1307"/>
      <c r="AH14" s="1307"/>
      <c r="AI14" s="1307"/>
      <c r="AJ14" s="1310"/>
    </row>
    <row r="15" ht="15.75" spans="1:36">
      <c r="A15" s="1086"/>
      <c r="B15" s="1087" t="s">
        <v>1679</v>
      </c>
      <c r="C15" s="1088">
        <f>IF(C14="有",1.1,1)</f>
        <v>1</v>
      </c>
      <c r="D15" s="1088">
        <f>IF(D14="有",1.1,1)</f>
        <v>1</v>
      </c>
      <c r="E15" s="1088">
        <f>IF(E14="有",1.1,1)</f>
        <v>1</v>
      </c>
      <c r="F15" s="1088">
        <f>IF(F14="500米范围内",1.2,IF(F14="500-1000米",1.1,1))</f>
        <v>1</v>
      </c>
      <c r="G15" s="1089">
        <v>1</v>
      </c>
      <c r="H15" s="1089">
        <v>1</v>
      </c>
      <c r="I15" s="1089">
        <v>1</v>
      </c>
      <c r="J15" s="1225">
        <v>1</v>
      </c>
      <c r="K15" s="1020"/>
      <c r="L15" s="1021"/>
      <c r="M15" s="1021"/>
      <c r="N15" s="1021"/>
      <c r="O15" s="1021"/>
      <c r="P15" s="1021"/>
      <c r="Q15" s="1020"/>
      <c r="R15" s="1286">
        <v>14</v>
      </c>
      <c r="S15" s="1288"/>
      <c r="T15" s="1286" t="e">
        <f t="shared" si="0"/>
        <v>#DIV/0!</v>
      </c>
      <c r="U15" s="1288"/>
      <c r="V15" s="1286" t="e">
        <f t="shared" si="1"/>
        <v>#DIV/0!</v>
      </c>
      <c r="W15" s="1287"/>
      <c r="X15" s="1287"/>
      <c r="Y15" s="1287"/>
      <c r="Z15" s="1287"/>
      <c r="AA15" s="1287"/>
      <c r="AB15" s="1287"/>
      <c r="AC15" s="1297"/>
      <c r="AD15" s="1307"/>
      <c r="AE15" s="1307"/>
      <c r="AF15" s="1307"/>
      <c r="AG15" s="1307"/>
      <c r="AH15" s="1307"/>
      <c r="AI15" s="1307"/>
      <c r="AJ15" s="1310"/>
    </row>
    <row r="16" ht="24.6" customHeight="1" spans="1:36">
      <c r="A16" s="1052" t="s">
        <v>1352</v>
      </c>
      <c r="B16" s="1053" t="s">
        <v>1680</v>
      </c>
      <c r="C16" s="1090" t="e">
        <f>ROUND(IF(F17="与级别开发程度一致",0,(G17-E17)/C17),0)</f>
        <v>#DIV/0!</v>
      </c>
      <c r="D16" s="1091" t="s">
        <v>1681</v>
      </c>
      <c r="E16" s="1092"/>
      <c r="F16" s="1091" t="s">
        <v>1682</v>
      </c>
      <c r="G16" s="1092"/>
      <c r="H16" s="1093"/>
      <c r="I16" s="1093"/>
      <c r="J16" s="1226"/>
      <c r="K16" s="1093"/>
      <c r="L16" s="1093"/>
      <c r="M16" s="1093"/>
      <c r="N16" s="1093"/>
      <c r="O16" s="1227"/>
      <c r="P16" s="1021"/>
      <c r="Q16" s="1020"/>
      <c r="R16" s="1286">
        <v>15</v>
      </c>
      <c r="S16" s="1288"/>
      <c r="T16" s="1286" t="e">
        <f t="shared" si="0"/>
        <v>#DIV/0!</v>
      </c>
      <c r="U16" s="1288"/>
      <c r="V16" s="1286" t="e">
        <f t="shared" si="1"/>
        <v>#DIV/0!</v>
      </c>
      <c r="W16" s="1287"/>
      <c r="X16" s="1287"/>
      <c r="Y16" s="1287"/>
      <c r="Z16" s="1287"/>
      <c r="AA16" s="1287"/>
      <c r="AB16" s="1287"/>
      <c r="AC16" s="1297"/>
      <c r="AD16" s="1307"/>
      <c r="AE16" s="1307"/>
      <c r="AF16" s="1307"/>
      <c r="AG16" s="1307"/>
      <c r="AH16" s="1307"/>
      <c r="AI16" s="1307"/>
      <c r="AJ16" s="1310"/>
    </row>
    <row r="17" ht="13.95" spans="1:36">
      <c r="A17" s="1094"/>
      <c r="B17" s="1095" t="s">
        <v>1683</v>
      </c>
      <c r="C17" s="1096">
        <f>SUMPRODUCT((修正!A2:A7=E2)*(修正!B1:M1=G2)*(修正!B2:M7))</f>
        <v>0</v>
      </c>
      <c r="D17" s="1088" t="str">
        <f>IF(OR(G2="八级",G2="九级",G2="十级",G2="十一级",G2="十二级"),"五通一平","七通一平")</f>
        <v>七通一平</v>
      </c>
      <c r="E17" s="1097">
        <f>SUMPRODUCT((修正!B1:M1=G2)*(修正!B17:M17))</f>
        <v>315</v>
      </c>
      <c r="F17" s="1098"/>
      <c r="G17" s="1099">
        <f>SUM(H17:O17)</f>
        <v>0</v>
      </c>
      <c r="H17" s="1096">
        <f>SUMPRODUCT((七通一平=H16)*(修正!B1:M1=G2)*(修正!B8:M16))</f>
        <v>0</v>
      </c>
      <c r="I17" s="1096">
        <f>SUMPRODUCT((七通一平=I16)*(修正!B1:M1=G2)*(修正!B8:M16))</f>
        <v>0</v>
      </c>
      <c r="J17" s="1228">
        <f>SUMPRODUCT((七通一平=J16)*(修正!B1:M1=G2)*(修正!B8:M16))</f>
        <v>0</v>
      </c>
      <c r="K17" s="1096">
        <f>SUMPRODUCT((七通一平=K16)*(修正!B1:M1=G2)*(修正!B8:M16))</f>
        <v>0</v>
      </c>
      <c r="L17" s="1096">
        <f>SUMPRODUCT((七通一平=L16)*(修正!B1:M1=G2)*(修正!B8:M16))</f>
        <v>0</v>
      </c>
      <c r="M17" s="1096">
        <f>SUMPRODUCT((七通一平=M16)*(修正!B1:M1=G2)*(修正!B8:M16))</f>
        <v>0</v>
      </c>
      <c r="N17" s="1096">
        <f>SUMPRODUCT((七通一平=N16)*(修正!B1:M1=G2)*(修正!B8:M16))</f>
        <v>0</v>
      </c>
      <c r="O17" s="1229">
        <f>SUMPRODUCT((七通一平=O16)*(修正!B1:M1=G2)*(修正!B8:M16))</f>
        <v>0</v>
      </c>
      <c r="P17" s="1021"/>
      <c r="Q17" s="1020"/>
      <c r="R17" s="1020"/>
      <c r="S17" s="1020"/>
      <c r="T17" s="1020"/>
      <c r="U17" s="1020"/>
      <c r="V17" s="1020"/>
      <c r="W17" s="1020"/>
      <c r="X17" s="1020"/>
      <c r="Y17" s="1020"/>
      <c r="Z17" s="1170"/>
      <c r="AA17" s="1170"/>
      <c r="AB17" s="1170"/>
      <c r="AC17" s="1170"/>
      <c r="AD17" s="1170"/>
      <c r="AE17" s="1020"/>
      <c r="AF17" s="1020"/>
      <c r="AG17" s="1021"/>
      <c r="AH17" s="1021"/>
      <c r="AI17" s="1021"/>
      <c r="AJ17" s="1021"/>
    </row>
    <row r="18" s="1019" customFormat="1" ht="15.15" spans="1:36">
      <c r="A18" s="1100" t="s">
        <v>854</v>
      </c>
      <c r="B18" s="1101" t="s">
        <v>1684</v>
      </c>
      <c r="C18" s="1102">
        <f>SUMIF(修正!C20:C51,E3,修正!E20:E51)</f>
        <v>0</v>
      </c>
      <c r="D18" s="1103"/>
      <c r="E18" s="1104"/>
      <c r="F18" s="1104"/>
      <c r="G18" s="1104"/>
      <c r="H18" s="1104"/>
      <c r="I18" s="1104"/>
      <c r="J18" s="1230"/>
      <c r="K18" s="1231"/>
      <c r="L18" s="1232"/>
      <c r="M18" s="1232"/>
      <c r="N18" s="1232"/>
      <c r="O18" s="1233"/>
      <c r="P18" s="1233"/>
      <c r="Q18" s="1296"/>
      <c r="R18" s="1296"/>
      <c r="S18" s="1296"/>
      <c r="T18" s="1170"/>
      <c r="U18" s="1170"/>
      <c r="V18" s="1170"/>
      <c r="W18" s="1020"/>
      <c r="X18" s="1020"/>
      <c r="Y18" s="1020"/>
      <c r="Z18" s="1231"/>
      <c r="AA18" s="1231"/>
      <c r="AB18" s="1231"/>
      <c r="AC18" s="1231"/>
      <c r="AD18" s="1231"/>
      <c r="AE18" s="1170"/>
      <c r="AF18" s="1170"/>
      <c r="AG18" s="1311"/>
      <c r="AH18" s="1311"/>
      <c r="AI18" s="1311"/>
      <c r="AJ18" s="1232"/>
    </row>
    <row r="19" s="1019" customFormat="1" ht="29.55" spans="1:37">
      <c r="A19" s="1105" t="s">
        <v>859</v>
      </c>
      <c r="B19" s="1106" t="s">
        <v>1685</v>
      </c>
      <c r="C19" s="1107" t="e">
        <f>ROUND(IF(H19="按公示增长率计算",SUMPRODUCT((地价!A3:A37=YEAR(G19)&amp;"-"&amp;ROUNDUP(MONTH(G19)/3,0))*(地价!X2:AB2=E2)*(地价!X3:AB37)),IF(H19="地价指数",M20/M19,(1+I19)^O19)),4)</f>
        <v>#VALUE!</v>
      </c>
      <c r="D19" s="1108" t="s">
        <v>1686</v>
      </c>
      <c r="E19" s="1109">
        <v>41640</v>
      </c>
      <c r="F19" s="1108" t="s">
        <v>1687</v>
      </c>
      <c r="G19" s="1110">
        <f>'数据-取费表'!B2</f>
        <v>44802</v>
      </c>
      <c r="H19" s="1111"/>
      <c r="I19" s="1234" t="str">
        <f>IF(H19="季度增幅（自定义）",SUMIF(N21:N24,E2,O21:O24),"")</f>
        <v/>
      </c>
      <c r="J19" s="1235"/>
      <c r="K19" s="1231"/>
      <c r="L19" s="1236" t="s">
        <v>1688</v>
      </c>
      <c r="M19" s="1237">
        <f>ROUND(SUMIF(地价!B2:F2,E2,地价!B37:F37),0)</f>
        <v>0</v>
      </c>
      <c r="N19" s="1238" t="s">
        <v>1689</v>
      </c>
      <c r="O19" s="1239">
        <f>ROUNDDOWN(DATEDIF(E19,G19,"M")/3,0)</f>
        <v>34</v>
      </c>
      <c r="P19" s="1240"/>
      <c r="Q19" s="1296"/>
      <c r="R19" s="1296"/>
      <c r="S19" s="1296"/>
      <c r="T19" s="1170"/>
      <c r="U19" s="1170"/>
      <c r="V19" s="1170"/>
      <c r="W19" s="1020"/>
      <c r="X19" s="1020"/>
      <c r="Y19" s="1020"/>
      <c r="Z19" s="1231"/>
      <c r="AA19" s="1231"/>
      <c r="AB19" s="1231"/>
      <c r="AC19" s="1231"/>
      <c r="AD19" s="1231"/>
      <c r="AE19" s="1231"/>
      <c r="AF19" s="1296"/>
      <c r="AG19" s="1312"/>
      <c r="AH19" s="1311"/>
      <c r="AI19" s="1313"/>
      <c r="AJ19" s="1313"/>
      <c r="AK19" s="1314"/>
    </row>
    <row r="20" s="1019" customFormat="1" ht="29.55" spans="1:36">
      <c r="A20" s="1112" t="s">
        <v>862</v>
      </c>
      <c r="B20" s="1113" t="s">
        <v>1690</v>
      </c>
      <c r="C20" s="1114" t="e">
        <f>ROUND(POWER(1+G20,J20-I20)*(POWER(1+G20,I20)-1)/(POWER(1+G20,J20)-1),4)</f>
        <v>#DIV/0!</v>
      </c>
      <c r="D20" s="1115" t="s">
        <v>1691</v>
      </c>
      <c r="E20" s="1116">
        <f>存贷款利率!E22/100</f>
        <v>0.0435</v>
      </c>
      <c r="F20" s="1115" t="s">
        <v>1692</v>
      </c>
      <c r="G20" s="1117">
        <f>SUMIF(M26:P26,E2,M28:P28)</f>
        <v>0</v>
      </c>
      <c r="H20" s="1115" t="s">
        <v>1693</v>
      </c>
      <c r="I20" s="1091" t="e">
        <f>SUMIF('数据-取费表'!C6:C15,E2,'数据-取费表'!F6:F15)/COUNTIF('数据-取费表'!C6:C15,E2)</f>
        <v>#DIV/0!</v>
      </c>
      <c r="J20" s="1241">
        <f>IF(E2="住宅",70,IF(E2="商业",40,50))</f>
        <v>50</v>
      </c>
      <c r="K20" s="1231"/>
      <c r="L20" s="1242" t="s">
        <v>1694</v>
      </c>
      <c r="M20" s="1243">
        <f>ROUND(SUMPRODUCT((地价!A4:A37=YEAR(G19)&amp;"-"&amp;ROUNDUP(MONTH(G19)/3,0))*(地价!B2:F2=E2)*(地价!B4:F37)),0)</f>
        <v>0</v>
      </c>
      <c r="N20" s="1244" t="s">
        <v>1695</v>
      </c>
      <c r="O20" s="1245" t="s">
        <v>1696</v>
      </c>
      <c r="P20" s="1246" t="s">
        <v>1697</v>
      </c>
      <c r="Q20" s="1232"/>
      <c r="R20" s="1296"/>
      <c r="S20" s="1296"/>
      <c r="T20" s="1170"/>
      <c r="U20" s="1170"/>
      <c r="V20" s="1170"/>
      <c r="W20" s="1020"/>
      <c r="X20" s="1020"/>
      <c r="Y20" s="1020"/>
      <c r="Z20" s="1231"/>
      <c r="AA20" s="1231"/>
      <c r="AB20" s="1231"/>
      <c r="AC20" s="1231"/>
      <c r="AD20" s="1231"/>
      <c r="AE20" s="1231"/>
      <c r="AF20" s="1231"/>
      <c r="AG20" s="1232"/>
      <c r="AH20" s="1232"/>
      <c r="AI20" s="1232"/>
      <c r="AJ20" s="1232"/>
    </row>
    <row r="21" s="1019" customFormat="1" ht="14.4" spans="1:36">
      <c r="A21" s="1118" t="s">
        <v>884</v>
      </c>
      <c r="B21" s="1119" t="s">
        <v>1698</v>
      </c>
      <c r="C21" s="162">
        <f>IF(B21="容积率修正",IF(G3&lt;=10,D22,J22),C23)</f>
        <v>0</v>
      </c>
      <c r="D21" s="1120"/>
      <c r="E21" s="1120"/>
      <c r="F21" s="1120"/>
      <c r="G21" s="1120"/>
      <c r="H21" s="1120"/>
      <c r="I21" s="1120"/>
      <c r="J21" s="1247"/>
      <c r="K21" s="1231"/>
      <c r="L21" s="1232"/>
      <c r="M21" s="1232"/>
      <c r="N21" s="1248" t="s">
        <v>1699</v>
      </c>
      <c r="O21" s="1249"/>
      <c r="P21" s="1250">
        <f>SUMPRODUCT((地价!A3:A37=YEAR(G19)&amp;"-"&amp;ROUNDUP(MONTH(G19)/3,0))*(地价!AD2:AH2=N21)*(地价!AD3:AH37))</f>
        <v>0</v>
      </c>
      <c r="Q21" s="1232"/>
      <c r="R21" s="1296"/>
      <c r="S21" s="1296"/>
      <c r="T21" s="1170"/>
      <c r="U21" s="1170"/>
      <c r="V21" s="1170"/>
      <c r="W21" s="1020"/>
      <c r="X21" s="1020"/>
      <c r="Y21" s="1020"/>
      <c r="Z21" s="1231"/>
      <c r="AA21" s="1231"/>
      <c r="AB21" s="1231"/>
      <c r="AC21" s="1231"/>
      <c r="AD21" s="1231"/>
      <c r="AE21" s="1231"/>
      <c r="AF21" s="1231"/>
      <c r="AG21" s="1232"/>
      <c r="AH21" s="1232"/>
      <c r="AI21" s="1232"/>
      <c r="AJ21" s="1232"/>
    </row>
    <row r="22" s="1019" customFormat="1" ht="14.4" spans="1:36">
      <c r="A22" s="1121" t="s">
        <v>1700</v>
      </c>
      <c r="B22" s="1122" t="s">
        <v>1701</v>
      </c>
      <c r="C22" s="169" t="s">
        <v>1702</v>
      </c>
      <c r="D22" s="169">
        <f>IF(E22=G22,F22,IF(G3&lt;=10,ROUND(F22+(H22-F22)*(G3-E22)/(G22-E22),4),"——"))</f>
        <v>2.9648</v>
      </c>
      <c r="E22" s="1035">
        <f>ROUNDDOWN(G3,1)</f>
        <v>0.2</v>
      </c>
      <c r="F22" s="16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5">
        <f>ROUNDUP(G3,1)</f>
        <v>0.3</v>
      </c>
      <c r="H22" s="16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3.706</v>
      </c>
      <c r="I22" s="169" t="s">
        <v>1703</v>
      </c>
      <c r="J22" s="1251" t="str">
        <f>IF(G3&gt;10,D113,"——")</f>
        <v>——</v>
      </c>
      <c r="K22" s="1231"/>
      <c r="L22" s="1232"/>
      <c r="M22" s="1232"/>
      <c r="N22" s="1248" t="s">
        <v>1704</v>
      </c>
      <c r="O22" s="1249"/>
      <c r="P22" s="1250">
        <f>SUMPRODUCT((地价!A3:A37=YEAR(G19)&amp;"-"&amp;ROUNDUP(MONTH(G19)/3,0))*(地价!AD2:AH2=N22)*(地价!AD3:AH37))</f>
        <v>0</v>
      </c>
      <c r="Q22" s="1232"/>
      <c r="R22" s="1296"/>
      <c r="S22" s="1296"/>
      <c r="T22" s="1170"/>
      <c r="U22" s="1170"/>
      <c r="V22" s="1170"/>
      <c r="W22" s="1020"/>
      <c r="X22" s="1020"/>
      <c r="Y22" s="1020"/>
      <c r="Z22" s="1231"/>
      <c r="AA22" s="1231"/>
      <c r="AB22" s="1231"/>
      <c r="AC22" s="1231"/>
      <c r="AD22" s="1231"/>
      <c r="AE22" s="1231"/>
      <c r="AF22" s="1231"/>
      <c r="AG22" s="1232"/>
      <c r="AH22" s="1232"/>
      <c r="AI22" s="1232"/>
      <c r="AJ22" s="1232"/>
    </row>
    <row r="23" ht="29.55" spans="1:37">
      <c r="A23" s="1121" t="s">
        <v>1705</v>
      </c>
      <c r="B23" s="1123" t="s">
        <v>1706</v>
      </c>
      <c r="C23" s="1124">
        <f>ROUND(IF(G3&gt;1,IF(I3&lt;7,SUMPRODUCT((B93:B98=I3)*(C92:N92=G2)*(C93:N98)),SUMIF(C92:N92,G2,C100:N100)),IF(I3&lt;7,SUMPRODUCT((B102:B107=I3)*(C92:N92=G2)*(C102:N107)),SUMIF(C92:N92,G2,C109:N109))),4)</f>
        <v>0</v>
      </c>
      <c r="D23" s="1085"/>
      <c r="E23" s="1085"/>
      <c r="F23" s="1125"/>
      <c r="G23" s="1126"/>
      <c r="H23" s="1127"/>
      <c r="I23" s="1252"/>
      <c r="J23" s="1253"/>
      <c r="K23" s="1020"/>
      <c r="L23" s="1021"/>
      <c r="M23" s="1021"/>
      <c r="N23" s="1248" t="s">
        <v>1707</v>
      </c>
      <c r="O23" s="1249"/>
      <c r="P23" s="1250">
        <f>SUMPRODUCT((地价!A3:A37=YEAR(G19)&amp;"-"&amp;ROUNDUP(MONTH(G19)/3,0))*(地价!AD2:AH2=N23)*(地价!AD3:AH37))</f>
        <v>0</v>
      </c>
      <c r="Q23" s="1021"/>
      <c r="R23" s="1296"/>
      <c r="S23" s="1296"/>
      <c r="T23" s="1170"/>
      <c r="U23" s="1170"/>
      <c r="V23" s="1170"/>
      <c r="W23" s="1020"/>
      <c r="X23" s="1020"/>
      <c r="Y23" s="1020"/>
      <c r="Z23" s="1231"/>
      <c r="AA23" s="1231"/>
      <c r="AB23" s="1231"/>
      <c r="AC23" s="1231"/>
      <c r="AD23" s="1231"/>
      <c r="AE23" s="1170"/>
      <c r="AF23" s="1170"/>
      <c r="AG23" s="1311"/>
      <c r="AH23" s="1311"/>
      <c r="AI23" s="1311"/>
      <c r="AJ23" s="1311"/>
      <c r="AK23" s="1022"/>
    </row>
    <row r="24" s="1019" customFormat="1" ht="15.15" spans="1:36">
      <c r="A24" s="1112" t="s">
        <v>1708</v>
      </c>
      <c r="B24" s="1106" t="s">
        <v>1709</v>
      </c>
      <c r="C24" s="1107">
        <f>SUMIF(A45:A88,E2,B45:B88)</f>
        <v>0</v>
      </c>
      <c r="D24" s="1128"/>
      <c r="E24" s="1129"/>
      <c r="F24" s="1129"/>
      <c r="G24" s="1129"/>
      <c r="H24" s="1129"/>
      <c r="I24" s="1129"/>
      <c r="J24" s="1254"/>
      <c r="K24" s="1231"/>
      <c r="L24" s="1232"/>
      <c r="M24" s="1232"/>
      <c r="N24" s="1255" t="s">
        <v>1710</v>
      </c>
      <c r="O24" s="1256"/>
      <c r="P24" s="1257">
        <f>SUMPRODUCT((地价!A3:A37=YEAR(G19)&amp;"-"&amp;ROUNDUP(MONTH(G19)/3,0))*(地价!AD2:AH2=N24)*(地价!AD3:AH37))</f>
        <v>0</v>
      </c>
      <c r="Q24" s="1232"/>
      <c r="R24" s="1296"/>
      <c r="S24" s="1296"/>
      <c r="T24" s="1170"/>
      <c r="U24" s="1170"/>
      <c r="V24" s="1170"/>
      <c r="W24" s="1020"/>
      <c r="X24" s="1020"/>
      <c r="Y24" s="1020"/>
      <c r="Z24" s="1231"/>
      <c r="AA24" s="1231"/>
      <c r="AB24" s="1231"/>
      <c r="AC24" s="1231"/>
      <c r="AD24" s="1231"/>
      <c r="AE24" s="1231"/>
      <c r="AF24" s="1231"/>
      <c r="AG24" s="1232"/>
      <c r="AH24" s="1232"/>
      <c r="AI24" s="1232"/>
      <c r="AJ24" s="1232"/>
    </row>
    <row r="25" ht="15.15" spans="1:36">
      <c r="A25" s="1112" t="s">
        <v>1711</v>
      </c>
      <c r="B25" s="1130" t="s">
        <v>1712</v>
      </c>
      <c r="C25" s="1131"/>
      <c r="D25" s="1058"/>
      <c r="E25" s="1058"/>
      <c r="F25" s="1132"/>
      <c r="G25" s="1058"/>
      <c r="H25" s="1058"/>
      <c r="I25" s="1058"/>
      <c r="J25" s="1216"/>
      <c r="K25" s="1020"/>
      <c r="L25" s="1021"/>
      <c r="M25" s="1021"/>
      <c r="N25" s="1258" t="s">
        <v>1713</v>
      </c>
      <c r="O25" s="1259"/>
      <c r="P25" s="1260">
        <f>SUMPRODUCT((地价!A3:A37=YEAR(G19)&amp;"-"&amp;ROUNDUP(MONTH(G19)/3,0))*(地价!AD2:AH2=N25)*(地价!AD3:AH37))</f>
        <v>0</v>
      </c>
      <c r="Q25" s="1021"/>
      <c r="R25" s="1296"/>
      <c r="S25" s="1296"/>
      <c r="T25" s="1170"/>
      <c r="U25" s="1170"/>
      <c r="V25" s="1170"/>
      <c r="W25" s="1020"/>
      <c r="X25" s="1020"/>
      <c r="Y25" s="1020"/>
      <c r="Z25" s="1231"/>
      <c r="AA25" s="1231"/>
      <c r="AB25" s="1231"/>
      <c r="AC25" s="1231"/>
      <c r="AD25" s="1231"/>
      <c r="AE25" s="1170"/>
      <c r="AF25" s="1170"/>
      <c r="AG25" s="1311"/>
      <c r="AH25" s="1311"/>
      <c r="AI25" s="1311"/>
      <c r="AJ25" s="1311"/>
    </row>
    <row r="26" ht="14.4" spans="1:36">
      <c r="A26" s="1133"/>
      <c r="B26" s="1122" t="s">
        <v>1714</v>
      </c>
      <c r="C26" s="1134" t="e">
        <f ca="1">IF(B21="容积率修正",E29+SUM(E33:E39),SUM(V2:V16)+SUM(E33:E39))</f>
        <v>#DIV/0!</v>
      </c>
      <c r="D26" s="1135"/>
      <c r="E26" s="1085"/>
      <c r="F26" s="1136"/>
      <c r="G26" s="1085"/>
      <c r="H26" s="1085"/>
      <c r="I26" s="1085"/>
      <c r="J26" s="1261"/>
      <c r="K26" s="1020"/>
      <c r="L26" s="1262" t="s">
        <v>1616</v>
      </c>
      <c r="M26" s="1055" t="s">
        <v>1715</v>
      </c>
      <c r="N26" s="1055" t="s">
        <v>1716</v>
      </c>
      <c r="O26" s="1055" t="s">
        <v>1717</v>
      </c>
      <c r="P26" s="1263" t="s">
        <v>1718</v>
      </c>
      <c r="Q26" s="1021"/>
      <c r="R26" s="1296"/>
      <c r="S26" s="1296"/>
      <c r="T26" s="1170"/>
      <c r="U26" s="1170"/>
      <c r="V26" s="1170"/>
      <c r="W26" s="1020"/>
      <c r="X26" s="1020"/>
      <c r="Y26" s="1020"/>
      <c r="Z26" s="1231"/>
      <c r="AA26" s="1231"/>
      <c r="AB26" s="1231"/>
      <c r="AC26" s="1231"/>
      <c r="AD26" s="1231"/>
      <c r="AE26" s="1170"/>
      <c r="AF26" s="1170"/>
      <c r="AG26" s="1311"/>
      <c r="AH26" s="1311"/>
      <c r="AI26" s="1311"/>
      <c r="AJ26" s="1311"/>
    </row>
    <row r="27" ht="15.15" spans="1:36">
      <c r="A27" s="1133"/>
      <c r="B27" s="1137" t="s">
        <v>1719</v>
      </c>
      <c r="C27" s="1138" t="e">
        <f ca="1">E30+SUM(I33:I39)</f>
        <v>#DIV/0!</v>
      </c>
      <c r="D27" s="1139"/>
      <c r="E27" s="1140"/>
      <c r="F27" s="1141"/>
      <c r="G27" s="1140"/>
      <c r="H27" s="1140"/>
      <c r="I27" s="1140"/>
      <c r="J27" s="1264"/>
      <c r="K27" s="1020"/>
      <c r="L27" s="1265" t="s">
        <v>1720</v>
      </c>
      <c r="M27" s="1065">
        <v>0.25</v>
      </c>
      <c r="N27" s="1065">
        <v>0.2</v>
      </c>
      <c r="O27" s="1065">
        <v>0.15</v>
      </c>
      <c r="P27" s="1266">
        <v>0.1</v>
      </c>
      <c r="Q27" s="1296"/>
      <c r="R27" s="1296"/>
      <c r="S27" s="1296"/>
      <c r="T27" s="1170"/>
      <c r="U27" s="1170"/>
      <c r="V27" s="1170"/>
      <c r="W27" s="1020"/>
      <c r="X27" s="1020"/>
      <c r="Y27" s="1020"/>
      <c r="Z27" s="1231"/>
      <c r="AA27" s="1231"/>
      <c r="AB27" s="1231"/>
      <c r="AC27" s="1231"/>
      <c r="AD27" s="1231"/>
      <c r="AE27" s="1170"/>
      <c r="AF27" s="1170"/>
      <c r="AG27" s="1311"/>
      <c r="AH27" s="1311"/>
      <c r="AI27" s="1311"/>
      <c r="AJ27" s="1311"/>
    </row>
    <row r="28" ht="15.15" spans="1:36">
      <c r="A28" s="1142"/>
      <c r="B28" s="1143" t="s">
        <v>1721</v>
      </c>
      <c r="C28" s="1144" t="s">
        <v>1722</v>
      </c>
      <c r="D28" s="1144" t="s">
        <v>491</v>
      </c>
      <c r="E28" s="1145" t="s">
        <v>1723</v>
      </c>
      <c r="F28" s="1146"/>
      <c r="G28" s="1073"/>
      <c r="H28" s="1073"/>
      <c r="I28" s="1073"/>
      <c r="J28" s="1219"/>
      <c r="K28" s="1020"/>
      <c r="L28" s="1267" t="s">
        <v>1692</v>
      </c>
      <c r="M28" s="1268">
        <f>ROUND($E$20*(1+M27),3)</f>
        <v>0.054</v>
      </c>
      <c r="N28" s="1268">
        <f>ROUND($E$20*(1+N27),3)</f>
        <v>0.052</v>
      </c>
      <c r="O28" s="1268">
        <f>ROUND($E$20*(1+O27),3)</f>
        <v>0.05</v>
      </c>
      <c r="P28" s="1269">
        <f>ROUND($E$20*(1+P27),3)</f>
        <v>0.048</v>
      </c>
      <c r="Q28" s="1296"/>
      <c r="R28" s="1296"/>
      <c r="S28" s="1296"/>
      <c r="T28" s="1170"/>
      <c r="U28" s="1170"/>
      <c r="V28" s="1170"/>
      <c r="W28" s="1020"/>
      <c r="X28" s="1020"/>
      <c r="Y28" s="1020"/>
      <c r="Z28" s="1231"/>
      <c r="AA28" s="1231"/>
      <c r="AB28" s="1231"/>
      <c r="AC28" s="1231"/>
      <c r="AD28" s="1231"/>
      <c r="AE28" s="1170"/>
      <c r="AF28" s="1170"/>
      <c r="AG28" s="1311"/>
      <c r="AH28" s="1311"/>
      <c r="AI28" s="1311"/>
      <c r="AJ28" s="1311"/>
    </row>
    <row r="29" ht="22.5" customHeight="1" spans="1:36">
      <c r="A29" s="1147"/>
      <c r="B29" s="1148" t="s">
        <v>1724</v>
      </c>
      <c r="C29" s="1149" t="e">
        <f>ROUND(C5*C18*C19*C20*C21*C24,0)</f>
        <v>#DIV/0!</v>
      </c>
      <c r="D29" s="1150"/>
      <c r="E29" s="246" t="e">
        <f>ROUND(C29*D29/10000,0)</f>
        <v>#DIV/0!</v>
      </c>
      <c r="F29" s="1151" t="s">
        <v>1725</v>
      </c>
      <c r="G29" s="1152"/>
      <c r="H29" s="1152"/>
      <c r="I29" s="1152"/>
      <c r="J29" s="1270"/>
      <c r="K29" s="1020"/>
      <c r="L29" s="1020"/>
      <c r="M29" s="1020"/>
      <c r="N29" s="1020"/>
      <c r="O29" s="1233"/>
      <c r="P29" s="1233"/>
      <c r="Q29" s="1296"/>
      <c r="R29" s="1296"/>
      <c r="S29" s="1296"/>
      <c r="T29" s="1170"/>
      <c r="U29" s="1170"/>
      <c r="V29" s="1170"/>
      <c r="W29" s="1020"/>
      <c r="X29" s="1020"/>
      <c r="Y29" s="1020"/>
      <c r="Z29" s="1231"/>
      <c r="AA29" s="1231"/>
      <c r="AB29" s="1231"/>
      <c r="AC29" s="1231"/>
      <c r="AD29" s="1231"/>
      <c r="AE29" s="1020"/>
      <c r="AF29" s="1020"/>
      <c r="AG29" s="1021"/>
      <c r="AH29" s="1021"/>
      <c r="AI29" s="1021"/>
      <c r="AJ29" s="1021"/>
    </row>
    <row r="30" ht="25.95" spans="1:36">
      <c r="A30" s="1153"/>
      <c r="B30" s="1154" t="s">
        <v>1726</v>
      </c>
      <c r="C30" s="1088" t="e">
        <f>ROUND(IF(E2="工业",C29*M39,C29*M38),0)</f>
        <v>#DIV/0!</v>
      </c>
      <c r="D30" s="1155"/>
      <c r="E30" s="246" t="e">
        <f>ROUND(C30*D30/10000,0)</f>
        <v>#DIV/0!</v>
      </c>
      <c r="F30" s="1156" t="s">
        <v>1727</v>
      </c>
      <c r="G30" s="1157"/>
      <c r="H30" s="1157"/>
      <c r="I30" s="1157"/>
      <c r="J30" s="1271"/>
      <c r="K30" s="1020"/>
      <c r="L30" s="1020"/>
      <c r="M30" s="1020"/>
      <c r="N30" s="1020"/>
      <c r="O30" s="1233"/>
      <c r="P30" s="1233"/>
      <c r="Q30" s="1296"/>
      <c r="R30" s="1296"/>
      <c r="S30" s="1296"/>
      <c r="T30" s="1170"/>
      <c r="U30" s="1170"/>
      <c r="V30" s="1170"/>
      <c r="W30" s="1020"/>
      <c r="X30" s="1020"/>
      <c r="Y30" s="1020"/>
      <c r="Z30" s="1231"/>
      <c r="AA30" s="1231"/>
      <c r="AB30" s="1231"/>
      <c r="AC30" s="1231"/>
      <c r="AD30" s="1231"/>
      <c r="AE30" s="1020"/>
      <c r="AF30" s="1020"/>
      <c r="AG30" s="1021"/>
      <c r="AH30" s="1021"/>
      <c r="AI30" s="1021"/>
      <c r="AJ30" s="1021"/>
    </row>
    <row r="31" ht="13.8" spans="1:36">
      <c r="A31" s="1158"/>
      <c r="B31" s="1159" t="s">
        <v>1728</v>
      </c>
      <c r="C31" s="1160" t="s">
        <v>1729</v>
      </c>
      <c r="D31" s="1073"/>
      <c r="E31" s="1160"/>
      <c r="F31" s="1160"/>
      <c r="G31" s="1071" t="s">
        <v>1727</v>
      </c>
      <c r="H31" s="1073"/>
      <c r="I31" s="1272"/>
      <c r="J31" s="1219"/>
      <c r="K31" s="1020"/>
      <c r="L31" s="1020"/>
      <c r="M31" s="1020"/>
      <c r="N31" s="1020"/>
      <c r="O31" s="1233"/>
      <c r="P31" s="1233"/>
      <c r="Q31" s="1296"/>
      <c r="R31" s="1296"/>
      <c r="S31" s="1296"/>
      <c r="T31" s="1170"/>
      <c r="U31" s="1170"/>
      <c r="V31" s="1170"/>
      <c r="W31" s="1020"/>
      <c r="X31" s="1020"/>
      <c r="Y31" s="1020"/>
      <c r="Z31" s="1231"/>
      <c r="AA31" s="1231"/>
      <c r="AB31" s="1231"/>
      <c r="AC31" s="1231"/>
      <c r="AD31" s="1231"/>
      <c r="AE31" s="1020"/>
      <c r="AF31" s="1020"/>
      <c r="AG31" s="1021"/>
      <c r="AH31" s="1021"/>
      <c r="AI31" s="1021"/>
      <c r="AJ31" s="1021"/>
    </row>
    <row r="32" ht="36" spans="1:36">
      <c r="A32" s="1147"/>
      <c r="B32" s="1161"/>
      <c r="C32" s="151" t="s">
        <v>1722</v>
      </c>
      <c r="D32" s="148" t="s">
        <v>491</v>
      </c>
      <c r="E32" s="148" t="s">
        <v>1723</v>
      </c>
      <c r="F32" s="1027" t="s">
        <v>1730</v>
      </c>
      <c r="G32" s="1162" t="s">
        <v>1722</v>
      </c>
      <c r="H32" s="1162" t="s">
        <v>491</v>
      </c>
      <c r="I32" s="1162" t="s">
        <v>1723</v>
      </c>
      <c r="J32" s="610"/>
      <c r="K32" s="1020"/>
      <c r="L32" s="1020"/>
      <c r="M32" s="1020"/>
      <c r="N32" s="1020"/>
      <c r="O32" s="1233"/>
      <c r="P32" s="1233"/>
      <c r="Q32" s="1296"/>
      <c r="R32" s="1296"/>
      <c r="S32" s="1296"/>
      <c r="T32" s="1170"/>
      <c r="U32" s="1170"/>
      <c r="V32" s="1170"/>
      <c r="W32" s="1020"/>
      <c r="X32" s="1020"/>
      <c r="Y32" s="1020"/>
      <c r="Z32" s="1231"/>
      <c r="AA32" s="1231"/>
      <c r="AB32" s="1231"/>
      <c r="AC32" s="1231"/>
      <c r="AD32" s="1231"/>
      <c r="AE32" s="1020"/>
      <c r="AF32" s="1020"/>
      <c r="AG32" s="1021"/>
      <c r="AH32" s="1021"/>
      <c r="AI32" s="1021"/>
      <c r="AJ32" s="1021"/>
    </row>
    <row r="33" ht="36" customHeight="1" spans="1:36">
      <c r="A33" s="1163"/>
      <c r="B33" s="1164" t="s">
        <v>1731</v>
      </c>
      <c r="C33" s="1149" t="e">
        <f>ROUND(D5*C19*C20*C24*F33,0)</f>
        <v>#DIV/0!</v>
      </c>
      <c r="D33" s="1150"/>
      <c r="E33" s="172" t="e">
        <f>ROUND(C33*D33/10000,0)</f>
        <v>#DIV/0!</v>
      </c>
      <c r="F33" s="172">
        <f>SUMIF(修正!A57:A68,G2,修正!B57:B68)</f>
        <v>0.6</v>
      </c>
      <c r="G33" s="172" t="e">
        <f t="shared" ref="G33" si="6">ROUND(IF(E2="工业",C33*$M$39,C33*$M$38),0)</f>
        <v>#DIV/0!</v>
      </c>
      <c r="H33" s="172">
        <f>D33</f>
        <v>0</v>
      </c>
      <c r="I33" s="172" t="e">
        <f>ROUND(G33*H33/10000,0)</f>
        <v>#DIV/0!</v>
      </c>
      <c r="J33" s="1273" t="s">
        <v>1732</v>
      </c>
      <c r="K33" s="1020"/>
      <c r="L33" s="1020"/>
      <c r="M33" s="1020"/>
      <c r="N33" s="1020"/>
      <c r="O33" s="1233"/>
      <c r="P33" s="1233"/>
      <c r="Q33" s="1296"/>
      <c r="R33" s="1296"/>
      <c r="S33" s="1296"/>
      <c r="T33" s="1170"/>
      <c r="U33" s="1170"/>
      <c r="V33" s="1170"/>
      <c r="W33" s="1020"/>
      <c r="X33" s="1020"/>
      <c r="Y33" s="1020"/>
      <c r="Z33" s="1231"/>
      <c r="AA33" s="1231"/>
      <c r="AB33" s="1231"/>
      <c r="AC33" s="1231"/>
      <c r="AD33" s="1231"/>
      <c r="AE33" s="1170"/>
      <c r="AF33" s="1170"/>
      <c r="AG33" s="1311"/>
      <c r="AH33" s="1311"/>
      <c r="AI33" s="1311"/>
      <c r="AJ33" s="1311"/>
    </row>
    <row r="34" ht="13.8" spans="1:36">
      <c r="A34" s="1165"/>
      <c r="B34" s="1076" t="s">
        <v>1733</v>
      </c>
      <c r="C34" s="1149" t="e">
        <f>ROUND(D5*C19*C20*C24*F34,0)</f>
        <v>#DIV/0!</v>
      </c>
      <c r="D34" s="1150"/>
      <c r="E34" s="172" t="e">
        <f t="shared" ref="E34:E39" si="7">ROUND(C34*D34/10000,0)</f>
        <v>#DIV/0!</v>
      </c>
      <c r="F34" s="172">
        <f>SUMIF(修正!A57:A68,G2,修正!C57:C68)</f>
        <v>0.3</v>
      </c>
      <c r="G34" s="172" t="e">
        <f>ROUND(IF(E2="工业",C34*$M$39,C34*$M$38),0)</f>
        <v>#DIV/0!</v>
      </c>
      <c r="H34" s="172">
        <f t="shared" ref="H34:H39" si="8">D34</f>
        <v>0</v>
      </c>
      <c r="I34" s="172" t="e">
        <f t="shared" ref="I34:I39" si="9">ROUND(G34*H34/10000,0)</f>
        <v>#DIV/0!</v>
      </c>
      <c r="J34" s="1165"/>
      <c r="K34" s="1020"/>
      <c r="L34" s="1020"/>
      <c r="M34" s="1020"/>
      <c r="N34" s="1020"/>
      <c r="O34" s="1233"/>
      <c r="P34" s="1233"/>
      <c r="Q34" s="1296"/>
      <c r="R34" s="1296"/>
      <c r="S34" s="1296"/>
      <c r="T34" s="1170"/>
      <c r="U34" s="1170"/>
      <c r="V34" s="1170"/>
      <c r="W34" s="1020"/>
      <c r="X34" s="1020"/>
      <c r="Y34" s="1020"/>
      <c r="Z34" s="1231"/>
      <c r="AA34" s="1231"/>
      <c r="AB34" s="1231"/>
      <c r="AC34" s="1231"/>
      <c r="AD34" s="1231"/>
      <c r="AE34" s="1170"/>
      <c r="AF34" s="1170"/>
      <c r="AG34" s="1311"/>
      <c r="AH34" s="1311"/>
      <c r="AI34" s="1311"/>
      <c r="AJ34" s="1311"/>
    </row>
    <row r="35" spans="1:36">
      <c r="A35" s="1165"/>
      <c r="B35" s="1076" t="s">
        <v>1734</v>
      </c>
      <c r="C35" s="1149" t="e">
        <f>ROUND(D5*C19*C20*C24*F35,0)</f>
        <v>#DIV/0!</v>
      </c>
      <c r="D35" s="1150"/>
      <c r="E35" s="172" t="e">
        <f t="shared" si="7"/>
        <v>#DIV/0!</v>
      </c>
      <c r="F35" s="172">
        <f>SUMIF(修正!A57:A68,G2,修正!D57:D68)</f>
        <v>0.25</v>
      </c>
      <c r="G35" s="172" t="e">
        <f>ROUND(IF(E2="工业",C35*$M$39,C35*$M$38),0)</f>
        <v>#DIV/0!</v>
      </c>
      <c r="H35" s="172">
        <f t="shared" si="8"/>
        <v>0</v>
      </c>
      <c r="I35" s="172" t="e">
        <f t="shared" si="9"/>
        <v>#DIV/0!</v>
      </c>
      <c r="J35" s="1165"/>
      <c r="K35" s="1020"/>
      <c r="L35" s="1020"/>
      <c r="M35" s="1020"/>
      <c r="N35" s="1020"/>
      <c r="O35" s="1020"/>
      <c r="P35" s="1020"/>
      <c r="Q35" s="1020"/>
      <c r="R35" s="1020"/>
      <c r="S35" s="1020"/>
      <c r="T35" s="1020"/>
      <c r="U35" s="1020"/>
      <c r="V35" s="1020"/>
      <c r="W35" s="1020"/>
      <c r="X35" s="1020"/>
      <c r="Y35" s="1020"/>
      <c r="Z35" s="1170"/>
      <c r="AA35" s="1170"/>
      <c r="AB35" s="1170"/>
      <c r="AC35" s="1170"/>
      <c r="AD35" s="1170"/>
      <c r="AE35" s="1170"/>
      <c r="AF35" s="1170"/>
      <c r="AG35" s="1311"/>
      <c r="AH35" s="1311"/>
      <c r="AI35" s="1311"/>
      <c r="AJ35" s="1311"/>
    </row>
    <row r="36" ht="13.95" spans="1:36">
      <c r="A36" s="1166"/>
      <c r="B36" s="1076" t="s">
        <v>1735</v>
      </c>
      <c r="C36" s="1149" t="e">
        <f ca="1">ROUND(D5*C19*C20*C24*F36,0)</f>
        <v>#DIV/0!</v>
      </c>
      <c r="D36" s="1150"/>
      <c r="E36" s="172" t="e">
        <f ca="1" t="shared" si="7"/>
        <v>#DIV/0!</v>
      </c>
      <c r="F36" s="172" t="e">
        <f ca="1">SUMIF(修正!A57:A68,G2,修正!#REF!)</f>
        <v>#REF!</v>
      </c>
      <c r="G36" s="172" t="e">
        <f ca="1">ROUND(IF(E2="工业",C36*$M$39,C36*$M$38),0)</f>
        <v>#DIV/0!</v>
      </c>
      <c r="H36" s="172">
        <f t="shared" si="8"/>
        <v>0</v>
      </c>
      <c r="I36" s="172" t="e">
        <f ca="1" t="shared" si="9"/>
        <v>#DIV/0!</v>
      </c>
      <c r="J36" s="1166"/>
      <c r="K36" s="1020"/>
      <c r="L36" s="1021"/>
      <c r="M36" s="1021"/>
      <c r="N36" s="1020"/>
      <c r="O36" s="1020"/>
      <c r="P36" s="1020"/>
      <c r="Q36" s="1020"/>
      <c r="R36" s="1020"/>
      <c r="S36" s="1020"/>
      <c r="T36" s="1020"/>
      <c r="U36" s="1020"/>
      <c r="V36" s="1020"/>
      <c r="W36" s="1020"/>
      <c r="X36" s="1020"/>
      <c r="Y36" s="1020"/>
      <c r="Z36" s="1170"/>
      <c r="AA36" s="1170"/>
      <c r="AB36" s="1170"/>
      <c r="AC36" s="1170"/>
      <c r="AD36" s="1170"/>
      <c r="AE36" s="1170"/>
      <c r="AF36" s="1170"/>
      <c r="AG36" s="1311"/>
      <c r="AH36" s="1311"/>
      <c r="AI36" s="1311"/>
      <c r="AJ36" s="1311"/>
    </row>
    <row r="37" spans="1:36">
      <c r="A37" s="1167"/>
      <c r="B37" s="1076" t="s">
        <v>1736</v>
      </c>
      <c r="C37" s="172" t="e">
        <f>ROUND(D5*C19*C20*C24*F37,0)</f>
        <v>#DIV/0!</v>
      </c>
      <c r="D37" s="1150"/>
      <c r="E37" s="172" t="e">
        <f t="shared" si="7"/>
        <v>#DIV/0!</v>
      </c>
      <c r="F37" s="1149">
        <f>SUMIF(修正!A57:A68,G2,修正!E57:E68)</f>
        <v>0.25</v>
      </c>
      <c r="G37" s="172" t="e">
        <f>ROUND(IF(E2="工业",C37*$M$39,C37*$M$38),0)</f>
        <v>#DIV/0!</v>
      </c>
      <c r="H37" s="172">
        <f t="shared" si="8"/>
        <v>0</v>
      </c>
      <c r="I37" s="172" t="e">
        <f t="shared" si="9"/>
        <v>#DIV/0!</v>
      </c>
      <c r="J37" s="1274"/>
      <c r="K37" s="1020"/>
      <c r="L37" s="1275" t="s">
        <v>1737</v>
      </c>
      <c r="M37" s="1276"/>
      <c r="N37" s="1020"/>
      <c r="O37" s="1020"/>
      <c r="P37" s="1020"/>
      <c r="Q37" s="1020"/>
      <c r="R37" s="1020"/>
      <c r="S37" s="1020"/>
      <c r="T37" s="1020"/>
      <c r="U37" s="1020"/>
      <c r="V37" s="1020"/>
      <c r="W37" s="1020"/>
      <c r="X37" s="1020"/>
      <c r="Y37" s="1020"/>
      <c r="Z37" s="1170"/>
      <c r="AA37" s="1170"/>
      <c r="AB37" s="1170"/>
      <c r="AC37" s="1170"/>
      <c r="AD37" s="1170"/>
      <c r="AE37" s="1170"/>
      <c r="AF37" s="1170"/>
      <c r="AG37" s="1311"/>
      <c r="AH37" s="1311"/>
      <c r="AI37" s="1311"/>
      <c r="AJ37" s="1311"/>
    </row>
    <row r="38" spans="1:30">
      <c r="A38" s="1167"/>
      <c r="B38" s="1076" t="s">
        <v>1738</v>
      </c>
      <c r="C38" s="172" t="e">
        <f>ROUND(D5*C19*C41*C24*F38,0)</f>
        <v>#DIV/0!</v>
      </c>
      <c r="D38" s="1150"/>
      <c r="E38" s="172" t="e">
        <f t="shared" si="7"/>
        <v>#DIV/0!</v>
      </c>
      <c r="F38" s="1149">
        <f>SUMIF(修正!A57:A68,G2,修正!F57:F68)</f>
        <v>0.25</v>
      </c>
      <c r="G38" s="172" t="e">
        <f>ROUND(IF(E2="工业",C38*$M$39,C38*$M$38),0)</f>
        <v>#DIV/0!</v>
      </c>
      <c r="H38" s="172">
        <f t="shared" si="8"/>
        <v>0</v>
      </c>
      <c r="I38" s="172" t="e">
        <f t="shared" si="9"/>
        <v>#DIV/0!</v>
      </c>
      <c r="J38" s="1274"/>
      <c r="K38" s="1020"/>
      <c r="L38" s="1277" t="s">
        <v>1739</v>
      </c>
      <c r="M38" s="1278">
        <v>0.25</v>
      </c>
      <c r="N38" s="1020"/>
      <c r="O38" s="1020"/>
      <c r="P38" s="1020"/>
      <c r="Q38" s="1020"/>
      <c r="R38" s="1020"/>
      <c r="S38" s="1020"/>
      <c r="T38" s="1020"/>
      <c r="U38" s="1020"/>
      <c r="V38" s="1020"/>
      <c r="W38" s="1020"/>
      <c r="X38" s="1020"/>
      <c r="Y38" s="1020"/>
      <c r="Z38" s="1170"/>
      <c r="AA38" s="1170"/>
      <c r="AB38" s="1170"/>
      <c r="AC38" s="1170"/>
      <c r="AD38" s="1170"/>
    </row>
    <row r="39" ht="13.95" spans="1:30">
      <c r="A39" s="1153"/>
      <c r="B39" s="1168" t="s">
        <v>1740</v>
      </c>
      <c r="C39" s="1088" t="e">
        <f>ROUND(D5*C19*C41*C24*F39,0)</f>
        <v>#DIV/0!</v>
      </c>
      <c r="D39" s="1155"/>
      <c r="E39" s="1088" t="e">
        <f t="shared" si="7"/>
        <v>#DIV/0!</v>
      </c>
      <c r="F39" s="1169">
        <f>SUMIF(修正!A57:A68,G2,修正!G57:G68)</f>
        <v>0.15</v>
      </c>
      <c r="G39" s="1088" t="e">
        <f>ROUND(IF(E2="工业",C39*$M$39,C39*$M$38),0)</f>
        <v>#DIV/0!</v>
      </c>
      <c r="H39" s="1088">
        <f t="shared" si="8"/>
        <v>0</v>
      </c>
      <c r="I39" s="1088" t="e">
        <f t="shared" si="9"/>
        <v>#DIV/0!</v>
      </c>
      <c r="J39" s="1279"/>
      <c r="K39" s="1020"/>
      <c r="L39" s="1280" t="s">
        <v>1718</v>
      </c>
      <c r="M39" s="1281">
        <v>0.15</v>
      </c>
      <c r="N39" s="1020"/>
      <c r="O39" s="1020"/>
      <c r="P39" s="1020"/>
      <c r="Q39" s="1020"/>
      <c r="R39" s="1020"/>
      <c r="S39" s="1020"/>
      <c r="T39" s="1020"/>
      <c r="U39" s="1020"/>
      <c r="V39" s="1020"/>
      <c r="W39" s="1020"/>
      <c r="X39" s="1020"/>
      <c r="Y39" s="1020"/>
      <c r="Z39" s="1170"/>
      <c r="AA39" s="1170"/>
      <c r="AB39" s="1170"/>
      <c r="AC39" s="1170"/>
      <c r="AD39" s="1170"/>
    </row>
    <row r="40" s="1020" customFormat="1" spans="26:36">
      <c r="Z40" s="1170"/>
      <c r="AA40" s="1170"/>
      <c r="AB40" s="1170"/>
      <c r="AC40" s="1170"/>
      <c r="AD40" s="1170"/>
      <c r="AE40" s="1170"/>
      <c r="AF40" s="1170"/>
      <c r="AG40" s="1170"/>
      <c r="AH40" s="1170"/>
      <c r="AI40" s="1170"/>
      <c r="AJ40" s="1170"/>
    </row>
    <row r="41" s="1020" customFormat="1" ht="24" spans="1:36">
      <c r="A41" s="1170"/>
      <c r="B41" s="1171" t="s">
        <v>1741</v>
      </c>
      <c r="C41" s="1027" t="e">
        <f>ROUND(POWER(1+E41,H41-G41)*(POWER(1+E41,G41)-1)/(POWER(1+E41,H41)-1),4)</f>
        <v>#DIV/0!</v>
      </c>
      <c r="D41" s="172" t="s">
        <v>1692</v>
      </c>
      <c r="E41" s="1172">
        <f>G20</f>
        <v>0</v>
      </c>
      <c r="F41" s="172" t="s">
        <v>1693</v>
      </c>
      <c r="G41" s="1173"/>
      <c r="H41" s="172">
        <v>50</v>
      </c>
      <c r="Z41" s="1170"/>
      <c r="AA41" s="1170"/>
      <c r="AB41" s="1170"/>
      <c r="AC41" s="1170"/>
      <c r="AD41" s="1170"/>
      <c r="AE41" s="1170"/>
      <c r="AF41" s="1170"/>
      <c r="AG41" s="1170"/>
      <c r="AH41" s="1170"/>
      <c r="AI41" s="1170"/>
      <c r="AJ41" s="1170"/>
    </row>
    <row r="42" s="1020" customFormat="1" spans="1:36">
      <c r="A42" s="1170"/>
      <c r="B42" s="1174"/>
      <c r="Z42" s="1170"/>
      <c r="AA42" s="1170"/>
      <c r="AB42" s="1170"/>
      <c r="AC42" s="1170"/>
      <c r="AD42" s="1170"/>
      <c r="AE42" s="1170"/>
      <c r="AF42" s="1170"/>
      <c r="AG42" s="1170"/>
      <c r="AH42" s="1170"/>
      <c r="AI42" s="1170"/>
      <c r="AJ42" s="1170"/>
    </row>
    <row r="43" s="1020" customFormat="1" spans="1:36">
      <c r="A43" s="1170"/>
      <c r="B43" s="1174"/>
      <c r="Z43" s="1170"/>
      <c r="AA43" s="1170"/>
      <c r="AB43" s="1170"/>
      <c r="AC43" s="1170"/>
      <c r="AD43" s="1170"/>
      <c r="AE43" s="1170"/>
      <c r="AF43" s="1170"/>
      <c r="AG43" s="1170"/>
      <c r="AH43" s="1170"/>
      <c r="AI43" s="1170"/>
      <c r="AJ43" s="1170"/>
    </row>
    <row r="44" s="1020" customFormat="1" spans="1:36">
      <c r="A44" s="1170"/>
      <c r="B44" s="1174"/>
      <c r="Z44" s="1170"/>
      <c r="AA44" s="1170"/>
      <c r="AB44" s="1170"/>
      <c r="AC44" s="1170"/>
      <c r="AD44" s="1170"/>
      <c r="AE44" s="1170"/>
      <c r="AF44" s="1170"/>
      <c r="AG44" s="1170"/>
      <c r="AH44" s="1170"/>
      <c r="AI44" s="1170"/>
      <c r="AJ44" s="1170"/>
    </row>
    <row r="45" s="1020" customFormat="1" ht="15.15" spans="1:36">
      <c r="A45" s="1175" t="s">
        <v>1742</v>
      </c>
      <c r="B45" s="1176"/>
      <c r="C45" s="1177"/>
      <c r="D45" s="1177"/>
      <c r="E45" s="1177"/>
      <c r="F45" s="1178"/>
      <c r="G45" s="1178"/>
      <c r="H45" s="1178"/>
      <c r="I45" s="1282"/>
      <c r="J45" s="1282"/>
      <c r="K45" s="1282"/>
      <c r="L45" s="1282"/>
      <c r="M45" s="1282"/>
      <c r="Z45" s="1170"/>
      <c r="AA45" s="1170"/>
      <c r="AB45" s="1170"/>
      <c r="AC45" s="1170"/>
      <c r="AD45" s="1170"/>
      <c r="AE45" s="1170"/>
      <c r="AF45" s="1170"/>
      <c r="AG45" s="1170"/>
      <c r="AH45" s="1170"/>
      <c r="AI45" s="1170"/>
      <c r="AJ45" s="1170"/>
    </row>
    <row r="46" s="1020" customFormat="1" ht="14.4" spans="1:36">
      <c r="A46" s="1179" t="s">
        <v>1743</v>
      </c>
      <c r="B46" s="1180">
        <f>1+E48</f>
        <v>1</v>
      </c>
      <c r="C46" s="1181"/>
      <c r="D46" s="1182"/>
      <c r="E46" s="1183"/>
      <c r="F46" s="1184"/>
      <c r="G46" s="1178"/>
      <c r="H46" s="1177"/>
      <c r="I46" s="1282"/>
      <c r="J46" s="1282"/>
      <c r="K46" s="1282"/>
      <c r="L46" s="1282"/>
      <c r="M46" s="1282"/>
      <c r="Z46" s="1170"/>
      <c r="AA46" s="1170"/>
      <c r="AB46" s="1170"/>
      <c r="AC46" s="1170"/>
      <c r="AD46" s="1170"/>
      <c r="AE46" s="1170"/>
      <c r="AF46" s="1170"/>
      <c r="AG46" s="1170"/>
      <c r="AH46" s="1170"/>
      <c r="AI46" s="1170"/>
      <c r="AJ46" s="1170"/>
    </row>
    <row r="47" s="1020" customFormat="1" ht="25.2" spans="1:37">
      <c r="A47" s="1185" t="s">
        <v>1744</v>
      </c>
      <c r="B47" s="1186" t="s">
        <v>1745</v>
      </c>
      <c r="C47" s="1186" t="s">
        <v>1746</v>
      </c>
      <c r="D47" s="1186" t="s">
        <v>1747</v>
      </c>
      <c r="E47" s="1187" t="s">
        <v>1748</v>
      </c>
      <c r="F47" s="1188" t="s">
        <v>1749</v>
      </c>
      <c r="G47" s="1186" t="s">
        <v>1679</v>
      </c>
      <c r="H47" s="1189" t="s">
        <v>1750</v>
      </c>
      <c r="I47" s="1186" t="s">
        <v>1751</v>
      </c>
      <c r="J47" s="295" t="s">
        <v>1489</v>
      </c>
      <c r="K47" s="295" t="s">
        <v>1490</v>
      </c>
      <c r="L47" s="295" t="s">
        <v>1491</v>
      </c>
      <c r="M47" s="295" t="s">
        <v>1492</v>
      </c>
      <c r="N47" s="295" t="s">
        <v>1493</v>
      </c>
      <c r="AA47" s="1170"/>
      <c r="AB47" s="1170"/>
      <c r="AC47" s="1170"/>
      <c r="AD47" s="1170"/>
      <c r="AE47" s="1170"/>
      <c r="AF47" s="1170"/>
      <c r="AG47" s="1170"/>
      <c r="AH47" s="1170"/>
      <c r="AI47" s="1170"/>
      <c r="AJ47" s="1170"/>
      <c r="AK47" s="1170"/>
    </row>
    <row r="48" s="1020" customFormat="1" ht="49.2" spans="1:37">
      <c r="A48" s="1185" t="s">
        <v>1752</v>
      </c>
      <c r="B48" s="1190" t="str">
        <f>估价对象房地状况!C4</f>
        <v>估价对象位于XX商圈，周边商业氛围成熟，人流量大，商业繁华度好</v>
      </c>
      <c r="C48" s="1082"/>
      <c r="D48" s="1191">
        <f t="shared" ref="D48:D56" si="10">SUMIF($J$47:$N$47,C48,J48:N48)</f>
        <v>0</v>
      </c>
      <c r="E48" s="1192">
        <f>ROUND(SUM(D48:D56),4)</f>
        <v>0</v>
      </c>
      <c r="F48" s="1193" t="str">
        <f>IF(E2="商业",SUMIF(L1:L12,G2,N1:N12),"——")</f>
        <v>——</v>
      </c>
      <c r="G48" s="1194"/>
      <c r="H48" s="1195" t="str">
        <f t="shared" ref="H48:H56" si="11">IFERROR(ROUNDDOWN($F$48*I48/2,4),"——")</f>
        <v>——</v>
      </c>
      <c r="I48" s="1283">
        <v>0.33</v>
      </c>
      <c r="J48" s="1284">
        <f t="shared" ref="J48:J56" si="12">K48+$G48</f>
        <v>0</v>
      </c>
      <c r="K48" s="1284">
        <f t="shared" ref="K48:K56" si="13">$L48+$G48</f>
        <v>0</v>
      </c>
      <c r="L48" s="1284">
        <v>0</v>
      </c>
      <c r="M48" s="1284">
        <f t="shared" ref="M48:N56" si="14">L48-$G48</f>
        <v>0</v>
      </c>
      <c r="N48" s="1284">
        <f t="shared" si="14"/>
        <v>0</v>
      </c>
      <c r="AA48" s="1170"/>
      <c r="AB48" s="1170"/>
      <c r="AC48" s="1170"/>
      <c r="AD48" s="1170"/>
      <c r="AE48" s="1170"/>
      <c r="AF48" s="1170"/>
      <c r="AG48" s="1170"/>
      <c r="AH48" s="1170"/>
      <c r="AI48" s="1170"/>
      <c r="AJ48" s="1170"/>
      <c r="AK48" s="1170"/>
    </row>
    <row r="49" s="1020" customFormat="1" ht="60" spans="1:37">
      <c r="A49" s="1185" t="s">
        <v>1753</v>
      </c>
      <c r="B49" s="1196" t="str">
        <f>估价对象房地状况!C18</f>
        <v>估价对象周边道路状况、公共交通通达情况、停车便捷程度，综合评价交通便捷度较好</v>
      </c>
      <c r="C49" s="1082"/>
      <c r="D49" s="1191">
        <f t="shared" si="10"/>
        <v>0</v>
      </c>
      <c r="E49" s="1197"/>
      <c r="F49" s="1193"/>
      <c r="G49" s="1194"/>
      <c r="H49" s="1195" t="str">
        <f t="shared" si="11"/>
        <v>——</v>
      </c>
      <c r="I49" s="1283">
        <v>0.25</v>
      </c>
      <c r="J49" s="1284">
        <f t="shared" si="12"/>
        <v>0</v>
      </c>
      <c r="K49" s="1284">
        <f t="shared" si="13"/>
        <v>0</v>
      </c>
      <c r="L49" s="1284">
        <v>0</v>
      </c>
      <c r="M49" s="1284">
        <f t="shared" si="14"/>
        <v>0</v>
      </c>
      <c r="N49" s="1284">
        <f t="shared" si="14"/>
        <v>0</v>
      </c>
      <c r="AA49" s="1170"/>
      <c r="AB49" s="1170"/>
      <c r="AC49" s="1170"/>
      <c r="AD49" s="1170"/>
      <c r="AE49" s="1170"/>
      <c r="AF49" s="1170"/>
      <c r="AG49" s="1170"/>
      <c r="AH49" s="1170"/>
      <c r="AI49" s="1170"/>
      <c r="AJ49" s="1170"/>
      <c r="AK49" s="1170"/>
    </row>
    <row r="50" s="1020" customFormat="1" ht="24" spans="1:37">
      <c r="A50" s="1185" t="s">
        <v>1754</v>
      </c>
      <c r="B50" s="1196">
        <f>估价对象房地状况!C19</f>
        <v>0</v>
      </c>
      <c r="C50" s="1082"/>
      <c r="D50" s="1191">
        <f t="shared" si="10"/>
        <v>0</v>
      </c>
      <c r="E50" s="1197"/>
      <c r="F50" s="1193"/>
      <c r="G50" s="1194"/>
      <c r="H50" s="1195" t="str">
        <f t="shared" si="11"/>
        <v>——</v>
      </c>
      <c r="I50" s="1283">
        <v>0.05</v>
      </c>
      <c r="J50" s="1284">
        <f t="shared" si="12"/>
        <v>0</v>
      </c>
      <c r="K50" s="1284">
        <f t="shared" si="13"/>
        <v>0</v>
      </c>
      <c r="L50" s="1284">
        <v>0</v>
      </c>
      <c r="M50" s="1284">
        <f t="shared" si="14"/>
        <v>0</v>
      </c>
      <c r="N50" s="1284">
        <f t="shared" si="14"/>
        <v>0</v>
      </c>
      <c r="AA50" s="1170"/>
      <c r="AB50" s="1170"/>
      <c r="AC50" s="1170"/>
      <c r="AD50" s="1170"/>
      <c r="AE50" s="1170"/>
      <c r="AF50" s="1170"/>
      <c r="AG50" s="1170"/>
      <c r="AH50" s="1170"/>
      <c r="AI50" s="1170"/>
      <c r="AJ50" s="1170"/>
      <c r="AK50" s="1170"/>
    </row>
    <row r="51" s="1020" customFormat="1" ht="50.4" spans="1:37">
      <c r="A51" s="1185" t="s">
        <v>1755</v>
      </c>
      <c r="B51" s="1198" t="s">
        <v>1756</v>
      </c>
      <c r="C51" s="1082"/>
      <c r="D51" s="1191">
        <f t="shared" si="10"/>
        <v>0</v>
      </c>
      <c r="E51" s="1197"/>
      <c r="F51" s="1193"/>
      <c r="G51" s="1194"/>
      <c r="H51" s="1195" t="str">
        <f t="shared" si="11"/>
        <v>——</v>
      </c>
      <c r="I51" s="1283">
        <v>0.05</v>
      </c>
      <c r="J51" s="1284">
        <f t="shared" si="12"/>
        <v>0</v>
      </c>
      <c r="K51" s="1284">
        <f t="shared" si="13"/>
        <v>0</v>
      </c>
      <c r="L51" s="1284">
        <v>0</v>
      </c>
      <c r="M51" s="1284">
        <f t="shared" si="14"/>
        <v>0</v>
      </c>
      <c r="N51" s="1284">
        <f t="shared" si="14"/>
        <v>0</v>
      </c>
      <c r="AA51" s="1170"/>
      <c r="AB51" s="1170"/>
      <c r="AC51" s="1170"/>
      <c r="AD51" s="1170"/>
      <c r="AE51" s="1170"/>
      <c r="AF51" s="1170"/>
      <c r="AG51" s="1170"/>
      <c r="AH51" s="1170"/>
      <c r="AI51" s="1170"/>
      <c r="AJ51" s="1170"/>
      <c r="AK51" s="1170"/>
    </row>
    <row r="52" s="1020" customFormat="1" ht="24" spans="1:37">
      <c r="A52" s="1185" t="s">
        <v>1757</v>
      </c>
      <c r="B52" s="1196">
        <f>估价对象房地状况!C24</f>
        <v>0</v>
      </c>
      <c r="C52" s="1082"/>
      <c r="D52" s="1191">
        <f t="shared" si="10"/>
        <v>0</v>
      </c>
      <c r="E52" s="1197"/>
      <c r="F52" s="1193"/>
      <c r="G52" s="1194"/>
      <c r="H52" s="1195" t="str">
        <f t="shared" si="11"/>
        <v>——</v>
      </c>
      <c r="I52" s="1283">
        <v>0.08</v>
      </c>
      <c r="J52" s="1284">
        <f t="shared" si="12"/>
        <v>0</v>
      </c>
      <c r="K52" s="1284">
        <f t="shared" si="13"/>
        <v>0</v>
      </c>
      <c r="L52" s="1284">
        <v>0</v>
      </c>
      <c r="M52" s="1284">
        <f t="shared" si="14"/>
        <v>0</v>
      </c>
      <c r="N52" s="1284">
        <f t="shared" si="14"/>
        <v>0</v>
      </c>
      <c r="AA52" s="1170"/>
      <c r="AB52" s="1170"/>
      <c r="AC52" s="1170"/>
      <c r="AD52" s="1170"/>
      <c r="AE52" s="1170"/>
      <c r="AF52" s="1170"/>
      <c r="AG52" s="1170"/>
      <c r="AH52" s="1170"/>
      <c r="AI52" s="1170"/>
      <c r="AJ52" s="1170"/>
      <c r="AK52" s="1170"/>
    </row>
    <row r="53" s="1020" customFormat="1" ht="36" spans="1:37">
      <c r="A53" s="1185" t="s">
        <v>1758</v>
      </c>
      <c r="B53" s="1199" t="s">
        <v>1759</v>
      </c>
      <c r="C53" s="1082"/>
      <c r="D53" s="1191">
        <f t="shared" si="10"/>
        <v>0</v>
      </c>
      <c r="E53" s="1197"/>
      <c r="F53" s="1193"/>
      <c r="G53" s="1194"/>
      <c r="H53" s="1195" t="str">
        <f t="shared" si="11"/>
        <v>——</v>
      </c>
      <c r="I53" s="1283">
        <v>0.03</v>
      </c>
      <c r="J53" s="1284">
        <f t="shared" si="12"/>
        <v>0</v>
      </c>
      <c r="K53" s="1284">
        <f t="shared" si="13"/>
        <v>0</v>
      </c>
      <c r="L53" s="1284">
        <v>0</v>
      </c>
      <c r="M53" s="1284">
        <f t="shared" si="14"/>
        <v>0</v>
      </c>
      <c r="N53" s="1284">
        <f t="shared" si="14"/>
        <v>0</v>
      </c>
      <c r="AA53" s="1170"/>
      <c r="AB53" s="1170"/>
      <c r="AC53" s="1170"/>
      <c r="AD53" s="1170"/>
      <c r="AE53" s="1170"/>
      <c r="AF53" s="1170"/>
      <c r="AG53" s="1170"/>
      <c r="AH53" s="1170"/>
      <c r="AI53" s="1170"/>
      <c r="AJ53" s="1170"/>
      <c r="AK53" s="1170"/>
    </row>
    <row r="54" s="1020" customFormat="1" ht="24" spans="1:37">
      <c r="A54" s="1200" t="s">
        <v>1760</v>
      </c>
      <c r="B54" s="685" t="str">
        <f>估价对象房地状况!C21</f>
        <v>估价对象所在区域公共配套设施齐备情况</v>
      </c>
      <c r="C54" s="1082"/>
      <c r="D54" s="1191">
        <f t="shared" si="10"/>
        <v>0</v>
      </c>
      <c r="E54" s="1197"/>
      <c r="F54" s="1193"/>
      <c r="G54" s="1194"/>
      <c r="H54" s="1195" t="str">
        <f t="shared" si="11"/>
        <v>——</v>
      </c>
      <c r="I54" s="1283">
        <v>0.05</v>
      </c>
      <c r="J54" s="1284">
        <f t="shared" si="12"/>
        <v>0</v>
      </c>
      <c r="K54" s="1284">
        <f t="shared" si="13"/>
        <v>0</v>
      </c>
      <c r="L54" s="1284">
        <v>0</v>
      </c>
      <c r="M54" s="1284">
        <f t="shared" si="14"/>
        <v>0</v>
      </c>
      <c r="N54" s="1284">
        <f t="shared" si="14"/>
        <v>0</v>
      </c>
      <c r="AA54" s="1170"/>
      <c r="AB54" s="1170"/>
      <c r="AC54" s="1170"/>
      <c r="AD54" s="1170"/>
      <c r="AE54" s="1170"/>
      <c r="AF54" s="1170"/>
      <c r="AG54" s="1170"/>
      <c r="AH54" s="1170"/>
      <c r="AI54" s="1170"/>
      <c r="AJ54" s="1170"/>
      <c r="AK54" s="1170"/>
    </row>
    <row r="55" s="1020" customFormat="1" ht="24" spans="1:37">
      <c r="A55" s="1200" t="s">
        <v>1761</v>
      </c>
      <c r="B55" s="1196" t="str">
        <f>估价对象房地状况!C22</f>
        <v>估价对象所在区域基础设施水平</v>
      </c>
      <c r="C55" s="1082"/>
      <c r="D55" s="1191">
        <f t="shared" si="10"/>
        <v>0</v>
      </c>
      <c r="E55" s="1197"/>
      <c r="F55" s="1193"/>
      <c r="G55" s="1194"/>
      <c r="H55" s="1195" t="str">
        <f t="shared" si="11"/>
        <v>——</v>
      </c>
      <c r="I55" s="1283">
        <v>0.1</v>
      </c>
      <c r="J55" s="1284">
        <f t="shared" si="12"/>
        <v>0</v>
      </c>
      <c r="K55" s="1284">
        <f t="shared" si="13"/>
        <v>0</v>
      </c>
      <c r="L55" s="1284">
        <v>0</v>
      </c>
      <c r="M55" s="1284">
        <f t="shared" si="14"/>
        <v>0</v>
      </c>
      <c r="N55" s="1284">
        <f t="shared" si="14"/>
        <v>0</v>
      </c>
      <c r="AA55" s="1170"/>
      <c r="AB55" s="1170"/>
      <c r="AC55" s="1170"/>
      <c r="AD55" s="1170"/>
      <c r="AE55" s="1170"/>
      <c r="AF55" s="1170"/>
      <c r="AG55" s="1170"/>
      <c r="AH55" s="1170"/>
      <c r="AI55" s="1170"/>
      <c r="AJ55" s="1170"/>
      <c r="AK55" s="1170"/>
    </row>
    <row r="56" s="1020" customFormat="1" ht="36.75" spans="1:37">
      <c r="A56" s="1201" t="s">
        <v>1762</v>
      </c>
      <c r="B56" s="1202" t="str">
        <f>估价对象房地状况!C20</f>
        <v>区域自然环境：；人文环境；综合评价环境状况一般</v>
      </c>
      <c r="C56" s="1082"/>
      <c r="D56" s="1191">
        <f t="shared" si="10"/>
        <v>0</v>
      </c>
      <c r="E56" s="1203"/>
      <c r="F56" s="1193"/>
      <c r="G56" s="1194"/>
      <c r="H56" s="1195" t="str">
        <f t="shared" si="11"/>
        <v>——</v>
      </c>
      <c r="I56" s="1285">
        <v>0.06</v>
      </c>
      <c r="J56" s="1284">
        <f t="shared" si="12"/>
        <v>0</v>
      </c>
      <c r="K56" s="1284">
        <f t="shared" si="13"/>
        <v>0</v>
      </c>
      <c r="L56" s="1284">
        <v>0</v>
      </c>
      <c r="M56" s="1284">
        <f t="shared" si="14"/>
        <v>0</v>
      </c>
      <c r="N56" s="1284">
        <f t="shared" si="14"/>
        <v>0</v>
      </c>
      <c r="AA56" s="1170"/>
      <c r="AB56" s="1170"/>
      <c r="AC56" s="1170"/>
      <c r="AD56" s="1170"/>
      <c r="AE56" s="1170"/>
      <c r="AF56" s="1170"/>
      <c r="AG56" s="1170"/>
      <c r="AH56" s="1170"/>
      <c r="AI56" s="1170"/>
      <c r="AJ56" s="1170"/>
      <c r="AK56" s="1170"/>
    </row>
    <row r="57" s="1020" customFormat="1" ht="14.4" spans="1:37">
      <c r="A57" s="1179" t="s">
        <v>1763</v>
      </c>
      <c r="B57" s="1180">
        <f>1+E59</f>
        <v>1</v>
      </c>
      <c r="C57" s="1182"/>
      <c r="D57" s="1182"/>
      <c r="E57" s="1183"/>
      <c r="F57" s="1184"/>
      <c r="G57" s="1178"/>
      <c r="H57" s="1178"/>
      <c r="I57" s="1178"/>
      <c r="J57" s="1177"/>
      <c r="K57" s="1177"/>
      <c r="L57" s="1177"/>
      <c r="M57" s="1177"/>
      <c r="N57" s="1177"/>
      <c r="AA57" s="1170"/>
      <c r="AB57" s="1170"/>
      <c r="AC57" s="1170"/>
      <c r="AD57" s="1170"/>
      <c r="AE57" s="1170"/>
      <c r="AF57" s="1170"/>
      <c r="AG57" s="1170"/>
      <c r="AH57" s="1170"/>
      <c r="AI57" s="1170"/>
      <c r="AJ57" s="1170"/>
      <c r="AK57" s="1170"/>
    </row>
    <row r="58" s="1020" customFormat="1" ht="25.2" spans="1:37">
      <c r="A58" s="1185" t="s">
        <v>1744</v>
      </c>
      <c r="B58" s="1186"/>
      <c r="C58" s="1186" t="s">
        <v>1746</v>
      </c>
      <c r="D58" s="1186" t="s">
        <v>1747</v>
      </c>
      <c r="E58" s="1187" t="s">
        <v>1748</v>
      </c>
      <c r="F58" s="1188" t="s">
        <v>1764</v>
      </c>
      <c r="G58" s="1186" t="s">
        <v>1679</v>
      </c>
      <c r="H58" s="1189" t="s">
        <v>1750</v>
      </c>
      <c r="I58" s="1186" t="s">
        <v>1751</v>
      </c>
      <c r="J58" s="295" t="s">
        <v>1489</v>
      </c>
      <c r="K58" s="295" t="s">
        <v>1490</v>
      </c>
      <c r="L58" s="295" t="s">
        <v>1491</v>
      </c>
      <c r="M58" s="295" t="s">
        <v>1492</v>
      </c>
      <c r="N58" s="295" t="s">
        <v>1493</v>
      </c>
      <c r="AA58" s="1170"/>
      <c r="AB58" s="1170"/>
      <c r="AC58" s="1170"/>
      <c r="AD58" s="1170"/>
      <c r="AE58" s="1170"/>
      <c r="AF58" s="1170"/>
      <c r="AG58" s="1170"/>
      <c r="AH58" s="1170"/>
      <c r="AI58" s="1170"/>
      <c r="AJ58" s="1170"/>
      <c r="AK58" s="1170"/>
    </row>
    <row r="59" s="1020" customFormat="1" ht="49.2" spans="1:37">
      <c r="A59" s="1185" t="s">
        <v>1765</v>
      </c>
      <c r="B59" s="1190" t="str">
        <f>估价对象房地状况!C17</f>
        <v>估价对象位于XX商圈，周边办公楼项目较多，入驻率高，办公集聚程度较好</v>
      </c>
      <c r="C59" s="1082"/>
      <c r="D59" s="1191">
        <f t="shared" ref="D59:D67" si="15">SUMIF($J$58:$N$58,C59,J59:N59)</f>
        <v>0</v>
      </c>
      <c r="E59" s="1192">
        <f>ROUND(SUM(D59:D67),4)</f>
        <v>0</v>
      </c>
      <c r="F59" s="1193" t="str">
        <f>IF(E2="办公",SUMIF(L1:L12,G2,N1:N12),"——")</f>
        <v>——</v>
      </c>
      <c r="G59" s="1194"/>
      <c r="H59" s="1195" t="str">
        <f t="shared" ref="H59:H67" si="16">IFERROR(ROUNDDOWN($F$59*I59/2,4),"——")</f>
        <v>——</v>
      </c>
      <c r="I59" s="1283">
        <v>0.24</v>
      </c>
      <c r="J59" s="1284">
        <f t="shared" ref="J59:J67" si="17">K59+$G59</f>
        <v>0</v>
      </c>
      <c r="K59" s="1284">
        <f t="shared" ref="K59:K67" si="18">$L59+$G59</f>
        <v>0</v>
      </c>
      <c r="L59" s="1284">
        <v>0</v>
      </c>
      <c r="M59" s="1284">
        <f t="shared" ref="M59:N67" si="19">L59-$G59</f>
        <v>0</v>
      </c>
      <c r="N59" s="1284">
        <f t="shared" si="19"/>
        <v>0</v>
      </c>
      <c r="AA59" s="1170"/>
      <c r="AB59" s="1170"/>
      <c r="AC59" s="1170"/>
      <c r="AD59" s="1170"/>
      <c r="AE59" s="1170"/>
      <c r="AF59" s="1170"/>
      <c r="AG59" s="1170"/>
      <c r="AH59" s="1170"/>
      <c r="AI59" s="1170"/>
      <c r="AJ59" s="1170"/>
      <c r="AK59" s="1170"/>
    </row>
    <row r="60" s="1020" customFormat="1" ht="60" spans="1:37">
      <c r="A60" s="1185" t="s">
        <v>1753</v>
      </c>
      <c r="B60" s="1196" t="str">
        <f>估价对象房地状况!C18</f>
        <v>估价对象周边道路状况、公共交通通达情况、停车便捷程度，综合评价交通便捷度较好</v>
      </c>
      <c r="C60" s="1082"/>
      <c r="D60" s="1191">
        <f t="shared" si="15"/>
        <v>0</v>
      </c>
      <c r="E60" s="1197"/>
      <c r="F60" s="1193"/>
      <c r="G60" s="1194"/>
      <c r="H60" s="1195" t="str">
        <f t="shared" si="16"/>
        <v>——</v>
      </c>
      <c r="I60" s="1283">
        <v>0.3</v>
      </c>
      <c r="J60" s="1284">
        <f t="shared" si="17"/>
        <v>0</v>
      </c>
      <c r="K60" s="1284">
        <f t="shared" si="18"/>
        <v>0</v>
      </c>
      <c r="L60" s="1284">
        <v>0</v>
      </c>
      <c r="M60" s="1284">
        <f t="shared" si="19"/>
        <v>0</v>
      </c>
      <c r="N60" s="1284">
        <f t="shared" si="19"/>
        <v>0</v>
      </c>
      <c r="AA60" s="1170"/>
      <c r="AB60" s="1170"/>
      <c r="AC60" s="1170"/>
      <c r="AD60" s="1170"/>
      <c r="AE60" s="1170"/>
      <c r="AF60" s="1170"/>
      <c r="AG60" s="1170"/>
      <c r="AH60" s="1170"/>
      <c r="AI60" s="1170"/>
      <c r="AJ60" s="1170"/>
      <c r="AK60" s="1170"/>
    </row>
    <row r="61" s="1020" customFormat="1" ht="24" spans="1:37">
      <c r="A61" s="1185" t="s">
        <v>1754</v>
      </c>
      <c r="B61" s="1196">
        <f>估价对象房地状况!C19</f>
        <v>0</v>
      </c>
      <c r="C61" s="1082"/>
      <c r="D61" s="1191">
        <f t="shared" si="15"/>
        <v>0</v>
      </c>
      <c r="E61" s="1197"/>
      <c r="F61" s="1193"/>
      <c r="G61" s="1194"/>
      <c r="H61" s="1195" t="str">
        <f t="shared" si="16"/>
        <v>——</v>
      </c>
      <c r="I61" s="1283">
        <v>0.08</v>
      </c>
      <c r="J61" s="1284">
        <f t="shared" si="17"/>
        <v>0</v>
      </c>
      <c r="K61" s="1284">
        <f t="shared" si="18"/>
        <v>0</v>
      </c>
      <c r="L61" s="1284">
        <v>0</v>
      </c>
      <c r="M61" s="1284">
        <f t="shared" si="19"/>
        <v>0</v>
      </c>
      <c r="N61" s="1284">
        <f t="shared" si="19"/>
        <v>0</v>
      </c>
      <c r="AA61" s="1170"/>
      <c r="AB61" s="1170"/>
      <c r="AC61" s="1170"/>
      <c r="AD61" s="1170"/>
      <c r="AE61" s="1170"/>
      <c r="AF61" s="1170"/>
      <c r="AG61" s="1170"/>
      <c r="AH61" s="1170"/>
      <c r="AI61" s="1170"/>
      <c r="AJ61" s="1170"/>
      <c r="AK61" s="1170"/>
    </row>
    <row r="62" s="1020" customFormat="1" ht="50.4" spans="1:37">
      <c r="A62" s="1185" t="s">
        <v>1755</v>
      </c>
      <c r="B62" s="1198" t="s">
        <v>1756</v>
      </c>
      <c r="C62" s="1082"/>
      <c r="D62" s="1191">
        <f t="shared" si="15"/>
        <v>0</v>
      </c>
      <c r="E62" s="1197"/>
      <c r="F62" s="1193"/>
      <c r="G62" s="1194"/>
      <c r="H62" s="1195" t="str">
        <f t="shared" si="16"/>
        <v>——</v>
      </c>
      <c r="I62" s="1283">
        <v>0.04</v>
      </c>
      <c r="J62" s="1284">
        <f t="shared" si="17"/>
        <v>0</v>
      </c>
      <c r="K62" s="1284">
        <f t="shared" si="18"/>
        <v>0</v>
      </c>
      <c r="L62" s="1284">
        <v>0</v>
      </c>
      <c r="M62" s="1284">
        <f t="shared" si="19"/>
        <v>0</v>
      </c>
      <c r="N62" s="1284">
        <f t="shared" si="19"/>
        <v>0</v>
      </c>
      <c r="AA62" s="1170"/>
      <c r="AB62" s="1170"/>
      <c r="AC62" s="1170"/>
      <c r="AD62" s="1170"/>
      <c r="AE62" s="1170"/>
      <c r="AF62" s="1170"/>
      <c r="AG62" s="1170"/>
      <c r="AH62" s="1170"/>
      <c r="AI62" s="1170"/>
      <c r="AJ62" s="1170"/>
      <c r="AK62" s="1170"/>
    </row>
    <row r="63" s="1020" customFormat="1" ht="24" spans="1:37">
      <c r="A63" s="1185" t="s">
        <v>1757</v>
      </c>
      <c r="B63" s="1196">
        <f>估价对象房地状况!C24</f>
        <v>0</v>
      </c>
      <c r="C63" s="1082"/>
      <c r="D63" s="1191">
        <f t="shared" si="15"/>
        <v>0</v>
      </c>
      <c r="E63" s="1197"/>
      <c r="F63" s="1193"/>
      <c r="G63" s="1194"/>
      <c r="H63" s="1195" t="str">
        <f t="shared" si="16"/>
        <v>——</v>
      </c>
      <c r="I63" s="1283">
        <v>0.05</v>
      </c>
      <c r="J63" s="1284">
        <f t="shared" si="17"/>
        <v>0</v>
      </c>
      <c r="K63" s="1284">
        <f t="shared" si="18"/>
        <v>0</v>
      </c>
      <c r="L63" s="1284">
        <v>0</v>
      </c>
      <c r="M63" s="1284">
        <f t="shared" si="19"/>
        <v>0</v>
      </c>
      <c r="N63" s="1284">
        <f t="shared" si="19"/>
        <v>0</v>
      </c>
      <c r="AA63" s="1170"/>
      <c r="AB63" s="1170"/>
      <c r="AC63" s="1170"/>
      <c r="AD63" s="1170"/>
      <c r="AE63" s="1170"/>
      <c r="AF63" s="1170"/>
      <c r="AG63" s="1170"/>
      <c r="AH63" s="1170"/>
      <c r="AI63" s="1170"/>
      <c r="AJ63" s="1170"/>
      <c r="AK63" s="1170"/>
    </row>
    <row r="64" s="1020" customFormat="1" ht="36" spans="1:37">
      <c r="A64" s="1185" t="s">
        <v>1758</v>
      </c>
      <c r="B64" s="1199" t="s">
        <v>1759</v>
      </c>
      <c r="C64" s="1082"/>
      <c r="D64" s="1191">
        <f t="shared" si="15"/>
        <v>0</v>
      </c>
      <c r="E64" s="1197"/>
      <c r="F64" s="1193"/>
      <c r="G64" s="1194"/>
      <c r="H64" s="1195" t="str">
        <f t="shared" si="16"/>
        <v>——</v>
      </c>
      <c r="I64" s="1283">
        <v>0.05</v>
      </c>
      <c r="J64" s="1284">
        <f t="shared" si="17"/>
        <v>0</v>
      </c>
      <c r="K64" s="1284">
        <f t="shared" si="18"/>
        <v>0</v>
      </c>
      <c r="L64" s="1284">
        <v>0</v>
      </c>
      <c r="M64" s="1284">
        <f t="shared" si="19"/>
        <v>0</v>
      </c>
      <c r="N64" s="1284">
        <f t="shared" si="19"/>
        <v>0</v>
      </c>
      <c r="AA64" s="1170"/>
      <c r="AB64" s="1170"/>
      <c r="AC64" s="1170"/>
      <c r="AD64" s="1170"/>
      <c r="AE64" s="1170"/>
      <c r="AF64" s="1170"/>
      <c r="AG64" s="1170"/>
      <c r="AH64" s="1170"/>
      <c r="AI64" s="1170"/>
      <c r="AJ64" s="1170"/>
      <c r="AK64" s="1170"/>
    </row>
    <row r="65" s="1020" customFormat="1" ht="24" spans="1:37">
      <c r="A65" s="1185" t="s">
        <v>1760</v>
      </c>
      <c r="B65" s="685" t="str">
        <f>估价对象房地状况!C21</f>
        <v>估价对象所在区域公共配套设施齐备情况</v>
      </c>
      <c r="C65" s="1082"/>
      <c r="D65" s="1191">
        <f t="shared" si="15"/>
        <v>0</v>
      </c>
      <c r="E65" s="1197"/>
      <c r="F65" s="1193"/>
      <c r="G65" s="1194"/>
      <c r="H65" s="1195" t="str">
        <f t="shared" si="16"/>
        <v>——</v>
      </c>
      <c r="I65" s="1283">
        <v>0.06</v>
      </c>
      <c r="J65" s="1284">
        <f t="shared" si="17"/>
        <v>0</v>
      </c>
      <c r="K65" s="1284">
        <f t="shared" si="18"/>
        <v>0</v>
      </c>
      <c r="L65" s="1284">
        <v>0</v>
      </c>
      <c r="M65" s="1284">
        <f t="shared" si="19"/>
        <v>0</v>
      </c>
      <c r="N65" s="1284">
        <f t="shared" si="19"/>
        <v>0</v>
      </c>
      <c r="AA65" s="1170"/>
      <c r="AB65" s="1170"/>
      <c r="AC65" s="1170"/>
      <c r="AD65" s="1170"/>
      <c r="AE65" s="1170"/>
      <c r="AF65" s="1170"/>
      <c r="AG65" s="1170"/>
      <c r="AH65" s="1170"/>
      <c r="AI65" s="1170"/>
      <c r="AJ65" s="1170"/>
      <c r="AK65" s="1170"/>
    </row>
    <row r="66" s="1020" customFormat="1" ht="24" spans="1:37">
      <c r="A66" s="1185" t="s">
        <v>1761</v>
      </c>
      <c r="B66" s="685" t="str">
        <f>估价对象房地状况!C22</f>
        <v>估价对象所在区域基础设施水平</v>
      </c>
      <c r="C66" s="1082"/>
      <c r="D66" s="1191">
        <f t="shared" si="15"/>
        <v>0</v>
      </c>
      <c r="E66" s="1197"/>
      <c r="F66" s="1193"/>
      <c r="G66" s="1194"/>
      <c r="H66" s="1195" t="str">
        <f t="shared" si="16"/>
        <v>——</v>
      </c>
      <c r="I66" s="1283">
        <v>0.12</v>
      </c>
      <c r="J66" s="1284">
        <f t="shared" si="17"/>
        <v>0</v>
      </c>
      <c r="K66" s="1284">
        <f t="shared" si="18"/>
        <v>0</v>
      </c>
      <c r="L66" s="1284">
        <v>0</v>
      </c>
      <c r="M66" s="1284">
        <f t="shared" si="19"/>
        <v>0</v>
      </c>
      <c r="N66" s="1284">
        <f t="shared" si="19"/>
        <v>0</v>
      </c>
      <c r="AA66" s="1170"/>
      <c r="AB66" s="1170"/>
      <c r="AC66" s="1170"/>
      <c r="AD66" s="1170"/>
      <c r="AE66" s="1170"/>
      <c r="AF66" s="1170"/>
      <c r="AG66" s="1170"/>
      <c r="AH66" s="1170"/>
      <c r="AI66" s="1170"/>
      <c r="AJ66" s="1170"/>
      <c r="AK66" s="1170"/>
    </row>
    <row r="67" s="1020" customFormat="1" ht="36.75" spans="1:37">
      <c r="A67" s="1201" t="s">
        <v>1762</v>
      </c>
      <c r="B67" s="1315" t="str">
        <f>估价对象房地状况!C20</f>
        <v>区域自然环境：；人文环境；综合评价环境状况一般</v>
      </c>
      <c r="C67" s="1082"/>
      <c r="D67" s="1191">
        <f t="shared" si="15"/>
        <v>0</v>
      </c>
      <c r="E67" s="1203"/>
      <c r="F67" s="1193"/>
      <c r="G67" s="1194"/>
      <c r="H67" s="1195" t="str">
        <f t="shared" si="16"/>
        <v>——</v>
      </c>
      <c r="I67" s="1285">
        <v>0.06</v>
      </c>
      <c r="J67" s="1284">
        <f t="shared" si="17"/>
        <v>0</v>
      </c>
      <c r="K67" s="1284">
        <f t="shared" si="18"/>
        <v>0</v>
      </c>
      <c r="L67" s="1284">
        <v>0</v>
      </c>
      <c r="M67" s="1284">
        <f t="shared" si="19"/>
        <v>0</v>
      </c>
      <c r="N67" s="1284">
        <f t="shared" si="19"/>
        <v>0</v>
      </c>
      <c r="AA67" s="1170"/>
      <c r="AB67" s="1170"/>
      <c r="AC67" s="1170"/>
      <c r="AD67" s="1170"/>
      <c r="AE67" s="1170"/>
      <c r="AF67" s="1170"/>
      <c r="AG67" s="1170"/>
      <c r="AH67" s="1170"/>
      <c r="AI67" s="1170"/>
      <c r="AJ67" s="1170"/>
      <c r="AK67" s="1170"/>
    </row>
    <row r="68" s="1020" customFormat="1" ht="14.4" spans="1:37">
      <c r="A68" s="1179" t="s">
        <v>1766</v>
      </c>
      <c r="B68" s="1180">
        <f>1+E70</f>
        <v>1</v>
      </c>
      <c r="C68" s="1182"/>
      <c r="D68" s="1182"/>
      <c r="E68" s="1183"/>
      <c r="F68" s="1184"/>
      <c r="G68" s="1178"/>
      <c r="H68" s="1178"/>
      <c r="I68" s="1178"/>
      <c r="J68" s="1177"/>
      <c r="K68" s="1177"/>
      <c r="L68" s="1177"/>
      <c r="M68" s="1177"/>
      <c r="N68" s="1177"/>
      <c r="AA68" s="1170"/>
      <c r="AB68" s="1170"/>
      <c r="AC68" s="1170"/>
      <c r="AD68" s="1170"/>
      <c r="AE68" s="1170"/>
      <c r="AF68" s="1170"/>
      <c r="AG68" s="1170"/>
      <c r="AH68" s="1170"/>
      <c r="AI68" s="1170"/>
      <c r="AJ68" s="1170"/>
      <c r="AK68" s="1170"/>
    </row>
    <row r="69" s="1020" customFormat="1" ht="25.2" spans="1:37">
      <c r="A69" s="1185" t="s">
        <v>1744</v>
      </c>
      <c r="B69" s="1186"/>
      <c r="C69" s="1186" t="s">
        <v>1746</v>
      </c>
      <c r="D69" s="1186" t="s">
        <v>1747</v>
      </c>
      <c r="E69" s="1187" t="s">
        <v>1748</v>
      </c>
      <c r="F69" s="1188" t="s">
        <v>1764</v>
      </c>
      <c r="G69" s="1186" t="s">
        <v>1679</v>
      </c>
      <c r="H69" s="1189" t="s">
        <v>1750</v>
      </c>
      <c r="I69" s="1186" t="s">
        <v>1751</v>
      </c>
      <c r="J69" s="295" t="s">
        <v>1489</v>
      </c>
      <c r="K69" s="295" t="s">
        <v>1490</v>
      </c>
      <c r="L69" s="295" t="s">
        <v>1491</v>
      </c>
      <c r="M69" s="295" t="s">
        <v>1492</v>
      </c>
      <c r="N69" s="295" t="s">
        <v>1493</v>
      </c>
      <c r="AA69" s="1170"/>
      <c r="AB69" s="1170"/>
      <c r="AC69" s="1170"/>
      <c r="AD69" s="1170"/>
      <c r="AE69" s="1170"/>
      <c r="AF69" s="1170"/>
      <c r="AG69" s="1170"/>
      <c r="AH69" s="1170"/>
      <c r="AI69" s="1170"/>
      <c r="AJ69" s="1170"/>
      <c r="AK69" s="1170"/>
    </row>
    <row r="70" s="1020" customFormat="1" ht="60" spans="1:37">
      <c r="A70" s="1185" t="s">
        <v>1767</v>
      </c>
      <c r="B70" s="1190" t="str">
        <f>估价对象房地状况!C15</f>
        <v>估价对象周边居住用地比例、居住小区规模和社区发展完善程度，综合评价居住社区成熟度一般</v>
      </c>
      <c r="C70" s="1082"/>
      <c r="D70" s="1191">
        <f t="shared" ref="D70:D78" si="20">SUMIF($J$69:$N$69,C70,J70:N70)</f>
        <v>0</v>
      </c>
      <c r="E70" s="1192">
        <f>ROUND(SUM(D70:D78),4)</f>
        <v>0</v>
      </c>
      <c r="F70" s="1193" t="str">
        <f>IF(E2="住宅",SUMIF(L1:L12,G2,N1:N12),"——")</f>
        <v>——</v>
      </c>
      <c r="G70" s="1194"/>
      <c r="H70" s="1195" t="str">
        <f t="shared" ref="H70:H78" si="21">IFERROR(ROUNDDOWN($F$70*I70/2,4),"——")</f>
        <v>——</v>
      </c>
      <c r="I70" s="1283">
        <v>0.14</v>
      </c>
      <c r="J70" s="1284">
        <f t="shared" ref="J70:J78" si="22">K70+$G70</f>
        <v>0</v>
      </c>
      <c r="K70" s="1284">
        <f t="shared" ref="K70:K78" si="23">$L70+$G70</f>
        <v>0</v>
      </c>
      <c r="L70" s="1284">
        <v>0</v>
      </c>
      <c r="M70" s="1284">
        <f t="shared" ref="M70:N78" si="24">L70-$G70</f>
        <v>0</v>
      </c>
      <c r="N70" s="1284">
        <f t="shared" si="24"/>
        <v>0</v>
      </c>
      <c r="AA70" s="1170"/>
      <c r="AB70" s="1170"/>
      <c r="AC70" s="1170"/>
      <c r="AD70" s="1170"/>
      <c r="AE70" s="1170"/>
      <c r="AF70" s="1170"/>
      <c r="AG70" s="1170"/>
      <c r="AH70" s="1170"/>
      <c r="AI70" s="1170"/>
      <c r="AJ70" s="1170"/>
      <c r="AK70" s="1170"/>
    </row>
    <row r="71" s="1020" customFormat="1" ht="60" spans="1:37">
      <c r="A71" s="1185" t="s">
        <v>1753</v>
      </c>
      <c r="B71" s="1196" t="str">
        <f>估价对象房地状况!C18</f>
        <v>估价对象周边道路状况、公共交通通达情况、停车便捷程度，综合评价交通便捷度较好</v>
      </c>
      <c r="C71" s="1082"/>
      <c r="D71" s="1191">
        <f t="shared" si="20"/>
        <v>0</v>
      </c>
      <c r="E71" s="1316"/>
      <c r="F71" s="1193"/>
      <c r="G71" s="1194"/>
      <c r="H71" s="1195" t="str">
        <f t="shared" si="21"/>
        <v>——</v>
      </c>
      <c r="I71" s="1283">
        <v>0.3</v>
      </c>
      <c r="J71" s="1284">
        <f t="shared" si="22"/>
        <v>0</v>
      </c>
      <c r="K71" s="1284">
        <f t="shared" si="23"/>
        <v>0</v>
      </c>
      <c r="L71" s="1284">
        <v>0</v>
      </c>
      <c r="M71" s="1284">
        <f t="shared" si="24"/>
        <v>0</v>
      </c>
      <c r="N71" s="1284">
        <f t="shared" si="24"/>
        <v>0</v>
      </c>
      <c r="AA71" s="1170"/>
      <c r="AB71" s="1170"/>
      <c r="AC71" s="1170"/>
      <c r="AD71" s="1170"/>
      <c r="AE71" s="1170"/>
      <c r="AF71" s="1170"/>
      <c r="AG71" s="1170"/>
      <c r="AH71" s="1170"/>
      <c r="AI71" s="1170"/>
      <c r="AJ71" s="1170"/>
      <c r="AK71" s="1170"/>
    </row>
    <row r="72" s="1020" customFormat="1" ht="24" spans="1:37">
      <c r="A72" s="1185" t="s">
        <v>1754</v>
      </c>
      <c r="B72" s="1196">
        <f>估价对象房地状况!C19</f>
        <v>0</v>
      </c>
      <c r="C72" s="1082"/>
      <c r="D72" s="1191">
        <f t="shared" si="20"/>
        <v>0</v>
      </c>
      <c r="E72" s="1316"/>
      <c r="F72" s="1193"/>
      <c r="G72" s="1194"/>
      <c r="H72" s="1195" t="str">
        <f t="shared" si="21"/>
        <v>——</v>
      </c>
      <c r="I72" s="1283">
        <v>0.08</v>
      </c>
      <c r="J72" s="1284">
        <f t="shared" si="22"/>
        <v>0</v>
      </c>
      <c r="K72" s="1284">
        <f t="shared" si="23"/>
        <v>0</v>
      </c>
      <c r="L72" s="1284">
        <v>0</v>
      </c>
      <c r="M72" s="1284">
        <f t="shared" si="24"/>
        <v>0</v>
      </c>
      <c r="N72" s="1284">
        <f t="shared" si="24"/>
        <v>0</v>
      </c>
      <c r="AA72" s="1170"/>
      <c r="AB72" s="1170"/>
      <c r="AC72" s="1170"/>
      <c r="AD72" s="1170"/>
      <c r="AE72" s="1170"/>
      <c r="AF72" s="1170"/>
      <c r="AG72" s="1170"/>
      <c r="AH72" s="1170"/>
      <c r="AI72" s="1170"/>
      <c r="AJ72" s="1170"/>
      <c r="AK72" s="1170"/>
    </row>
    <row r="73" s="1020" customFormat="1" ht="13.8" spans="1:37">
      <c r="A73" s="1185" t="s">
        <v>1768</v>
      </c>
      <c r="B73" s="1196">
        <f>估价对象房地状况!C24</f>
        <v>0</v>
      </c>
      <c r="C73" s="1082"/>
      <c r="D73" s="1191">
        <f t="shared" si="20"/>
        <v>0</v>
      </c>
      <c r="E73" s="1316"/>
      <c r="F73" s="1193"/>
      <c r="G73" s="1194"/>
      <c r="H73" s="1195" t="str">
        <f t="shared" si="21"/>
        <v>——</v>
      </c>
      <c r="I73" s="1283">
        <v>0.04</v>
      </c>
      <c r="J73" s="1284">
        <f t="shared" si="22"/>
        <v>0</v>
      </c>
      <c r="K73" s="1284">
        <f t="shared" si="23"/>
        <v>0</v>
      </c>
      <c r="L73" s="1284">
        <v>0</v>
      </c>
      <c r="M73" s="1284">
        <f t="shared" si="24"/>
        <v>0</v>
      </c>
      <c r="N73" s="1284">
        <f t="shared" si="24"/>
        <v>0</v>
      </c>
      <c r="AA73" s="1170"/>
      <c r="AB73" s="1170"/>
      <c r="AC73" s="1170"/>
      <c r="AD73" s="1170"/>
      <c r="AE73" s="1170"/>
      <c r="AF73" s="1170"/>
      <c r="AG73" s="1170"/>
      <c r="AH73" s="1170"/>
      <c r="AI73" s="1170"/>
      <c r="AJ73" s="1170"/>
      <c r="AK73" s="1170"/>
    </row>
    <row r="74" s="1020" customFormat="1" ht="24" spans="1:37">
      <c r="A74" s="1185" t="s">
        <v>1760</v>
      </c>
      <c r="B74" s="685" t="str">
        <f>估价对象房地状况!C21</f>
        <v>估价对象所在区域公共配套设施齐备情况</v>
      </c>
      <c r="C74" s="1082"/>
      <c r="D74" s="1191">
        <f t="shared" si="20"/>
        <v>0</v>
      </c>
      <c r="E74" s="1316"/>
      <c r="F74" s="1193"/>
      <c r="G74" s="1194"/>
      <c r="H74" s="1195" t="str">
        <f t="shared" si="21"/>
        <v>——</v>
      </c>
      <c r="I74" s="1283">
        <v>0.08</v>
      </c>
      <c r="J74" s="1284">
        <f t="shared" si="22"/>
        <v>0</v>
      </c>
      <c r="K74" s="1284">
        <f t="shared" si="23"/>
        <v>0</v>
      </c>
      <c r="L74" s="1284">
        <v>0</v>
      </c>
      <c r="M74" s="1284">
        <f t="shared" si="24"/>
        <v>0</v>
      </c>
      <c r="N74" s="1284">
        <f t="shared" si="24"/>
        <v>0</v>
      </c>
      <c r="AA74" s="1170"/>
      <c r="AB74" s="1170"/>
      <c r="AC74" s="1170"/>
      <c r="AD74" s="1170"/>
      <c r="AE74" s="1170"/>
      <c r="AF74" s="1170"/>
      <c r="AG74" s="1170"/>
      <c r="AH74" s="1170"/>
      <c r="AI74" s="1170"/>
      <c r="AJ74" s="1170"/>
      <c r="AK74" s="1170"/>
    </row>
    <row r="75" s="1020" customFormat="1" ht="24" spans="1:37">
      <c r="A75" s="1185" t="s">
        <v>1761</v>
      </c>
      <c r="B75" s="685" t="str">
        <f>估价对象房地状况!C22</f>
        <v>估价对象所在区域基础设施水平</v>
      </c>
      <c r="C75" s="1082"/>
      <c r="D75" s="1191">
        <f t="shared" si="20"/>
        <v>0</v>
      </c>
      <c r="E75" s="1316"/>
      <c r="F75" s="1193"/>
      <c r="G75" s="1194"/>
      <c r="H75" s="1195" t="str">
        <f t="shared" si="21"/>
        <v>——</v>
      </c>
      <c r="I75" s="1283">
        <v>0.12</v>
      </c>
      <c r="J75" s="1284">
        <f t="shared" si="22"/>
        <v>0</v>
      </c>
      <c r="K75" s="1284">
        <f t="shared" si="23"/>
        <v>0</v>
      </c>
      <c r="L75" s="1284">
        <v>0</v>
      </c>
      <c r="M75" s="1284">
        <f t="shared" si="24"/>
        <v>0</v>
      </c>
      <c r="N75" s="1284">
        <f t="shared" si="24"/>
        <v>0</v>
      </c>
      <c r="AA75" s="1170"/>
      <c r="AB75" s="1170"/>
      <c r="AC75" s="1170"/>
      <c r="AD75" s="1170"/>
      <c r="AE75" s="1170"/>
      <c r="AF75" s="1170"/>
      <c r="AG75" s="1170"/>
      <c r="AH75" s="1170"/>
      <c r="AI75" s="1170"/>
      <c r="AJ75" s="1170"/>
      <c r="AK75" s="1170"/>
    </row>
    <row r="76" s="1021" customFormat="1" ht="36" spans="1:37">
      <c r="A76" s="1185" t="s">
        <v>1758</v>
      </c>
      <c r="B76" s="1199" t="s">
        <v>1759</v>
      </c>
      <c r="C76" s="1082"/>
      <c r="D76" s="1191">
        <f t="shared" si="20"/>
        <v>0</v>
      </c>
      <c r="E76" s="1316"/>
      <c r="F76" s="1193"/>
      <c r="G76" s="1194"/>
      <c r="H76" s="1195" t="str">
        <f t="shared" si="21"/>
        <v>——</v>
      </c>
      <c r="I76" s="1283">
        <v>0.05</v>
      </c>
      <c r="J76" s="1284">
        <f t="shared" si="22"/>
        <v>0</v>
      </c>
      <c r="K76" s="1284">
        <f t="shared" si="23"/>
        <v>0</v>
      </c>
      <c r="L76" s="1284">
        <v>0</v>
      </c>
      <c r="M76" s="1284">
        <f t="shared" si="24"/>
        <v>0</v>
      </c>
      <c r="N76" s="1284">
        <f t="shared" si="24"/>
        <v>0</v>
      </c>
      <c r="AA76" s="1311"/>
      <c r="AB76" s="1170"/>
      <c r="AC76" s="1170"/>
      <c r="AD76" s="1170"/>
      <c r="AE76" s="1170"/>
      <c r="AF76" s="1170"/>
      <c r="AG76" s="1170"/>
      <c r="AH76" s="1311"/>
      <c r="AI76" s="1311"/>
      <c r="AJ76" s="1311"/>
      <c r="AK76" s="1311"/>
    </row>
    <row r="77" ht="36" spans="1:37">
      <c r="A77" s="1185" t="s">
        <v>1762</v>
      </c>
      <c r="B77" s="1190" t="str">
        <f>估价对象房地状况!C20</f>
        <v>区域自然环境：；人文环境；综合评价环境状况一般</v>
      </c>
      <c r="C77" s="1082"/>
      <c r="D77" s="1191">
        <f t="shared" si="20"/>
        <v>0</v>
      </c>
      <c r="E77" s="1316"/>
      <c r="F77" s="1193"/>
      <c r="G77" s="1194"/>
      <c r="H77" s="1195" t="str">
        <f t="shared" si="21"/>
        <v>——</v>
      </c>
      <c r="I77" s="1283">
        <v>0.15</v>
      </c>
      <c r="J77" s="1284">
        <f t="shared" si="22"/>
        <v>0</v>
      </c>
      <c r="K77" s="1284">
        <f t="shared" si="23"/>
        <v>0</v>
      </c>
      <c r="L77" s="1284">
        <v>0</v>
      </c>
      <c r="M77" s="1284">
        <f t="shared" si="24"/>
        <v>0</v>
      </c>
      <c r="N77" s="1284">
        <f t="shared" si="24"/>
        <v>0</v>
      </c>
      <c r="Z77" s="1024"/>
      <c r="AA77" s="1022"/>
      <c r="AG77" s="1026"/>
      <c r="AK77" s="1022"/>
    </row>
    <row r="78" ht="36.75" spans="1:37">
      <c r="A78" s="1201" t="s">
        <v>1769</v>
      </c>
      <c r="B78" s="1317"/>
      <c r="C78" s="1082"/>
      <c r="D78" s="1191">
        <f t="shared" si="20"/>
        <v>0</v>
      </c>
      <c r="E78" s="1318"/>
      <c r="F78" s="1193"/>
      <c r="G78" s="1194"/>
      <c r="H78" s="1195" t="str">
        <f t="shared" si="21"/>
        <v>——</v>
      </c>
      <c r="I78" s="1285">
        <v>0.04</v>
      </c>
      <c r="J78" s="1284">
        <f t="shared" si="22"/>
        <v>0</v>
      </c>
      <c r="K78" s="1284">
        <f t="shared" si="23"/>
        <v>0</v>
      </c>
      <c r="L78" s="1284">
        <v>0</v>
      </c>
      <c r="M78" s="1284">
        <f t="shared" si="24"/>
        <v>0</v>
      </c>
      <c r="N78" s="1284">
        <f t="shared" si="24"/>
        <v>0</v>
      </c>
      <c r="Z78" s="1024"/>
      <c r="AA78" s="1022"/>
      <c r="AG78" s="1026"/>
      <c r="AK78" s="1022"/>
    </row>
    <row r="79" ht="14.4" spans="1:37">
      <c r="A79" s="1179" t="s">
        <v>1770</v>
      </c>
      <c r="B79" s="1180">
        <f>1+E81</f>
        <v>1</v>
      </c>
      <c r="C79" s="1182"/>
      <c r="D79" s="1182"/>
      <c r="E79" s="1183"/>
      <c r="F79" s="1184"/>
      <c r="G79" s="1178"/>
      <c r="H79" s="1178"/>
      <c r="I79" s="1178"/>
      <c r="J79" s="1177"/>
      <c r="K79" s="1177"/>
      <c r="L79" s="1177"/>
      <c r="M79" s="1177"/>
      <c r="N79" s="1177"/>
      <c r="Z79" s="1024"/>
      <c r="AA79" s="1022"/>
      <c r="AG79" s="1026"/>
      <c r="AK79" s="1022"/>
    </row>
    <row r="80" ht="25.2" spans="1:37">
      <c r="A80" s="1185" t="s">
        <v>1744</v>
      </c>
      <c r="B80" s="1186"/>
      <c r="C80" s="1186" t="s">
        <v>1746</v>
      </c>
      <c r="D80" s="1186" t="s">
        <v>1747</v>
      </c>
      <c r="E80" s="1187" t="s">
        <v>1748</v>
      </c>
      <c r="F80" s="1188" t="s">
        <v>1764</v>
      </c>
      <c r="G80" s="1186" t="s">
        <v>1679</v>
      </c>
      <c r="H80" s="1189" t="s">
        <v>1750</v>
      </c>
      <c r="I80" s="1186" t="s">
        <v>1751</v>
      </c>
      <c r="J80" s="295" t="s">
        <v>1489</v>
      </c>
      <c r="K80" s="295" t="s">
        <v>1490</v>
      </c>
      <c r="L80" s="295" t="s">
        <v>1491</v>
      </c>
      <c r="M80" s="295" t="s">
        <v>1492</v>
      </c>
      <c r="N80" s="295" t="s">
        <v>1493</v>
      </c>
      <c r="Z80" s="1024"/>
      <c r="AA80" s="1022"/>
      <c r="AG80" s="1026"/>
      <c r="AK80" s="1022"/>
    </row>
    <row r="81" ht="38.4" spans="1:37">
      <c r="A81" s="1185" t="s">
        <v>1771</v>
      </c>
      <c r="B81" s="1196" t="str">
        <f>估价对象房地状况!G15</f>
        <v>估价对象位于XX开发区，园区建设成熟度XX，产业集聚程度XX</v>
      </c>
      <c r="C81" s="1082"/>
      <c r="D81" s="1191">
        <f t="shared" ref="D81:D88" si="25">SUMIF($J$80:$N$80,C81,J81:N81)</f>
        <v>0</v>
      </c>
      <c r="E81" s="1192">
        <f>ROUND(SUM(D81:D88),4)</f>
        <v>0</v>
      </c>
      <c r="F81" s="1193" t="str">
        <f>IF(E2="工业",SUMIF(L1:L12,G2,N1:N12),"——")</f>
        <v>——</v>
      </c>
      <c r="G81" s="1194"/>
      <c r="H81" s="1195" t="str">
        <f t="shared" ref="H81:H88" si="26">IFERROR(ROUNDDOWN($F$81*I81/2,4),"——")</f>
        <v>——</v>
      </c>
      <c r="I81" s="1283">
        <v>0.26</v>
      </c>
      <c r="J81" s="1284">
        <f t="shared" ref="J81:J88" si="27">K81+$G81</f>
        <v>0</v>
      </c>
      <c r="K81" s="1284">
        <f t="shared" ref="K81:K88" si="28">$L81+$G81</f>
        <v>0</v>
      </c>
      <c r="L81" s="1284">
        <v>0</v>
      </c>
      <c r="M81" s="1284">
        <f t="shared" ref="M81:N88" si="29">L81-$G81</f>
        <v>0</v>
      </c>
      <c r="N81" s="1284">
        <f t="shared" si="29"/>
        <v>0</v>
      </c>
      <c r="Z81" s="1024"/>
      <c r="AA81" s="1022"/>
      <c r="AG81" s="1026"/>
      <c r="AK81" s="1022"/>
    </row>
    <row r="82" ht="60" spans="1:37">
      <c r="A82" s="1185" t="s">
        <v>1753</v>
      </c>
      <c r="B82" s="1196" t="str">
        <f>估价对象房地状况!G16</f>
        <v>估价对象周边道路状况、公共交通通达情况、停车便捷程度，综合评价交通便捷度较好</v>
      </c>
      <c r="C82" s="1082"/>
      <c r="D82" s="1191">
        <f t="shared" si="25"/>
        <v>0</v>
      </c>
      <c r="E82" s="1316"/>
      <c r="F82" s="1193"/>
      <c r="G82" s="1194"/>
      <c r="H82" s="1195" t="str">
        <f t="shared" si="26"/>
        <v>——</v>
      </c>
      <c r="I82" s="1283">
        <v>0.33</v>
      </c>
      <c r="J82" s="1284">
        <f t="shared" si="27"/>
        <v>0</v>
      </c>
      <c r="K82" s="1284">
        <f t="shared" si="28"/>
        <v>0</v>
      </c>
      <c r="L82" s="1284">
        <v>0</v>
      </c>
      <c r="M82" s="1284">
        <f t="shared" si="29"/>
        <v>0</v>
      </c>
      <c r="N82" s="1284">
        <f t="shared" si="29"/>
        <v>0</v>
      </c>
      <c r="Z82" s="1024"/>
      <c r="AA82" s="1022"/>
      <c r="AG82" s="1026"/>
      <c r="AK82" s="1022"/>
    </row>
    <row r="83" ht="24" spans="1:37">
      <c r="A83" s="1185" t="s">
        <v>1754</v>
      </c>
      <c r="B83" s="1196">
        <f>估价对象房地状况!G17</f>
        <v>0</v>
      </c>
      <c r="C83" s="1082"/>
      <c r="D83" s="1191">
        <f t="shared" si="25"/>
        <v>0</v>
      </c>
      <c r="E83" s="1316"/>
      <c r="F83" s="1193"/>
      <c r="G83" s="1194"/>
      <c r="H83" s="1195" t="str">
        <f t="shared" si="26"/>
        <v>——</v>
      </c>
      <c r="I83" s="1283">
        <v>0.05</v>
      </c>
      <c r="J83" s="1284">
        <f t="shared" si="27"/>
        <v>0</v>
      </c>
      <c r="K83" s="1284">
        <f t="shared" si="28"/>
        <v>0</v>
      </c>
      <c r="L83" s="1284">
        <v>0</v>
      </c>
      <c r="M83" s="1284">
        <f t="shared" si="29"/>
        <v>0</v>
      </c>
      <c r="N83" s="1284">
        <f t="shared" si="29"/>
        <v>0</v>
      </c>
      <c r="Z83" s="1024"/>
      <c r="AA83" s="1022"/>
      <c r="AG83" s="1026"/>
      <c r="AK83" s="1022"/>
    </row>
    <row r="84" ht="13.8" spans="1:37">
      <c r="A84" s="1185" t="s">
        <v>1768</v>
      </c>
      <c r="B84" s="1196">
        <f>估价对象房地状况!G22</f>
        <v>0</v>
      </c>
      <c r="C84" s="1082"/>
      <c r="D84" s="1191">
        <f t="shared" si="25"/>
        <v>0</v>
      </c>
      <c r="E84" s="1316"/>
      <c r="F84" s="1193"/>
      <c r="G84" s="1194"/>
      <c r="H84" s="1195" t="str">
        <f t="shared" si="26"/>
        <v>——</v>
      </c>
      <c r="I84" s="1283">
        <v>0.04</v>
      </c>
      <c r="J84" s="1284">
        <f t="shared" si="27"/>
        <v>0</v>
      </c>
      <c r="K84" s="1284">
        <f t="shared" si="28"/>
        <v>0</v>
      </c>
      <c r="L84" s="1284">
        <v>0</v>
      </c>
      <c r="M84" s="1284">
        <f t="shared" si="29"/>
        <v>0</v>
      </c>
      <c r="N84" s="1284">
        <f t="shared" si="29"/>
        <v>0</v>
      </c>
      <c r="Z84" s="1024"/>
      <c r="AA84" s="1022"/>
      <c r="AG84" s="1026"/>
      <c r="AK84" s="1022"/>
    </row>
    <row r="85" ht="24" spans="1:37">
      <c r="A85" s="1185" t="s">
        <v>1760</v>
      </c>
      <c r="B85" s="685" t="str">
        <f>估价对象房地状况!G19</f>
        <v>估价对象所在区域公共配套设施齐备情况</v>
      </c>
      <c r="C85" s="1082"/>
      <c r="D85" s="1191">
        <f t="shared" si="25"/>
        <v>0</v>
      </c>
      <c r="E85" s="1316"/>
      <c r="F85" s="1193"/>
      <c r="G85" s="1194"/>
      <c r="H85" s="1195" t="str">
        <f t="shared" si="26"/>
        <v>——</v>
      </c>
      <c r="I85" s="1283">
        <v>0.06</v>
      </c>
      <c r="J85" s="1284">
        <f t="shared" si="27"/>
        <v>0</v>
      </c>
      <c r="K85" s="1284">
        <f t="shared" si="28"/>
        <v>0</v>
      </c>
      <c r="L85" s="1284">
        <v>0</v>
      </c>
      <c r="M85" s="1284">
        <f t="shared" si="29"/>
        <v>0</v>
      </c>
      <c r="N85" s="1284">
        <f t="shared" si="29"/>
        <v>0</v>
      </c>
      <c r="Z85" s="1024"/>
      <c r="AA85" s="1022"/>
      <c r="AG85" s="1026"/>
      <c r="AK85" s="1022"/>
    </row>
    <row r="86" ht="24" spans="1:37">
      <c r="A86" s="1185" t="s">
        <v>1761</v>
      </c>
      <c r="B86" s="685" t="str">
        <f>估价对象房地状况!G20</f>
        <v>估价对象所在区域基础设施水平</v>
      </c>
      <c r="C86" s="1082"/>
      <c r="D86" s="1191">
        <f t="shared" si="25"/>
        <v>0</v>
      </c>
      <c r="E86" s="1316"/>
      <c r="F86" s="1193"/>
      <c r="G86" s="1194"/>
      <c r="H86" s="1195" t="str">
        <f t="shared" si="26"/>
        <v>——</v>
      </c>
      <c r="I86" s="1283">
        <v>0.15</v>
      </c>
      <c r="J86" s="1284">
        <f t="shared" si="27"/>
        <v>0</v>
      </c>
      <c r="K86" s="1284">
        <f t="shared" si="28"/>
        <v>0</v>
      </c>
      <c r="L86" s="1284">
        <v>0</v>
      </c>
      <c r="M86" s="1284">
        <f t="shared" si="29"/>
        <v>0</v>
      </c>
      <c r="N86" s="1284">
        <f t="shared" si="29"/>
        <v>0</v>
      </c>
      <c r="Z86" s="1024"/>
      <c r="AA86" s="1022"/>
      <c r="AG86" s="1026"/>
      <c r="AK86" s="1022"/>
    </row>
    <row r="87" ht="36" spans="1:37">
      <c r="A87" s="1185" t="s">
        <v>1758</v>
      </c>
      <c r="B87" s="1199" t="s">
        <v>1772</v>
      </c>
      <c r="C87" s="1082"/>
      <c r="D87" s="1191">
        <f t="shared" si="25"/>
        <v>0</v>
      </c>
      <c r="E87" s="1316"/>
      <c r="F87" s="1193"/>
      <c r="G87" s="1194"/>
      <c r="H87" s="1195" t="str">
        <f t="shared" si="26"/>
        <v>——</v>
      </c>
      <c r="I87" s="1283">
        <v>0.05</v>
      </c>
      <c r="J87" s="1284">
        <f t="shared" si="27"/>
        <v>0</v>
      </c>
      <c r="K87" s="1284">
        <f t="shared" si="28"/>
        <v>0</v>
      </c>
      <c r="L87" s="1284">
        <v>0</v>
      </c>
      <c r="M87" s="1284">
        <f t="shared" si="29"/>
        <v>0</v>
      </c>
      <c r="N87" s="1284">
        <f t="shared" si="29"/>
        <v>0</v>
      </c>
      <c r="Z87" s="1024"/>
      <c r="AA87" s="1022"/>
      <c r="AG87" s="1026"/>
      <c r="AK87" s="1022"/>
    </row>
    <row r="88" ht="48.75" spans="1:37">
      <c r="A88" s="1201" t="s">
        <v>1773</v>
      </c>
      <c r="B88" s="1319" t="str">
        <f>估价对象房地状况!G18</f>
        <v>该园区内是否有污染型企业，绿化情况，卫生条件，整体环境状况判断</v>
      </c>
      <c r="C88" s="1082"/>
      <c r="D88" s="1191">
        <f t="shared" si="25"/>
        <v>0</v>
      </c>
      <c r="E88" s="1318"/>
      <c r="F88" s="1193"/>
      <c r="G88" s="1194"/>
      <c r="H88" s="1195" t="str">
        <f t="shared" si="26"/>
        <v>——</v>
      </c>
      <c r="I88" s="1285">
        <v>0.06</v>
      </c>
      <c r="J88" s="1284">
        <f t="shared" si="27"/>
        <v>0</v>
      </c>
      <c r="K88" s="1284">
        <f t="shared" si="28"/>
        <v>0</v>
      </c>
      <c r="L88" s="1284">
        <v>0</v>
      </c>
      <c r="M88" s="1284">
        <f t="shared" si="29"/>
        <v>0</v>
      </c>
      <c r="N88" s="1284">
        <f t="shared" si="29"/>
        <v>0</v>
      </c>
      <c r="Z88" s="1024"/>
      <c r="AA88" s="1022"/>
      <c r="AG88" s="1026"/>
      <c r="AK88" s="1022"/>
    </row>
    <row r="90" spans="1:14">
      <c r="A90" s="1320" t="s">
        <v>1774</v>
      </c>
      <c r="B90" s="1320"/>
      <c r="C90" s="1320"/>
      <c r="D90" s="1320"/>
      <c r="E90" s="1320"/>
      <c r="F90" s="1320"/>
      <c r="G90" s="1320"/>
      <c r="H90" s="1320"/>
      <c r="I90" s="1320"/>
      <c r="J90" s="1320"/>
      <c r="K90" s="1320"/>
      <c r="L90" s="1320"/>
      <c r="M90" s="1320"/>
      <c r="N90" s="1320"/>
    </row>
    <row r="91" spans="1:14">
      <c r="A91" s="246" t="s">
        <v>1775</v>
      </c>
      <c r="B91" s="246" t="s">
        <v>1776</v>
      </c>
      <c r="C91" s="1151" t="s">
        <v>1777</v>
      </c>
      <c r="D91" s="1152"/>
      <c r="E91" s="1152"/>
      <c r="F91" s="1152"/>
      <c r="G91" s="1152"/>
      <c r="H91" s="1152"/>
      <c r="I91" s="1152"/>
      <c r="J91" s="1345"/>
      <c r="K91" s="1346"/>
      <c r="L91" s="1346"/>
      <c r="M91" s="1346"/>
      <c r="N91" s="1346"/>
    </row>
    <row r="92" spans="1:14">
      <c r="A92" s="246"/>
      <c r="B92" s="246"/>
      <c r="C92" s="246" t="s">
        <v>1641</v>
      </c>
      <c r="D92" s="246" t="s">
        <v>1642</v>
      </c>
      <c r="E92" s="246" t="s">
        <v>1643</v>
      </c>
      <c r="F92" s="246" t="s">
        <v>1644</v>
      </c>
      <c r="G92" s="246" t="s">
        <v>1645</v>
      </c>
      <c r="H92" s="246" t="s">
        <v>1646</v>
      </c>
      <c r="I92" s="246" t="s">
        <v>1647</v>
      </c>
      <c r="J92" s="246" t="s">
        <v>1648</v>
      </c>
      <c r="K92" s="246" t="s">
        <v>1649</v>
      </c>
      <c r="L92" s="246" t="s">
        <v>1650</v>
      </c>
      <c r="M92" s="246" t="s">
        <v>1651</v>
      </c>
      <c r="N92" s="246" t="s">
        <v>1652</v>
      </c>
    </row>
    <row r="93" spans="1:14">
      <c r="A93" s="1321" t="s">
        <v>1778</v>
      </c>
      <c r="B93" s="1322">
        <v>1</v>
      </c>
      <c r="C93" s="1323">
        <v>1.9362</v>
      </c>
      <c r="D93" s="1323">
        <v>1.9362</v>
      </c>
      <c r="E93" s="1323">
        <v>1.8629</v>
      </c>
      <c r="F93" s="1323">
        <v>1.8629</v>
      </c>
      <c r="G93" s="1323">
        <v>1.8629</v>
      </c>
      <c r="H93" s="1323">
        <v>1.8629</v>
      </c>
      <c r="I93" s="1323">
        <v>1.8629</v>
      </c>
      <c r="J93" s="1323">
        <v>1.942</v>
      </c>
      <c r="K93" s="1323">
        <v>1.942</v>
      </c>
      <c r="L93" s="1323">
        <v>1.942</v>
      </c>
      <c r="M93" s="1323">
        <v>1.942</v>
      </c>
      <c r="N93" s="1323">
        <v>1.942</v>
      </c>
    </row>
    <row r="94" spans="1:14">
      <c r="A94" s="1324"/>
      <c r="B94" s="1322">
        <v>2</v>
      </c>
      <c r="C94" s="1323">
        <v>1.4198</v>
      </c>
      <c r="D94" s="1323">
        <v>1.4198</v>
      </c>
      <c r="E94" s="1323">
        <v>1.3372</v>
      </c>
      <c r="F94" s="1323">
        <v>1.3372</v>
      </c>
      <c r="G94" s="1323">
        <v>1.3372</v>
      </c>
      <c r="H94" s="1323">
        <v>1.3372</v>
      </c>
      <c r="I94" s="1323">
        <v>1.3372</v>
      </c>
      <c r="J94" s="1323">
        <v>1.2799</v>
      </c>
      <c r="K94" s="1323">
        <v>1.2799</v>
      </c>
      <c r="L94" s="1323">
        <v>1.2799</v>
      </c>
      <c r="M94" s="1323">
        <v>1.2799</v>
      </c>
      <c r="N94" s="1323">
        <v>1.2799</v>
      </c>
    </row>
    <row r="95" spans="1:14">
      <c r="A95" s="1324"/>
      <c r="B95" s="1322">
        <v>3</v>
      </c>
      <c r="C95" s="1323">
        <v>1.1594</v>
      </c>
      <c r="D95" s="1323">
        <v>1.1594</v>
      </c>
      <c r="E95" s="1323">
        <v>1.0788</v>
      </c>
      <c r="F95" s="1323">
        <v>1.0788</v>
      </c>
      <c r="G95" s="1323">
        <v>1.0788</v>
      </c>
      <c r="H95" s="1323">
        <v>1.0788</v>
      </c>
      <c r="I95" s="1323">
        <v>1.0788</v>
      </c>
      <c r="J95" s="1323">
        <v>1.0072</v>
      </c>
      <c r="K95" s="1323">
        <v>1.0072</v>
      </c>
      <c r="L95" s="1323">
        <v>1.0072</v>
      </c>
      <c r="M95" s="1323">
        <v>1.0072</v>
      </c>
      <c r="N95" s="1323">
        <v>1.0072</v>
      </c>
    </row>
    <row r="96" spans="1:14">
      <c r="A96" s="1324"/>
      <c r="B96" s="1322">
        <v>4</v>
      </c>
      <c r="C96" s="1323">
        <v>0.9622</v>
      </c>
      <c r="D96" s="1323">
        <v>0.9622</v>
      </c>
      <c r="E96" s="1323">
        <v>0.8656</v>
      </c>
      <c r="F96" s="1323">
        <v>0.8656</v>
      </c>
      <c r="G96" s="1323">
        <v>0.8656</v>
      </c>
      <c r="H96" s="1323">
        <v>0.8656</v>
      </c>
      <c r="I96" s="1323">
        <v>0.8656</v>
      </c>
      <c r="J96" s="1323">
        <v>0.7525</v>
      </c>
      <c r="K96" s="1323">
        <v>0.7525</v>
      </c>
      <c r="L96" s="1323">
        <v>0.7525</v>
      </c>
      <c r="M96" s="1323">
        <v>0.7525</v>
      </c>
      <c r="N96" s="1323">
        <v>0.7525</v>
      </c>
    </row>
    <row r="97" spans="1:14">
      <c r="A97" s="1324"/>
      <c r="B97" s="1322">
        <v>5</v>
      </c>
      <c r="C97" s="1323">
        <v>0.8417</v>
      </c>
      <c r="D97" s="1323">
        <v>0.8417</v>
      </c>
      <c r="E97" s="1323">
        <v>0.7371</v>
      </c>
      <c r="F97" s="1323">
        <v>0.7371</v>
      </c>
      <c r="G97" s="1323">
        <v>0.7371</v>
      </c>
      <c r="H97" s="1323">
        <v>0.7371</v>
      </c>
      <c r="I97" s="1323">
        <v>0.7371</v>
      </c>
      <c r="J97" s="1323">
        <v>0.5659</v>
      </c>
      <c r="K97" s="1323">
        <v>0.5659</v>
      </c>
      <c r="L97" s="1323">
        <v>0.5659</v>
      </c>
      <c r="M97" s="1323">
        <v>0.5659</v>
      </c>
      <c r="N97" s="1323">
        <v>0.5659</v>
      </c>
    </row>
    <row r="98" spans="1:14">
      <c r="A98" s="1324"/>
      <c r="B98" s="1322">
        <v>6</v>
      </c>
      <c r="C98" s="1323">
        <v>0.7608</v>
      </c>
      <c r="D98" s="1323">
        <v>0.7608</v>
      </c>
      <c r="E98" s="1323">
        <v>0.6482</v>
      </c>
      <c r="F98" s="1323">
        <v>0.6482</v>
      </c>
      <c r="G98" s="1323">
        <v>0.6482</v>
      </c>
      <c r="H98" s="1323">
        <v>0.6482</v>
      </c>
      <c r="I98" s="1323">
        <v>0.6482</v>
      </c>
      <c r="J98" s="1323">
        <v>0.4525</v>
      </c>
      <c r="K98" s="1323">
        <v>0.4525</v>
      </c>
      <c r="L98" s="1323">
        <v>0.4525</v>
      </c>
      <c r="M98" s="1323">
        <v>0.4525</v>
      </c>
      <c r="N98" s="1323">
        <v>0.4525</v>
      </c>
    </row>
    <row r="99" spans="1:14">
      <c r="A99" s="1324"/>
      <c r="B99" s="1322" t="s">
        <v>1658</v>
      </c>
      <c r="C99" s="1325">
        <f>$I$3</f>
        <v>0</v>
      </c>
      <c r="D99" s="1325">
        <f t="shared" ref="D99:N99" si="30">$I$3</f>
        <v>0</v>
      </c>
      <c r="E99" s="1325">
        <f t="shared" si="30"/>
        <v>0</v>
      </c>
      <c r="F99" s="1325">
        <f t="shared" si="30"/>
        <v>0</v>
      </c>
      <c r="G99" s="1325">
        <f t="shared" si="30"/>
        <v>0</v>
      </c>
      <c r="H99" s="1325">
        <f t="shared" si="30"/>
        <v>0</v>
      </c>
      <c r="I99" s="1325">
        <f t="shared" si="30"/>
        <v>0</v>
      </c>
      <c r="J99" s="1325">
        <f t="shared" si="30"/>
        <v>0</v>
      </c>
      <c r="K99" s="1325">
        <f t="shared" si="30"/>
        <v>0</v>
      </c>
      <c r="L99" s="1325">
        <f t="shared" si="30"/>
        <v>0</v>
      </c>
      <c r="M99" s="1325">
        <f t="shared" si="30"/>
        <v>0</v>
      </c>
      <c r="N99" s="1325">
        <f t="shared" si="30"/>
        <v>0</v>
      </c>
    </row>
    <row r="100" spans="1:14">
      <c r="A100" s="1326"/>
      <c r="B100" s="1322">
        <v>7</v>
      </c>
      <c r="C100" s="1327">
        <f>(-0.163*(C99^2)-0.59*C99+7617)*(10^(-4))</f>
        <v>0.7617</v>
      </c>
      <c r="D100" s="1327">
        <f>(-0.163*(D99^2)-0.59*D99+7617)*(10^(-4))</f>
        <v>0.7617</v>
      </c>
      <c r="E100" s="1327">
        <f>(-0.161*(E99^2)-7.509*E99+6533)*(10^(-4))</f>
        <v>0.6533</v>
      </c>
      <c r="F100" s="1327">
        <f>(-0.161*(F99^2)-7.509*F99+6533)*(10^(-4))</f>
        <v>0.6533</v>
      </c>
      <c r="G100" s="1327">
        <f>(-0.161*(G99^2)-7.509*G99+6533)*(10^(-4))</f>
        <v>0.6533</v>
      </c>
      <c r="H100" s="1327">
        <f>(-0.161*(H99^2)-7.509*H99+6533)*(10^(-4))</f>
        <v>0.6533</v>
      </c>
      <c r="I100" s="1327">
        <f>(-0.161*(I99^2)-7.509*I99+6533)*(10^(-4))</f>
        <v>0.6533</v>
      </c>
      <c r="J100" s="1327">
        <f>(-0.214*(J99^2)-21.991*J99+4665)*(10^(-4))</f>
        <v>0.4665</v>
      </c>
      <c r="K100" s="1327">
        <f>(-0.214*(K99^2)-21.991*K99+4665)*(10^(-4))</f>
        <v>0.4665</v>
      </c>
      <c r="L100" s="1327">
        <f>(-0.214*(L99^2)-21.991*L99+4665)*(10^(-4))</f>
        <v>0.4665</v>
      </c>
      <c r="M100" s="1327">
        <f>(-0.214*(M99^2)-21.991*M99+4665)*(10^(-4))</f>
        <v>0.4665</v>
      </c>
      <c r="N100" s="1327">
        <f>(-0.214*(N99^2)-21.991*N99+4665)*(10^(-4))</f>
        <v>0.4665</v>
      </c>
    </row>
    <row r="101" spans="1:14">
      <c r="A101" s="1321" t="s">
        <v>1779</v>
      </c>
      <c r="B101" s="1328" t="s">
        <v>1780</v>
      </c>
      <c r="C101" s="1329">
        <f>$G$3</f>
        <v>0.28</v>
      </c>
      <c r="D101" s="1329">
        <f t="shared" ref="D101:N101" si="31">$G$3</f>
        <v>0.28</v>
      </c>
      <c r="E101" s="1329">
        <f t="shared" si="31"/>
        <v>0.28</v>
      </c>
      <c r="F101" s="1329">
        <f t="shared" si="31"/>
        <v>0.28</v>
      </c>
      <c r="G101" s="1329">
        <f t="shared" si="31"/>
        <v>0.28</v>
      </c>
      <c r="H101" s="1329">
        <f t="shared" si="31"/>
        <v>0.28</v>
      </c>
      <c r="I101" s="1329">
        <f t="shared" si="31"/>
        <v>0.28</v>
      </c>
      <c r="J101" s="1329">
        <f t="shared" si="31"/>
        <v>0.28</v>
      </c>
      <c r="K101" s="1329">
        <f t="shared" si="31"/>
        <v>0.28</v>
      </c>
      <c r="L101" s="1329">
        <f t="shared" si="31"/>
        <v>0.28</v>
      </c>
      <c r="M101" s="1329">
        <f t="shared" si="31"/>
        <v>0.28</v>
      </c>
      <c r="N101" s="1329">
        <f t="shared" si="31"/>
        <v>0.28</v>
      </c>
    </row>
    <row r="102" spans="1:14">
      <c r="A102" s="1324"/>
      <c r="B102" s="1322">
        <v>1</v>
      </c>
      <c r="C102" s="1323">
        <f>1.9362/C101</f>
        <v>6.915</v>
      </c>
      <c r="D102" s="1323">
        <f>1.9362/D101</f>
        <v>6.915</v>
      </c>
      <c r="E102" s="1323">
        <f>1.8629/E101</f>
        <v>6.65321428571429</v>
      </c>
      <c r="F102" s="1323">
        <f>1.8629/F101</f>
        <v>6.65321428571429</v>
      </c>
      <c r="G102" s="1323">
        <f>1.8629/G101</f>
        <v>6.65321428571429</v>
      </c>
      <c r="H102" s="1323">
        <f>1.8629/H101</f>
        <v>6.65321428571429</v>
      </c>
      <c r="I102" s="1323">
        <f>1.8629/I101</f>
        <v>6.65321428571429</v>
      </c>
      <c r="J102" s="1323">
        <f>1.942/J101</f>
        <v>6.93571428571429</v>
      </c>
      <c r="K102" s="1323">
        <f>1.942/K101</f>
        <v>6.93571428571429</v>
      </c>
      <c r="L102" s="1323">
        <f>1.942/L101</f>
        <v>6.93571428571429</v>
      </c>
      <c r="M102" s="1323">
        <f>1.942/M101</f>
        <v>6.93571428571429</v>
      </c>
      <c r="N102" s="1323">
        <f>1.942/N101</f>
        <v>6.93571428571429</v>
      </c>
    </row>
    <row r="103" spans="1:14">
      <c r="A103" s="1324"/>
      <c r="B103" s="1322">
        <v>2</v>
      </c>
      <c r="C103" s="1323">
        <f>1.4198/C101</f>
        <v>5.07071428571428</v>
      </c>
      <c r="D103" s="1323">
        <f>1.4198/D101</f>
        <v>5.07071428571428</v>
      </c>
      <c r="E103" s="1323">
        <f>1.3372/E101</f>
        <v>4.77571428571428</v>
      </c>
      <c r="F103" s="1323">
        <f>1.3372/F101</f>
        <v>4.77571428571428</v>
      </c>
      <c r="G103" s="1323">
        <f>1.3372/G101</f>
        <v>4.77571428571428</v>
      </c>
      <c r="H103" s="1323">
        <f>1.3372/H101</f>
        <v>4.77571428571428</v>
      </c>
      <c r="I103" s="1323">
        <f>1.3372/I101</f>
        <v>4.77571428571428</v>
      </c>
      <c r="J103" s="1323">
        <f>1.2799/J101</f>
        <v>4.57107142857143</v>
      </c>
      <c r="K103" s="1323">
        <f>1.2799/K101</f>
        <v>4.57107142857143</v>
      </c>
      <c r="L103" s="1323">
        <f>1.2799/L101</f>
        <v>4.57107142857143</v>
      </c>
      <c r="M103" s="1323">
        <f>1.2799/M101</f>
        <v>4.57107142857143</v>
      </c>
      <c r="N103" s="1323">
        <f>1.2799/N101</f>
        <v>4.57107142857143</v>
      </c>
    </row>
    <row r="104" spans="1:14">
      <c r="A104" s="1324"/>
      <c r="B104" s="1322">
        <v>3</v>
      </c>
      <c r="C104" s="1323">
        <f>1.1594/C101</f>
        <v>4.14071428571429</v>
      </c>
      <c r="D104" s="1323">
        <f>1.1594/D101</f>
        <v>4.14071428571429</v>
      </c>
      <c r="E104" s="1323">
        <f>1.0788/E101</f>
        <v>3.85285714285714</v>
      </c>
      <c r="F104" s="1323">
        <f>1.0788/F101</f>
        <v>3.85285714285714</v>
      </c>
      <c r="G104" s="1323">
        <f>1.0788/G101</f>
        <v>3.85285714285714</v>
      </c>
      <c r="H104" s="1323">
        <f>1.0788/H101</f>
        <v>3.85285714285714</v>
      </c>
      <c r="I104" s="1323">
        <f>1.0788/I101</f>
        <v>3.85285714285714</v>
      </c>
      <c r="J104" s="1323">
        <f>1.0072/J101</f>
        <v>3.59714285714286</v>
      </c>
      <c r="K104" s="1323">
        <f>1.0072/K101</f>
        <v>3.59714285714286</v>
      </c>
      <c r="L104" s="1323">
        <f>1.0072/L101</f>
        <v>3.59714285714286</v>
      </c>
      <c r="M104" s="1323">
        <f>1.0072/M101</f>
        <v>3.59714285714286</v>
      </c>
      <c r="N104" s="1323">
        <f>1.0072/N101</f>
        <v>3.59714285714286</v>
      </c>
    </row>
    <row r="105" spans="1:14">
      <c r="A105" s="1324"/>
      <c r="B105" s="1322">
        <v>4</v>
      </c>
      <c r="C105" s="1323">
        <f>0.9622/C101</f>
        <v>3.43642857142857</v>
      </c>
      <c r="D105" s="1323">
        <f>0.9622/D101</f>
        <v>3.43642857142857</v>
      </c>
      <c r="E105" s="1323">
        <f>0.8656/E101</f>
        <v>3.09142857142857</v>
      </c>
      <c r="F105" s="1323">
        <f>0.8656/F101</f>
        <v>3.09142857142857</v>
      </c>
      <c r="G105" s="1323">
        <f>0.8656/G101</f>
        <v>3.09142857142857</v>
      </c>
      <c r="H105" s="1323">
        <f>0.8656/H101</f>
        <v>3.09142857142857</v>
      </c>
      <c r="I105" s="1323">
        <f>0.8656/I101</f>
        <v>3.09142857142857</v>
      </c>
      <c r="J105" s="1323">
        <f>0.7525/J101</f>
        <v>2.6875</v>
      </c>
      <c r="K105" s="1323">
        <f>0.7525/K101</f>
        <v>2.6875</v>
      </c>
      <c r="L105" s="1323">
        <f>0.7525/L101</f>
        <v>2.6875</v>
      </c>
      <c r="M105" s="1323">
        <f>0.7525/M101</f>
        <v>2.6875</v>
      </c>
      <c r="N105" s="1323">
        <f>0.7525/N101</f>
        <v>2.6875</v>
      </c>
    </row>
    <row r="106" spans="1:14">
      <c r="A106" s="1324"/>
      <c r="B106" s="1322">
        <v>5</v>
      </c>
      <c r="C106" s="1323">
        <f>0.8417/C101</f>
        <v>3.00607142857143</v>
      </c>
      <c r="D106" s="1323">
        <f>0.8417/D101</f>
        <v>3.00607142857143</v>
      </c>
      <c r="E106" s="1323">
        <f>0.7371/E101</f>
        <v>2.6325</v>
      </c>
      <c r="F106" s="1323">
        <f>0.7371/F101</f>
        <v>2.6325</v>
      </c>
      <c r="G106" s="1323">
        <f>0.7371/G101</f>
        <v>2.6325</v>
      </c>
      <c r="H106" s="1323">
        <f>0.7371/H101</f>
        <v>2.6325</v>
      </c>
      <c r="I106" s="1323">
        <f>0.7371/I101</f>
        <v>2.6325</v>
      </c>
      <c r="J106" s="1323">
        <f>0.5659/J101</f>
        <v>2.02107142857143</v>
      </c>
      <c r="K106" s="1323">
        <f>0.5659/K101</f>
        <v>2.02107142857143</v>
      </c>
      <c r="L106" s="1323">
        <f>0.5659/L101</f>
        <v>2.02107142857143</v>
      </c>
      <c r="M106" s="1323">
        <f>0.5659/M101</f>
        <v>2.02107142857143</v>
      </c>
      <c r="N106" s="1323">
        <f>0.5659/N101</f>
        <v>2.02107142857143</v>
      </c>
    </row>
    <row r="107" spans="1:14">
      <c r="A107" s="1324"/>
      <c r="B107" s="1322">
        <v>6</v>
      </c>
      <c r="C107" s="1323">
        <f>0.7608/C101</f>
        <v>2.71714285714286</v>
      </c>
      <c r="D107" s="1323">
        <f>0.7608/D101</f>
        <v>2.71714285714286</v>
      </c>
      <c r="E107" s="1323">
        <f>0.6482/E101</f>
        <v>2.315</v>
      </c>
      <c r="F107" s="1323">
        <f>0.6482/F101</f>
        <v>2.315</v>
      </c>
      <c r="G107" s="1323">
        <f>0.6482/G101</f>
        <v>2.315</v>
      </c>
      <c r="H107" s="1323">
        <f>0.6482/H101</f>
        <v>2.315</v>
      </c>
      <c r="I107" s="1323">
        <f>0.6482/I101</f>
        <v>2.315</v>
      </c>
      <c r="J107" s="1323">
        <f>0.4525/J101</f>
        <v>1.61607142857143</v>
      </c>
      <c r="K107" s="1323">
        <f>0.4525/K101</f>
        <v>1.61607142857143</v>
      </c>
      <c r="L107" s="1323">
        <f>0.4525/L101</f>
        <v>1.61607142857143</v>
      </c>
      <c r="M107" s="1323">
        <f>0.4525/M101</f>
        <v>1.61607142857143</v>
      </c>
      <c r="N107" s="1323">
        <f>0.4525/N101</f>
        <v>1.61607142857143</v>
      </c>
    </row>
    <row r="108" spans="1:14">
      <c r="A108" s="1324"/>
      <c r="B108" s="1330" t="s">
        <v>1671</v>
      </c>
      <c r="C108" s="1325">
        <f>C99</f>
        <v>0</v>
      </c>
      <c r="D108" s="1325">
        <f t="shared" ref="D108:N108" si="32">D99</f>
        <v>0</v>
      </c>
      <c r="E108" s="1325">
        <f t="shared" si="32"/>
        <v>0</v>
      </c>
      <c r="F108" s="1325">
        <f t="shared" si="32"/>
        <v>0</v>
      </c>
      <c r="G108" s="1325">
        <f t="shared" si="32"/>
        <v>0</v>
      </c>
      <c r="H108" s="1325">
        <f t="shared" si="32"/>
        <v>0</v>
      </c>
      <c r="I108" s="1325">
        <f t="shared" si="32"/>
        <v>0</v>
      </c>
      <c r="J108" s="1325">
        <f t="shared" si="32"/>
        <v>0</v>
      </c>
      <c r="K108" s="1325">
        <f t="shared" si="32"/>
        <v>0</v>
      </c>
      <c r="L108" s="1325">
        <f t="shared" si="32"/>
        <v>0</v>
      </c>
      <c r="M108" s="1325">
        <f t="shared" si="32"/>
        <v>0</v>
      </c>
      <c r="N108" s="1325">
        <f t="shared" si="32"/>
        <v>0</v>
      </c>
    </row>
    <row r="109" spans="1:14">
      <c r="A109" s="1326"/>
      <c r="B109" s="1077"/>
      <c r="C109" s="1327">
        <f>(-0.163*(C108^2)-0.59*C108+7617)*(10^(-4))/C101</f>
        <v>2.72035714285714</v>
      </c>
      <c r="D109" s="1327">
        <f>(-0.163*(D108^2)-0.59*D108+7617)*(10^(-4))/D101</f>
        <v>2.72035714285714</v>
      </c>
      <c r="E109" s="1327">
        <f>(-0.161*(E108^2)-7.509*E108+6533)*(10^(-4))/E101</f>
        <v>2.33321428571429</v>
      </c>
      <c r="F109" s="1327">
        <f>(-0.161*(F108^2)-7.509*F108+6533)*(10^(-4))/F101</f>
        <v>2.33321428571429</v>
      </c>
      <c r="G109" s="1327">
        <f>(-0.161*(G108^2)-7.509*G108+6533)*(10^(-4))/G101</f>
        <v>2.33321428571429</v>
      </c>
      <c r="H109" s="1327">
        <f>(-0.161*(H108^2)-7.509*H108+6533)*(10^(-4))/H101</f>
        <v>2.33321428571429</v>
      </c>
      <c r="I109" s="1327">
        <f>(-0.161*(I108^2)-7.509*I108+6533)*(10^(-4))/I101</f>
        <v>2.33321428571429</v>
      </c>
      <c r="J109" s="1327">
        <f>(-0.214*(J108^2)-21.991*J108+4665)*(10^(-4))/J101</f>
        <v>1.66607142857143</v>
      </c>
      <c r="K109" s="1327">
        <f>(-0.214*(K108^2)-21.991*K108+4665)*(10^(-4))/K101</f>
        <v>1.66607142857143</v>
      </c>
      <c r="L109" s="1327">
        <f>(-0.214*(L108^2)-21.991*L108+4665)*(10^(-4))/L101</f>
        <v>1.66607142857143</v>
      </c>
      <c r="M109" s="1327">
        <f>(-0.214*(M108^2)-21.991*M108+4665)*(10^(-4))/M101</f>
        <v>1.66607142857143</v>
      </c>
      <c r="N109" s="1327">
        <f>(-0.214*(N108^2)-21.991*N108+4665)*(10^(-4))/N101</f>
        <v>1.66607142857143</v>
      </c>
    </row>
    <row r="110" spans="1:14">
      <c r="A110" s="1331" t="s">
        <v>1781</v>
      </c>
      <c r="B110" s="1331"/>
      <c r="C110" s="1331"/>
      <c r="D110" s="1331"/>
      <c r="E110" s="1331"/>
      <c r="F110" s="1331"/>
      <c r="G110" s="1331"/>
      <c r="H110" s="1331"/>
      <c r="I110" s="1331"/>
      <c r="J110" s="1331"/>
      <c r="K110" s="1331"/>
      <c r="L110" s="1331"/>
      <c r="M110" s="1331"/>
      <c r="N110" s="1331"/>
    </row>
    <row r="112" ht="13.95"/>
    <row r="113" ht="25.95" spans="1:13">
      <c r="A113" s="1332" t="s">
        <v>1782</v>
      </c>
      <c r="B113" s="1333">
        <f>G3</f>
        <v>0.28</v>
      </c>
      <c r="C113" s="1334" t="s">
        <v>1783</v>
      </c>
      <c r="D113" s="1335">
        <f>SUMPRODUCT((A115:A118=F113)*(B114:M114=H113)*B115:M118)</f>
        <v>0</v>
      </c>
      <c r="E113" s="1032" t="s">
        <v>1616</v>
      </c>
      <c r="F113" s="1336">
        <f>E2</f>
        <v>0</v>
      </c>
      <c r="G113" s="1032" t="s">
        <v>1617</v>
      </c>
      <c r="H113" s="1336" t="str">
        <f>G2</f>
        <v>六级</v>
      </c>
      <c r="I113" s="1032"/>
      <c r="J113" s="1347"/>
      <c r="K113" s="1347"/>
      <c r="L113" s="1347"/>
      <c r="M113" s="1347"/>
    </row>
    <row r="114" spans="1:13">
      <c r="A114" s="1337"/>
      <c r="B114" s="1338" t="s">
        <v>1784</v>
      </c>
      <c r="C114" s="1338" t="s">
        <v>1785</v>
      </c>
      <c r="D114" s="1338" t="s">
        <v>1786</v>
      </c>
      <c r="E114" s="1339" t="s">
        <v>1787</v>
      </c>
      <c r="F114" s="1339" t="s">
        <v>1788</v>
      </c>
      <c r="G114" s="1339" t="s">
        <v>1789</v>
      </c>
      <c r="H114" s="1340" t="s">
        <v>1790</v>
      </c>
      <c r="I114" s="1340" t="s">
        <v>1791</v>
      </c>
      <c r="J114" s="1348" t="s">
        <v>1792</v>
      </c>
      <c r="K114" s="1348" t="s">
        <v>1793</v>
      </c>
      <c r="L114" s="1348" t="s">
        <v>1794</v>
      </c>
      <c r="M114" s="1349" t="s">
        <v>1795</v>
      </c>
    </row>
    <row r="115" spans="1:13">
      <c r="A115" s="1341" t="s">
        <v>1715</v>
      </c>
      <c r="B115" s="1342">
        <f>ROUND(0.9335-0.0094*B113,4)</f>
        <v>0.9309</v>
      </c>
      <c r="C115" s="1342">
        <f>B115</f>
        <v>0.9309</v>
      </c>
      <c r="D115" s="1342">
        <f>ROUND(0.8331-0.0109*B113,4)</f>
        <v>0.83</v>
      </c>
      <c r="E115" s="1342">
        <f>D115</f>
        <v>0.83</v>
      </c>
      <c r="F115" s="1342">
        <f>E115</f>
        <v>0.83</v>
      </c>
      <c r="G115" s="1342">
        <f>F115</f>
        <v>0.83</v>
      </c>
      <c r="H115" s="1342">
        <f>G115</f>
        <v>0.83</v>
      </c>
      <c r="I115" s="1342">
        <f>ROUND(0.689-0.0155*B113,4)</f>
        <v>0.6847</v>
      </c>
      <c r="J115" s="1342">
        <f t="shared" ref="J115:M118" si="33">I115</f>
        <v>0.6847</v>
      </c>
      <c r="K115" s="1342">
        <f t="shared" si="33"/>
        <v>0.6847</v>
      </c>
      <c r="L115" s="1342">
        <f t="shared" si="33"/>
        <v>0.6847</v>
      </c>
      <c r="M115" s="1350">
        <f t="shared" si="33"/>
        <v>0.6847</v>
      </c>
    </row>
    <row r="116" spans="1:13">
      <c r="A116" s="1341" t="s">
        <v>1716</v>
      </c>
      <c r="B116" s="1342">
        <f>ROUND(0.949-0.012*B113,4)</f>
        <v>0.9456</v>
      </c>
      <c r="C116" s="1342">
        <f>B116</f>
        <v>0.9456</v>
      </c>
      <c r="D116" s="1342">
        <f>ROUND(0.8567-0.013*B113,4)</f>
        <v>0.8531</v>
      </c>
      <c r="E116" s="1342">
        <f t="shared" ref="E116:H117" si="34">D116</f>
        <v>0.8531</v>
      </c>
      <c r="F116" s="1342">
        <f t="shared" si="34"/>
        <v>0.8531</v>
      </c>
      <c r="G116" s="1342">
        <f t="shared" si="34"/>
        <v>0.8531</v>
      </c>
      <c r="H116" s="1342">
        <f t="shared" si="34"/>
        <v>0.8531</v>
      </c>
      <c r="I116" s="1342">
        <f>ROUND(0.7694-0.014*B113,4)</f>
        <v>0.7655</v>
      </c>
      <c r="J116" s="1342">
        <f t="shared" si="33"/>
        <v>0.7655</v>
      </c>
      <c r="K116" s="1342">
        <f t="shared" si="33"/>
        <v>0.7655</v>
      </c>
      <c r="L116" s="1342">
        <f t="shared" si="33"/>
        <v>0.7655</v>
      </c>
      <c r="M116" s="1350">
        <f t="shared" si="33"/>
        <v>0.7655</v>
      </c>
    </row>
    <row r="117" spans="1:13">
      <c r="A117" s="1341" t="s">
        <v>1717</v>
      </c>
      <c r="B117" s="1342">
        <f>ROUND(0.8808-0.006*B113,4)</f>
        <v>0.8791</v>
      </c>
      <c r="C117" s="1342">
        <f>B117</f>
        <v>0.8791</v>
      </c>
      <c r="D117" s="1342">
        <f>ROUND(0.8748-0.008*B113,4)</f>
        <v>0.8726</v>
      </c>
      <c r="E117" s="1342">
        <f t="shared" si="34"/>
        <v>0.8726</v>
      </c>
      <c r="F117" s="1342">
        <f t="shared" si="34"/>
        <v>0.8726</v>
      </c>
      <c r="G117" s="1342">
        <f t="shared" si="34"/>
        <v>0.8726</v>
      </c>
      <c r="H117" s="1342">
        <f t="shared" si="34"/>
        <v>0.8726</v>
      </c>
      <c r="I117" s="1342">
        <f>ROUND(0.7412-0.0095*B113,4)</f>
        <v>0.7385</v>
      </c>
      <c r="J117" s="1342">
        <f t="shared" si="33"/>
        <v>0.7385</v>
      </c>
      <c r="K117" s="1342">
        <f t="shared" si="33"/>
        <v>0.7385</v>
      </c>
      <c r="L117" s="1342">
        <f t="shared" si="33"/>
        <v>0.7385</v>
      </c>
      <c r="M117" s="1350">
        <f t="shared" si="33"/>
        <v>0.7385</v>
      </c>
    </row>
    <row r="118" ht="13.95" spans="1:13">
      <c r="A118" s="1343" t="s">
        <v>1718</v>
      </c>
      <c r="B118" s="1344">
        <f>ROUND(0.7275-0.01*B113,4)</f>
        <v>0.7247</v>
      </c>
      <c r="C118" s="1344">
        <f>B118</f>
        <v>0.7247</v>
      </c>
      <c r="D118" s="1344">
        <f>ROUND(0.7043-0.012*B113,4)</f>
        <v>0.7009</v>
      </c>
      <c r="E118" s="1344">
        <f>D118</f>
        <v>0.7009</v>
      </c>
      <c r="F118" s="1344">
        <f>E118</f>
        <v>0.7009</v>
      </c>
      <c r="G118" s="1344">
        <f>ROUND(0.6299-0.0122*B113,4)</f>
        <v>0.6265</v>
      </c>
      <c r="H118" s="1344">
        <f>G118</f>
        <v>0.6265</v>
      </c>
      <c r="I118" s="1344">
        <f>ROUND(0.5667-0.0136*B113,4)</f>
        <v>0.5629</v>
      </c>
      <c r="J118" s="1344">
        <f t="shared" si="33"/>
        <v>0.5629</v>
      </c>
      <c r="K118" s="1344">
        <f t="shared" si="33"/>
        <v>0.5629</v>
      </c>
      <c r="L118" s="1344">
        <f t="shared" si="33"/>
        <v>0.5629</v>
      </c>
      <c r="M118" s="1351">
        <f t="shared" si="33"/>
        <v>0.5629</v>
      </c>
    </row>
  </sheetData>
  <sheetProtection password="CEE9" sheet="1" formatCells="0" formatColumns="0" formatRows="0" objects="1" scenarios="1"/>
  <mergeCells count="18">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J33:J36"/>
    <mergeCell ref="W9:W10"/>
    <mergeCell ref="W11:W13"/>
  </mergeCells>
  <conditionalFormatting sqref="F48">
    <cfRule type="cellIs" dxfId="14" priority="5" stopIfTrue="1" operator="notEqual">
      <formula>"——"</formula>
    </cfRule>
  </conditionalFormatting>
  <conditionalFormatting sqref="F59">
    <cfRule type="cellIs" dxfId="14" priority="4" stopIfTrue="1" operator="notEqual">
      <formula>"——"</formula>
    </cfRule>
  </conditionalFormatting>
  <conditionalFormatting sqref="F70">
    <cfRule type="cellIs" dxfId="14" priority="3" stopIfTrue="1" operator="notEqual">
      <formula>"——"</formula>
    </cfRule>
  </conditionalFormatting>
  <conditionalFormatting sqref="F81">
    <cfRule type="cellIs" dxfId="14" priority="2" stopIfTrue="1" operator="notEqual">
      <formula>"——"</formula>
    </cfRule>
  </conditionalFormatting>
  <conditionalFormatting sqref="H48:H56 H59:H67 H70:H78 H81:H88">
    <cfRule type="cellIs" dxfId="2"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E3">
      <formula1>二级分类</formula1>
    </dataValidation>
    <dataValidation type="list" allowBlank="1" showInputMessage="1" showErrorMessage="1" sqref="C14:E14">
      <formula1>"有,无"</formula1>
    </dataValidation>
    <dataValidation type="list" allowBlank="1" showInputMessage="1" showErrorMessage="1" sqref="F3">
      <formula1>"宗地容积率,估价对象容积率,自定义容积率"</formula1>
    </dataValidation>
    <dataValidation type="list" allowBlank="1" showInputMessage="1" showErrorMessage="1" sqref="H16:O16">
      <formula1>七通一平</formula1>
    </dataValidation>
    <dataValidation type="list" allowBlank="1" showInputMessage="1" showErrorMessage="1" sqref="C8">
      <formula1>商业街名称</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14.3333333333333" defaultRowHeight="19.5" customHeight="1"/>
  <cols>
    <col min="1" max="1" width="14.3333333333333" style="943"/>
    <col min="2" max="9" width="14.3333333333333" style="942"/>
    <col min="10" max="16384" width="14.3333333333333" style="943"/>
  </cols>
  <sheetData>
    <row r="1" customHeight="1" spans="1:13">
      <c r="A1" s="944" t="s">
        <v>208</v>
      </c>
      <c r="B1" s="547" t="s">
        <v>230</v>
      </c>
      <c r="C1" s="547" t="s">
        <v>241</v>
      </c>
      <c r="D1" s="547" t="s">
        <v>251</v>
      </c>
      <c r="E1" s="547" t="s">
        <v>259</v>
      </c>
      <c r="F1" s="547" t="s">
        <v>267</v>
      </c>
      <c r="G1" s="547" t="s">
        <v>273</v>
      </c>
      <c r="H1" s="547" t="s">
        <v>278</v>
      </c>
      <c r="I1" s="547" t="s">
        <v>283</v>
      </c>
      <c r="J1" s="547" t="s">
        <v>286</v>
      </c>
      <c r="K1" s="547" t="s">
        <v>289</v>
      </c>
      <c r="L1" s="547" t="s">
        <v>292</v>
      </c>
      <c r="M1" s="548" t="s">
        <v>295</v>
      </c>
    </row>
    <row r="2" customHeight="1" spans="1:13">
      <c r="A2" s="945" t="s">
        <v>1796</v>
      </c>
      <c r="B2" s="946">
        <v>3.5</v>
      </c>
      <c r="C2" s="946">
        <v>3.5</v>
      </c>
      <c r="D2" s="947">
        <v>2.5</v>
      </c>
      <c r="E2" s="947">
        <v>2.5</v>
      </c>
      <c r="F2" s="947">
        <v>2.5</v>
      </c>
      <c r="G2" s="947">
        <v>2.5</v>
      </c>
      <c r="H2" s="947">
        <v>2.5</v>
      </c>
      <c r="I2" s="946">
        <v>2</v>
      </c>
      <c r="J2" s="946">
        <v>2</v>
      </c>
      <c r="K2" s="946">
        <v>2</v>
      </c>
      <c r="L2" s="946">
        <v>2</v>
      </c>
      <c r="M2" s="1006">
        <v>2</v>
      </c>
    </row>
    <row r="3" customHeight="1" spans="1:13">
      <c r="A3" s="948" t="s">
        <v>1797</v>
      </c>
      <c r="B3" s="949">
        <v>3.5</v>
      </c>
      <c r="C3" s="949">
        <v>3.5</v>
      </c>
      <c r="D3" s="950">
        <v>2.5</v>
      </c>
      <c r="E3" s="950">
        <v>2.5</v>
      </c>
      <c r="F3" s="950">
        <v>2.5</v>
      </c>
      <c r="G3" s="950">
        <v>2.5</v>
      </c>
      <c r="H3" s="950">
        <v>2.5</v>
      </c>
      <c r="I3" s="949">
        <v>2</v>
      </c>
      <c r="J3" s="949">
        <v>2</v>
      </c>
      <c r="K3" s="949">
        <v>2</v>
      </c>
      <c r="L3" s="949">
        <v>2</v>
      </c>
      <c r="M3" s="1007">
        <v>2</v>
      </c>
    </row>
    <row r="4" customHeight="1" spans="1:13">
      <c r="A4" s="948" t="s">
        <v>1798</v>
      </c>
      <c r="B4" s="950">
        <v>2.5</v>
      </c>
      <c r="C4" s="950">
        <v>2.5</v>
      </c>
      <c r="D4" s="950">
        <v>2.5</v>
      </c>
      <c r="E4" s="950">
        <v>2.5</v>
      </c>
      <c r="F4" s="950">
        <v>2.5</v>
      </c>
      <c r="G4" s="950">
        <v>2.5</v>
      </c>
      <c r="H4" s="950">
        <v>2.5</v>
      </c>
      <c r="I4" s="949">
        <v>1.5</v>
      </c>
      <c r="J4" s="949">
        <v>1.5</v>
      </c>
      <c r="K4" s="949">
        <v>1.5</v>
      </c>
      <c r="L4" s="949">
        <v>1.5</v>
      </c>
      <c r="M4" s="1007">
        <v>1.5</v>
      </c>
    </row>
    <row r="5" customHeight="1" spans="1:13">
      <c r="A5" s="951" t="s">
        <v>454</v>
      </c>
      <c r="B5" s="949">
        <v>1.5</v>
      </c>
      <c r="C5" s="949">
        <v>1.5</v>
      </c>
      <c r="D5" s="949">
        <v>1.5</v>
      </c>
      <c r="E5" s="949">
        <v>1.5</v>
      </c>
      <c r="F5" s="949">
        <v>1.5</v>
      </c>
      <c r="G5" s="949">
        <v>1.2</v>
      </c>
      <c r="H5" s="949">
        <v>1.2</v>
      </c>
      <c r="I5" s="949">
        <v>1</v>
      </c>
      <c r="J5" s="949">
        <v>1</v>
      </c>
      <c r="K5" s="949">
        <v>1</v>
      </c>
      <c r="L5" s="949">
        <v>1</v>
      </c>
      <c r="M5" s="1007">
        <v>1</v>
      </c>
    </row>
    <row r="6" customHeight="1" spans="1:13">
      <c r="A6" s="952" t="s">
        <v>1799</v>
      </c>
      <c r="B6" s="953">
        <v>2.5</v>
      </c>
      <c r="C6" s="953">
        <v>2.5</v>
      </c>
      <c r="D6" s="953">
        <v>2</v>
      </c>
      <c r="E6" s="953">
        <v>2</v>
      </c>
      <c r="F6" s="953">
        <v>2</v>
      </c>
      <c r="G6" s="953">
        <v>2</v>
      </c>
      <c r="H6" s="953">
        <v>2</v>
      </c>
      <c r="I6" s="1008">
        <v>1.5</v>
      </c>
      <c r="J6" s="1008">
        <v>1.5</v>
      </c>
      <c r="K6" s="1008">
        <v>1.5</v>
      </c>
      <c r="L6" s="1008">
        <v>1.5</v>
      </c>
      <c r="M6" s="1009">
        <v>1.5</v>
      </c>
    </row>
    <row r="7" customHeight="1" spans="1:13">
      <c r="A7" s="954" t="s">
        <v>1800</v>
      </c>
      <c r="B7" s="955">
        <v>2.5</v>
      </c>
      <c r="C7" s="955">
        <v>2.5</v>
      </c>
      <c r="D7" s="955">
        <v>2</v>
      </c>
      <c r="E7" s="955">
        <v>2</v>
      </c>
      <c r="F7" s="955">
        <v>2</v>
      </c>
      <c r="G7" s="955">
        <v>2</v>
      </c>
      <c r="H7" s="955">
        <v>2</v>
      </c>
      <c r="I7" s="1010">
        <v>1.5</v>
      </c>
      <c r="J7" s="1010">
        <v>1.5</v>
      </c>
      <c r="K7" s="1010">
        <v>1.5</v>
      </c>
      <c r="L7" s="1010">
        <v>1.5</v>
      </c>
      <c r="M7" s="1011">
        <v>1.5</v>
      </c>
    </row>
    <row r="8" customHeight="1" spans="1:13">
      <c r="A8" s="956" t="s">
        <v>1801</v>
      </c>
      <c r="B8" s="957">
        <v>80</v>
      </c>
      <c r="C8" s="957">
        <v>80</v>
      </c>
      <c r="D8" s="957">
        <v>70</v>
      </c>
      <c r="E8" s="957">
        <v>70</v>
      </c>
      <c r="F8" s="957">
        <v>70</v>
      </c>
      <c r="G8" s="957">
        <v>70</v>
      </c>
      <c r="H8" s="957">
        <v>70</v>
      </c>
      <c r="I8" s="957">
        <v>60</v>
      </c>
      <c r="J8" s="957">
        <v>60</v>
      </c>
      <c r="K8" s="957">
        <v>60</v>
      </c>
      <c r="L8" s="957">
        <v>60</v>
      </c>
      <c r="M8" s="1012">
        <v>60</v>
      </c>
    </row>
    <row r="9" customHeight="1" spans="1:13">
      <c r="A9" s="958" t="s">
        <v>1802</v>
      </c>
      <c r="B9" s="959">
        <v>70</v>
      </c>
      <c r="C9" s="959">
        <v>70</v>
      </c>
      <c r="D9" s="959">
        <v>60</v>
      </c>
      <c r="E9" s="959">
        <v>60</v>
      </c>
      <c r="F9" s="959">
        <v>60</v>
      </c>
      <c r="G9" s="959">
        <v>60</v>
      </c>
      <c r="H9" s="959">
        <v>60</v>
      </c>
      <c r="I9" s="959">
        <v>50</v>
      </c>
      <c r="J9" s="959">
        <v>50</v>
      </c>
      <c r="K9" s="959">
        <v>50</v>
      </c>
      <c r="L9" s="959">
        <v>50</v>
      </c>
      <c r="M9" s="1013">
        <v>50</v>
      </c>
    </row>
    <row r="10" customHeight="1" spans="1:13">
      <c r="A10" s="958" t="s">
        <v>1803</v>
      </c>
      <c r="B10" s="959">
        <v>20</v>
      </c>
      <c r="C10" s="959">
        <v>20</v>
      </c>
      <c r="D10" s="959">
        <v>15</v>
      </c>
      <c r="E10" s="959">
        <v>15</v>
      </c>
      <c r="F10" s="959">
        <v>15</v>
      </c>
      <c r="G10" s="959">
        <v>15</v>
      </c>
      <c r="H10" s="959">
        <v>15</v>
      </c>
      <c r="I10" s="959">
        <v>10</v>
      </c>
      <c r="J10" s="959">
        <v>10</v>
      </c>
      <c r="K10" s="959">
        <v>10</v>
      </c>
      <c r="L10" s="959">
        <v>10</v>
      </c>
      <c r="M10" s="1013">
        <v>10</v>
      </c>
    </row>
    <row r="11" customHeight="1" spans="1:13">
      <c r="A11" s="958" t="s">
        <v>1804</v>
      </c>
      <c r="B11" s="959">
        <v>30</v>
      </c>
      <c r="C11" s="959">
        <v>30</v>
      </c>
      <c r="D11" s="959">
        <v>25</v>
      </c>
      <c r="E11" s="959">
        <v>25</v>
      </c>
      <c r="F11" s="959">
        <v>25</v>
      </c>
      <c r="G11" s="959">
        <v>25</v>
      </c>
      <c r="H11" s="959">
        <v>25</v>
      </c>
      <c r="I11" s="959">
        <v>20</v>
      </c>
      <c r="J11" s="959">
        <v>20</v>
      </c>
      <c r="K11" s="959">
        <v>20</v>
      </c>
      <c r="L11" s="959">
        <v>20</v>
      </c>
      <c r="M11" s="1013">
        <v>20</v>
      </c>
    </row>
    <row r="12" customHeight="1" spans="1:13">
      <c r="A12" s="958" t="s">
        <v>1805</v>
      </c>
      <c r="B12" s="959">
        <v>45</v>
      </c>
      <c r="C12" s="959">
        <v>45</v>
      </c>
      <c r="D12" s="959">
        <v>40</v>
      </c>
      <c r="E12" s="959">
        <v>40</v>
      </c>
      <c r="F12" s="959">
        <v>40</v>
      </c>
      <c r="G12" s="959">
        <v>40</v>
      </c>
      <c r="H12" s="959">
        <v>40</v>
      </c>
      <c r="I12" s="959">
        <v>35</v>
      </c>
      <c r="J12" s="959">
        <v>35</v>
      </c>
      <c r="K12" s="959">
        <v>35</v>
      </c>
      <c r="L12" s="959">
        <v>35</v>
      </c>
      <c r="M12" s="1013">
        <v>35</v>
      </c>
    </row>
    <row r="13" customHeight="1" spans="1:13">
      <c r="A13" s="958" t="s">
        <v>1806</v>
      </c>
      <c r="B13" s="959">
        <v>60</v>
      </c>
      <c r="C13" s="959">
        <v>60</v>
      </c>
      <c r="D13" s="959">
        <v>50</v>
      </c>
      <c r="E13" s="959">
        <v>50</v>
      </c>
      <c r="F13" s="959">
        <v>50</v>
      </c>
      <c r="G13" s="959">
        <v>50</v>
      </c>
      <c r="H13" s="959">
        <v>50</v>
      </c>
      <c r="I13" s="959">
        <v>40</v>
      </c>
      <c r="J13" s="959">
        <v>40</v>
      </c>
      <c r="K13" s="959">
        <v>40</v>
      </c>
      <c r="L13" s="959">
        <v>40</v>
      </c>
      <c r="M13" s="1013">
        <v>40</v>
      </c>
    </row>
    <row r="14" customHeight="1" spans="1:13">
      <c r="A14" s="958" t="s">
        <v>1807</v>
      </c>
      <c r="B14" s="959">
        <v>50</v>
      </c>
      <c r="C14" s="959">
        <v>50</v>
      </c>
      <c r="D14" s="959">
        <v>40</v>
      </c>
      <c r="E14" s="959">
        <v>40</v>
      </c>
      <c r="F14" s="959">
        <v>40</v>
      </c>
      <c r="G14" s="959">
        <v>40</v>
      </c>
      <c r="H14" s="959">
        <v>40</v>
      </c>
      <c r="I14" s="959">
        <v>30</v>
      </c>
      <c r="J14" s="959">
        <v>30</v>
      </c>
      <c r="K14" s="959">
        <v>30</v>
      </c>
      <c r="L14" s="959">
        <v>30</v>
      </c>
      <c r="M14" s="1013">
        <v>30</v>
      </c>
    </row>
    <row r="15" customHeight="1" spans="1:13">
      <c r="A15" s="960" t="s">
        <v>1808</v>
      </c>
      <c r="B15" s="961">
        <v>20</v>
      </c>
      <c r="C15" s="961">
        <v>20</v>
      </c>
      <c r="D15" s="961">
        <v>15</v>
      </c>
      <c r="E15" s="961">
        <v>15</v>
      </c>
      <c r="F15" s="961">
        <v>15</v>
      </c>
      <c r="G15" s="961">
        <v>15</v>
      </c>
      <c r="H15" s="961">
        <v>15</v>
      </c>
      <c r="I15" s="961">
        <v>10</v>
      </c>
      <c r="J15" s="961">
        <v>10</v>
      </c>
      <c r="K15" s="961">
        <v>10</v>
      </c>
      <c r="L15" s="961">
        <v>10</v>
      </c>
      <c r="M15" s="1014">
        <v>10</v>
      </c>
    </row>
    <row r="16" customHeight="1" spans="1:13">
      <c r="A16" s="962" t="s">
        <v>124</v>
      </c>
      <c r="B16" s="963">
        <v>0</v>
      </c>
      <c r="C16" s="963">
        <v>0</v>
      </c>
      <c r="D16" s="963">
        <v>0</v>
      </c>
      <c r="E16" s="963">
        <v>0</v>
      </c>
      <c r="F16" s="963">
        <v>0</v>
      </c>
      <c r="G16" s="963">
        <v>0</v>
      </c>
      <c r="H16" s="963">
        <v>0</v>
      </c>
      <c r="I16" s="963">
        <v>0</v>
      </c>
      <c r="J16" s="963">
        <v>0</v>
      </c>
      <c r="K16" s="963">
        <v>0</v>
      </c>
      <c r="L16" s="963">
        <v>0</v>
      </c>
      <c r="M16" s="963">
        <v>0</v>
      </c>
    </row>
    <row r="17" customHeight="1" spans="1:13">
      <c r="A17" s="962" t="s">
        <v>1809</v>
      </c>
      <c r="B17" s="963">
        <f>SUM(B8:B15)</f>
        <v>375</v>
      </c>
      <c r="C17" s="963">
        <f t="shared" ref="C17:H17" si="0">SUM(C8:C15)</f>
        <v>375</v>
      </c>
      <c r="D17" s="963">
        <f t="shared" si="0"/>
        <v>315</v>
      </c>
      <c r="E17" s="963">
        <f t="shared" si="0"/>
        <v>315</v>
      </c>
      <c r="F17" s="963">
        <f t="shared" si="0"/>
        <v>315</v>
      </c>
      <c r="G17" s="963">
        <f t="shared" si="0"/>
        <v>315</v>
      </c>
      <c r="H17" s="963">
        <f t="shared" si="0"/>
        <v>315</v>
      </c>
      <c r="I17" s="963">
        <f>SUM(I8:I12,I15)</f>
        <v>185</v>
      </c>
      <c r="J17" s="963">
        <f t="shared" ref="J17:M17" si="1">SUM(J8:J12,J15)</f>
        <v>185</v>
      </c>
      <c r="K17" s="963">
        <f t="shared" si="1"/>
        <v>185</v>
      </c>
      <c r="L17" s="963">
        <f t="shared" si="1"/>
        <v>185</v>
      </c>
      <c r="M17" s="963">
        <f t="shared" si="1"/>
        <v>185</v>
      </c>
    </row>
    <row r="18" customHeight="1" spans="1:7">
      <c r="A18" s="964" t="s">
        <v>1810</v>
      </c>
      <c r="B18" s="964"/>
      <c r="C18" s="965"/>
      <c r="D18" s="965"/>
      <c r="E18" s="964"/>
      <c r="F18" s="965"/>
      <c r="G18" s="965"/>
    </row>
    <row r="19" customHeight="1" spans="1:7">
      <c r="A19" s="961" t="s">
        <v>1811</v>
      </c>
      <c r="B19" s="966" t="s">
        <v>1812</v>
      </c>
      <c r="C19" s="967" t="s">
        <v>1813</v>
      </c>
      <c r="D19" s="968"/>
      <c r="E19" s="959" t="s">
        <v>1814</v>
      </c>
      <c r="F19" s="969"/>
      <c r="G19" s="969"/>
    </row>
    <row r="20" s="941" customFormat="1" customHeight="1" spans="1:9">
      <c r="A20" s="970" t="s">
        <v>1796</v>
      </c>
      <c r="B20" s="971" t="s">
        <v>1815</v>
      </c>
      <c r="C20" s="972" t="s">
        <v>1816</v>
      </c>
      <c r="D20" s="973"/>
      <c r="E20" s="974">
        <v>1</v>
      </c>
      <c r="F20" s="975" t="s">
        <v>1817</v>
      </c>
      <c r="G20" s="976"/>
      <c r="H20" s="942"/>
      <c r="I20" s="942"/>
    </row>
    <row r="21" s="941" customFormat="1" customHeight="1" spans="1:9">
      <c r="A21" s="977"/>
      <c r="B21" s="978"/>
      <c r="C21" s="979" t="s">
        <v>1818</v>
      </c>
      <c r="D21" s="980"/>
      <c r="E21" s="981">
        <v>1</v>
      </c>
      <c r="F21" s="975" t="s">
        <v>1819</v>
      </c>
      <c r="G21" s="976"/>
      <c r="H21" s="942"/>
      <c r="I21" s="942"/>
    </row>
    <row r="22" s="941" customFormat="1" customHeight="1" spans="1:9">
      <c r="A22" s="977"/>
      <c r="B22" s="978"/>
      <c r="C22" s="979" t="s">
        <v>1820</v>
      </c>
      <c r="D22" s="980"/>
      <c r="E22" s="981">
        <v>0.9</v>
      </c>
      <c r="F22" s="975" t="s">
        <v>1821</v>
      </c>
      <c r="G22" s="976"/>
      <c r="H22" s="942"/>
      <c r="I22" s="942"/>
    </row>
    <row r="23" s="941" customFormat="1" customHeight="1" spans="1:9">
      <c r="A23" s="977"/>
      <c r="B23" s="978"/>
      <c r="C23" s="979" t="s">
        <v>1822</v>
      </c>
      <c r="D23" s="980"/>
      <c r="E23" s="981">
        <v>0.9</v>
      </c>
      <c r="F23" s="975" t="s">
        <v>1823</v>
      </c>
      <c r="G23" s="976"/>
      <c r="H23" s="942"/>
      <c r="I23" s="942"/>
    </row>
    <row r="24" s="941" customFormat="1" customHeight="1" spans="1:9">
      <c r="A24" s="977"/>
      <c r="B24" s="978"/>
      <c r="C24" s="979" t="s">
        <v>1824</v>
      </c>
      <c r="D24" s="980"/>
      <c r="E24" s="981">
        <v>0.8</v>
      </c>
      <c r="F24" s="975" t="s">
        <v>1825</v>
      </c>
      <c r="G24" s="976"/>
      <c r="H24" s="942"/>
      <c r="I24" s="942"/>
    </row>
    <row r="25" s="941" customFormat="1" customHeight="1" spans="1:9">
      <c r="A25" s="982"/>
      <c r="B25" s="983"/>
      <c r="C25" s="984" t="s">
        <v>1826</v>
      </c>
      <c r="D25" s="985"/>
      <c r="E25" s="986">
        <v>0.8</v>
      </c>
      <c r="F25" s="975" t="s">
        <v>1827</v>
      </c>
      <c r="G25" s="976"/>
      <c r="H25" s="942"/>
      <c r="I25" s="942"/>
    </row>
    <row r="26" s="941" customFormat="1" customHeight="1" spans="1:9">
      <c r="A26" s="987" t="s">
        <v>1797</v>
      </c>
      <c r="B26" s="988" t="s">
        <v>1815</v>
      </c>
      <c r="C26" s="989" t="s">
        <v>1828</v>
      </c>
      <c r="D26" s="990"/>
      <c r="E26" s="991">
        <v>1</v>
      </c>
      <c r="F26" s="975" t="s">
        <v>1829</v>
      </c>
      <c r="G26" s="976"/>
      <c r="H26" s="942"/>
      <c r="I26" s="942"/>
    </row>
    <row r="27" s="941" customFormat="1" customHeight="1" spans="1:9">
      <c r="A27" s="992" t="s">
        <v>1800</v>
      </c>
      <c r="B27" s="971" t="s">
        <v>1800</v>
      </c>
      <c r="C27" s="972" t="s">
        <v>1830</v>
      </c>
      <c r="D27" s="973"/>
      <c r="E27" s="974">
        <v>1</v>
      </c>
      <c r="F27" s="975" t="s">
        <v>1831</v>
      </c>
      <c r="G27" s="976"/>
      <c r="H27" s="942"/>
      <c r="I27" s="942"/>
    </row>
    <row r="28" s="941" customFormat="1" customHeight="1" spans="1:9">
      <c r="A28" s="993"/>
      <c r="B28" s="978"/>
      <c r="C28" s="979" t="s">
        <v>1832</v>
      </c>
      <c r="D28" s="980"/>
      <c r="E28" s="981">
        <v>1</v>
      </c>
      <c r="F28" s="975" t="s">
        <v>1833</v>
      </c>
      <c r="G28" s="976"/>
      <c r="H28" s="942"/>
      <c r="I28" s="942"/>
    </row>
    <row r="29" s="941" customFormat="1" customHeight="1" spans="1:9">
      <c r="A29" s="993"/>
      <c r="B29" s="978"/>
      <c r="C29" s="979" t="s">
        <v>1834</v>
      </c>
      <c r="D29" s="980"/>
      <c r="E29" s="981">
        <v>0.8</v>
      </c>
      <c r="F29" s="975" t="s">
        <v>1835</v>
      </c>
      <c r="G29" s="976"/>
      <c r="H29" s="942"/>
      <c r="I29" s="942"/>
    </row>
    <row r="30" s="941" customFormat="1" customHeight="1" spans="1:9">
      <c r="A30" s="993"/>
      <c r="B30" s="978"/>
      <c r="C30" s="979" t="s">
        <v>1836</v>
      </c>
      <c r="D30" s="980"/>
      <c r="E30" s="981">
        <v>0.8</v>
      </c>
      <c r="F30" s="975" t="s">
        <v>1837</v>
      </c>
      <c r="G30" s="976"/>
      <c r="H30" s="942"/>
      <c r="I30" s="942"/>
    </row>
    <row r="31" s="941" customFormat="1" customHeight="1" spans="1:9">
      <c r="A31" s="993"/>
      <c r="B31" s="978"/>
      <c r="C31" s="979" t="s">
        <v>1838</v>
      </c>
      <c r="D31" s="980"/>
      <c r="E31" s="981">
        <v>0.8</v>
      </c>
      <c r="F31" s="975" t="s">
        <v>1839</v>
      </c>
      <c r="G31" s="976"/>
      <c r="H31" s="942"/>
      <c r="I31" s="942"/>
    </row>
    <row r="32" s="941" customFormat="1" customHeight="1" spans="1:9">
      <c r="A32" s="993"/>
      <c r="B32" s="978"/>
      <c r="C32" s="979" t="s">
        <v>1840</v>
      </c>
      <c r="D32" s="980"/>
      <c r="E32" s="981">
        <v>0.7</v>
      </c>
      <c r="F32" s="975" t="s">
        <v>1841</v>
      </c>
      <c r="G32" s="976"/>
      <c r="H32" s="942"/>
      <c r="I32" s="942"/>
    </row>
    <row r="33" s="941" customFormat="1" customHeight="1" spans="1:9">
      <c r="A33" s="993"/>
      <c r="B33" s="978"/>
      <c r="C33" s="979" t="s">
        <v>1842</v>
      </c>
      <c r="D33" s="980"/>
      <c r="E33" s="981">
        <v>0.8</v>
      </c>
      <c r="F33" s="975" t="s">
        <v>1843</v>
      </c>
      <c r="G33" s="976"/>
      <c r="H33" s="942"/>
      <c r="I33" s="942"/>
    </row>
    <row r="34" s="941" customFormat="1" customHeight="1" spans="1:9">
      <c r="A34" s="993"/>
      <c r="B34" s="978"/>
      <c r="C34" s="979" t="s">
        <v>1844</v>
      </c>
      <c r="D34" s="980"/>
      <c r="E34" s="981">
        <v>0.6</v>
      </c>
      <c r="F34" s="975" t="s">
        <v>1845</v>
      </c>
      <c r="G34" s="976"/>
      <c r="H34" s="942"/>
      <c r="I34" s="942"/>
    </row>
    <row r="35" s="941" customFormat="1" customHeight="1" spans="1:9">
      <c r="A35" s="993"/>
      <c r="B35" s="978"/>
      <c r="C35" s="979" t="s">
        <v>1846</v>
      </c>
      <c r="D35" s="980"/>
      <c r="E35" s="981">
        <v>0.2</v>
      </c>
      <c r="F35" s="975" t="s">
        <v>1847</v>
      </c>
      <c r="G35" s="976"/>
      <c r="H35" s="942"/>
      <c r="I35" s="942"/>
    </row>
    <row r="36" s="941" customFormat="1" customHeight="1" spans="1:9">
      <c r="A36" s="993"/>
      <c r="B36" s="978"/>
      <c r="C36" s="979" t="s">
        <v>1848</v>
      </c>
      <c r="D36" s="980"/>
      <c r="E36" s="981">
        <v>0.2</v>
      </c>
      <c r="F36" s="975" t="s">
        <v>1849</v>
      </c>
      <c r="G36" s="976"/>
      <c r="H36" s="942"/>
      <c r="I36" s="942"/>
    </row>
    <row r="37" s="941" customFormat="1" customHeight="1" spans="1:9">
      <c r="A37" s="993"/>
      <c r="B37" s="994" t="s">
        <v>1850</v>
      </c>
      <c r="C37" s="979" t="s">
        <v>1851</v>
      </c>
      <c r="D37" s="980"/>
      <c r="E37" s="981">
        <v>0.6</v>
      </c>
      <c r="F37" s="975" t="s">
        <v>1852</v>
      </c>
      <c r="G37" s="976"/>
      <c r="H37" s="942"/>
      <c r="I37" s="942"/>
    </row>
    <row r="38" s="941" customFormat="1" customHeight="1" spans="1:9">
      <c r="A38" s="993"/>
      <c r="B38" s="978"/>
      <c r="C38" s="979" t="s">
        <v>1853</v>
      </c>
      <c r="D38" s="980"/>
      <c r="E38" s="981">
        <v>0.6</v>
      </c>
      <c r="F38" s="975" t="s">
        <v>1854</v>
      </c>
      <c r="G38" s="976"/>
      <c r="H38" s="942"/>
      <c r="I38" s="942"/>
    </row>
    <row r="39" s="941" customFormat="1" customHeight="1" spans="1:9">
      <c r="A39" s="995"/>
      <c r="B39" s="983"/>
      <c r="C39" s="984" t="s">
        <v>1855</v>
      </c>
      <c r="D39" s="985"/>
      <c r="E39" s="986">
        <v>0.6</v>
      </c>
      <c r="F39" s="975" t="s">
        <v>1856</v>
      </c>
      <c r="G39" s="976"/>
      <c r="H39" s="942"/>
      <c r="I39" s="942"/>
    </row>
    <row r="40" s="941" customFormat="1" customHeight="1" spans="1:9">
      <c r="A40" s="987" t="s">
        <v>1798</v>
      </c>
      <c r="B40" s="988" t="s">
        <v>1798</v>
      </c>
      <c r="C40" s="989" t="s">
        <v>1857</v>
      </c>
      <c r="D40" s="990"/>
      <c r="E40" s="991">
        <v>1</v>
      </c>
      <c r="F40" s="975" t="s">
        <v>1858</v>
      </c>
      <c r="G40" s="976"/>
      <c r="H40" s="942"/>
      <c r="I40" s="942"/>
    </row>
    <row r="41" s="941" customFormat="1" customHeight="1" spans="1:9">
      <c r="A41" s="970" t="s">
        <v>454</v>
      </c>
      <c r="B41" s="971" t="s">
        <v>1859</v>
      </c>
      <c r="C41" s="972" t="s">
        <v>1860</v>
      </c>
      <c r="D41" s="973"/>
      <c r="E41" s="974">
        <v>1</v>
      </c>
      <c r="F41" s="975" t="s">
        <v>1861</v>
      </c>
      <c r="G41" s="976"/>
      <c r="H41" s="942"/>
      <c r="I41" s="942"/>
    </row>
    <row r="42" s="941" customFormat="1" customHeight="1" spans="1:9">
      <c r="A42" s="977"/>
      <c r="B42" s="978"/>
      <c r="C42" s="979" t="s">
        <v>1862</v>
      </c>
      <c r="D42" s="980"/>
      <c r="E42" s="981">
        <v>1</v>
      </c>
      <c r="F42" s="975" t="s">
        <v>1863</v>
      </c>
      <c r="G42" s="976"/>
      <c r="H42" s="942"/>
      <c r="I42" s="942"/>
    </row>
    <row r="43" s="941" customFormat="1" customHeight="1" spans="1:9">
      <c r="A43" s="977"/>
      <c r="B43" s="996"/>
      <c r="C43" s="979" t="s">
        <v>1864</v>
      </c>
      <c r="D43" s="980"/>
      <c r="E43" s="981">
        <v>1.5</v>
      </c>
      <c r="F43" s="975" t="s">
        <v>1865</v>
      </c>
      <c r="G43" s="976"/>
      <c r="H43" s="942"/>
      <c r="I43" s="942"/>
    </row>
    <row r="44" s="941" customFormat="1" customHeight="1" spans="1:9">
      <c r="A44" s="977"/>
      <c r="B44" s="997" t="s">
        <v>1800</v>
      </c>
      <c r="C44" s="979" t="s">
        <v>1799</v>
      </c>
      <c r="D44" s="980"/>
      <c r="E44" s="981">
        <v>2</v>
      </c>
      <c r="F44" s="975" t="s">
        <v>1866</v>
      </c>
      <c r="G44" s="976"/>
      <c r="H44" s="942"/>
      <c r="I44" s="942"/>
    </row>
    <row r="45" s="941" customFormat="1" customHeight="1" spans="1:9">
      <c r="A45" s="977"/>
      <c r="B45" s="994" t="s">
        <v>1867</v>
      </c>
      <c r="C45" s="979" t="s">
        <v>1868</v>
      </c>
      <c r="D45" s="980"/>
      <c r="E45" s="981">
        <v>1</v>
      </c>
      <c r="F45" s="975" t="s">
        <v>1869</v>
      </c>
      <c r="G45" s="976"/>
      <c r="H45" s="942"/>
      <c r="I45" s="942"/>
    </row>
    <row r="46" s="941" customFormat="1" customHeight="1" spans="1:9">
      <c r="A46" s="977"/>
      <c r="B46" s="978"/>
      <c r="C46" s="979" t="s">
        <v>1870</v>
      </c>
      <c r="D46" s="980"/>
      <c r="E46" s="981">
        <v>1</v>
      </c>
      <c r="F46" s="975" t="s">
        <v>1871</v>
      </c>
      <c r="G46" s="976"/>
      <c r="H46" s="942"/>
      <c r="I46" s="942"/>
    </row>
    <row r="47" s="941" customFormat="1" customHeight="1" spans="1:9">
      <c r="A47" s="977"/>
      <c r="B47" s="978"/>
      <c r="C47" s="979" t="s">
        <v>1872</v>
      </c>
      <c r="D47" s="980"/>
      <c r="E47" s="981">
        <v>1</v>
      </c>
      <c r="F47" s="975" t="s">
        <v>1873</v>
      </c>
      <c r="G47" s="976"/>
      <c r="H47" s="942"/>
      <c r="I47" s="942"/>
    </row>
    <row r="48" s="941" customFormat="1" customHeight="1" spans="1:9">
      <c r="A48" s="977"/>
      <c r="B48" s="978"/>
      <c r="C48" s="979" t="s">
        <v>1874</v>
      </c>
      <c r="D48" s="980"/>
      <c r="E48" s="981">
        <v>1</v>
      </c>
      <c r="F48" s="975" t="s">
        <v>1875</v>
      </c>
      <c r="G48" s="976"/>
      <c r="H48" s="942"/>
      <c r="I48" s="942"/>
    </row>
    <row r="49" s="941" customFormat="1" customHeight="1" spans="1:9">
      <c r="A49" s="977"/>
      <c r="B49" s="978"/>
      <c r="C49" s="979" t="s">
        <v>1876</v>
      </c>
      <c r="D49" s="980"/>
      <c r="E49" s="981">
        <v>1</v>
      </c>
      <c r="F49" s="975" t="s">
        <v>1877</v>
      </c>
      <c r="G49" s="976"/>
      <c r="H49" s="942"/>
      <c r="I49" s="942"/>
    </row>
    <row r="50" s="941" customFormat="1" customHeight="1" spans="1:9">
      <c r="A50" s="977"/>
      <c r="B50" s="978"/>
      <c r="C50" s="979" t="s">
        <v>1878</v>
      </c>
      <c r="D50" s="980"/>
      <c r="E50" s="981">
        <v>1</v>
      </c>
      <c r="F50" s="975" t="s">
        <v>1879</v>
      </c>
      <c r="G50" s="976"/>
      <c r="H50" s="942"/>
      <c r="I50" s="942"/>
    </row>
    <row r="51" s="941" customFormat="1" customHeight="1" spans="1:9">
      <c r="A51" s="982"/>
      <c r="B51" s="983"/>
      <c r="C51" s="984" t="s">
        <v>1880</v>
      </c>
      <c r="D51" s="985"/>
      <c r="E51" s="986">
        <v>1</v>
      </c>
      <c r="F51" s="975" t="s">
        <v>1881</v>
      </c>
      <c r="G51" s="976"/>
      <c r="H51" s="942"/>
      <c r="I51" s="942"/>
    </row>
    <row r="52" s="941" customFormat="1" customHeight="1" spans="1:9">
      <c r="A52" s="998"/>
      <c r="B52" s="998"/>
      <c r="C52" s="998"/>
      <c r="D52" s="998"/>
      <c r="E52" s="998"/>
      <c r="F52" s="999"/>
      <c r="G52" s="999"/>
      <c r="H52" s="942"/>
      <c r="I52" s="942"/>
    </row>
    <row r="54" customHeight="1" spans="1:9">
      <c r="A54" s="1000"/>
      <c r="B54" s="962" t="s">
        <v>448</v>
      </c>
      <c r="C54" s="962" t="s">
        <v>448</v>
      </c>
      <c r="D54" s="962" t="s">
        <v>448</v>
      </c>
      <c r="E54" s="1001" t="s">
        <v>448</v>
      </c>
      <c r="F54" s="1001" t="s">
        <v>1882</v>
      </c>
      <c r="G54" s="1001" t="s">
        <v>448</v>
      </c>
      <c r="I54" s="943"/>
    </row>
    <row r="55" customHeight="1" spans="1:9">
      <c r="A55" s="1002"/>
      <c r="B55" s="1001" t="s">
        <v>1796</v>
      </c>
      <c r="C55" s="1001" t="s">
        <v>1796</v>
      </c>
      <c r="D55" s="1001" t="s">
        <v>1796</v>
      </c>
      <c r="E55" s="962" t="s">
        <v>1797</v>
      </c>
      <c r="F55" s="962" t="s">
        <v>454</v>
      </c>
      <c r="G55" s="962" t="s">
        <v>455</v>
      </c>
      <c r="I55" s="943"/>
    </row>
    <row r="56" customHeight="1" spans="1:9">
      <c r="A56" s="1003"/>
      <c r="B56" s="962">
        <v>1</v>
      </c>
      <c r="C56" s="962">
        <v>2</v>
      </c>
      <c r="D56" s="962">
        <v>3</v>
      </c>
      <c r="E56" s="1004" t="s">
        <v>1883</v>
      </c>
      <c r="F56" s="1004" t="s">
        <v>1883</v>
      </c>
      <c r="G56" s="1004" t="s">
        <v>1883</v>
      </c>
      <c r="I56" s="943"/>
    </row>
    <row r="57" customHeight="1" spans="1:9">
      <c r="A57" s="1005" t="s">
        <v>230</v>
      </c>
      <c r="B57" s="959">
        <v>0.7</v>
      </c>
      <c r="C57" s="959">
        <v>0.4</v>
      </c>
      <c r="D57" s="959">
        <v>0.3</v>
      </c>
      <c r="E57" s="968">
        <v>0.3</v>
      </c>
      <c r="F57" s="959">
        <v>0.3</v>
      </c>
      <c r="G57" s="959">
        <v>0.2</v>
      </c>
      <c r="I57" s="943"/>
    </row>
    <row r="58" customHeight="1" spans="1:9">
      <c r="A58" s="1005" t="s">
        <v>241</v>
      </c>
      <c r="B58" s="959">
        <v>0.7</v>
      </c>
      <c r="C58" s="959">
        <v>0.4</v>
      </c>
      <c r="D58" s="959">
        <v>0.3</v>
      </c>
      <c r="E58" s="959">
        <v>0.3</v>
      </c>
      <c r="F58" s="959">
        <v>0.3</v>
      </c>
      <c r="G58" s="959">
        <v>0.2</v>
      </c>
      <c r="I58" s="943"/>
    </row>
    <row r="59" customHeight="1" spans="1:9">
      <c r="A59" s="1005" t="s">
        <v>251</v>
      </c>
      <c r="B59" s="959">
        <v>0.6</v>
      </c>
      <c r="C59" s="959">
        <v>0.3</v>
      </c>
      <c r="D59" s="959">
        <v>0.25</v>
      </c>
      <c r="E59" s="959">
        <v>0.25</v>
      </c>
      <c r="F59" s="959">
        <v>0.25</v>
      </c>
      <c r="G59" s="959">
        <v>0.15</v>
      </c>
      <c r="I59" s="943"/>
    </row>
    <row r="60" customHeight="1" spans="1:9">
      <c r="A60" s="1005" t="s">
        <v>259</v>
      </c>
      <c r="B60" s="959">
        <v>0.6</v>
      </c>
      <c r="C60" s="959">
        <v>0.3</v>
      </c>
      <c r="D60" s="959">
        <v>0.25</v>
      </c>
      <c r="E60" s="959">
        <v>0.25</v>
      </c>
      <c r="F60" s="959">
        <v>0.25</v>
      </c>
      <c r="G60" s="959">
        <v>0.15</v>
      </c>
      <c r="I60" s="943"/>
    </row>
    <row r="61" s="942" customFormat="1" customHeight="1" spans="1:7">
      <c r="A61" s="1005" t="s">
        <v>267</v>
      </c>
      <c r="B61" s="959">
        <v>0.6</v>
      </c>
      <c r="C61" s="959">
        <v>0.3</v>
      </c>
      <c r="D61" s="959">
        <v>0.25</v>
      </c>
      <c r="E61" s="959">
        <v>0.25</v>
      </c>
      <c r="F61" s="959">
        <v>0.25</v>
      </c>
      <c r="G61" s="959">
        <v>0.15</v>
      </c>
    </row>
    <row r="62" s="942" customFormat="1" customHeight="1" spans="1:7">
      <c r="A62" s="1005" t="s">
        <v>273</v>
      </c>
      <c r="B62" s="959">
        <v>0.6</v>
      </c>
      <c r="C62" s="959">
        <v>0.3</v>
      </c>
      <c r="D62" s="959">
        <v>0.25</v>
      </c>
      <c r="E62" s="959">
        <v>0.25</v>
      </c>
      <c r="F62" s="959">
        <v>0.25</v>
      </c>
      <c r="G62" s="959">
        <v>0.15</v>
      </c>
    </row>
    <row r="63" s="942" customFormat="1" customHeight="1" spans="1:7">
      <c r="A63" s="1005" t="s">
        <v>278</v>
      </c>
      <c r="B63" s="959">
        <v>0.6</v>
      </c>
      <c r="C63" s="959">
        <v>0.3</v>
      </c>
      <c r="D63" s="959">
        <v>0.25</v>
      </c>
      <c r="E63" s="959">
        <v>0.25</v>
      </c>
      <c r="F63" s="959">
        <v>0.25</v>
      </c>
      <c r="G63" s="959">
        <v>0.15</v>
      </c>
    </row>
    <row r="64" s="942" customFormat="1" customHeight="1" spans="1:7">
      <c r="A64" s="1005" t="s">
        <v>283</v>
      </c>
      <c r="B64" s="959">
        <v>0.5</v>
      </c>
      <c r="C64" s="959">
        <v>0.2</v>
      </c>
      <c r="D64" s="959">
        <v>0.2</v>
      </c>
      <c r="E64" s="959">
        <v>0.2</v>
      </c>
      <c r="F64" s="959">
        <v>0.2</v>
      </c>
      <c r="G64" s="959">
        <v>0.1</v>
      </c>
    </row>
    <row r="65" s="942" customFormat="1" customHeight="1" spans="1:7">
      <c r="A65" s="1005" t="s">
        <v>286</v>
      </c>
      <c r="B65" s="959">
        <v>0.5</v>
      </c>
      <c r="C65" s="959">
        <v>0.2</v>
      </c>
      <c r="D65" s="959">
        <v>0.2</v>
      </c>
      <c r="E65" s="959">
        <v>0.2</v>
      </c>
      <c r="F65" s="959">
        <v>0.2</v>
      </c>
      <c r="G65" s="959">
        <v>0.1</v>
      </c>
    </row>
    <row r="66" s="942" customFormat="1" customHeight="1" spans="1:7">
      <c r="A66" s="1005" t="s">
        <v>289</v>
      </c>
      <c r="B66" s="959">
        <v>0.5</v>
      </c>
      <c r="C66" s="959">
        <v>0.2</v>
      </c>
      <c r="D66" s="959">
        <v>0.2</v>
      </c>
      <c r="E66" s="959">
        <v>0.2</v>
      </c>
      <c r="F66" s="959">
        <v>0.2</v>
      </c>
      <c r="G66" s="959">
        <v>0.1</v>
      </c>
    </row>
    <row r="67" s="942" customFormat="1" customHeight="1" spans="1:7">
      <c r="A67" s="1005" t="s">
        <v>292</v>
      </c>
      <c r="B67" s="959">
        <v>0.5</v>
      </c>
      <c r="C67" s="959">
        <v>0.2</v>
      </c>
      <c r="D67" s="959">
        <v>0.2</v>
      </c>
      <c r="E67" s="959">
        <v>0.2</v>
      </c>
      <c r="F67" s="959">
        <v>0.2</v>
      </c>
      <c r="G67" s="959">
        <v>0.1</v>
      </c>
    </row>
    <row r="68" s="942" customFormat="1" customHeight="1" spans="1:7">
      <c r="A68" s="1005" t="s">
        <v>295</v>
      </c>
      <c r="B68" s="959">
        <v>0.5</v>
      </c>
      <c r="C68" s="959">
        <v>0.2</v>
      </c>
      <c r="D68" s="959">
        <v>0.2</v>
      </c>
      <c r="E68" s="959">
        <v>0.2</v>
      </c>
      <c r="F68" s="959">
        <v>0.2</v>
      </c>
      <c r="G68" s="959">
        <v>0.1</v>
      </c>
    </row>
    <row r="70" s="942" customFormat="1" customHeight="1" spans="1:6">
      <c r="A70" s="1015"/>
      <c r="B70" s="964"/>
      <c r="C70" s="964"/>
      <c r="D70" s="964" t="s">
        <v>1884</v>
      </c>
      <c r="E70" s="964"/>
      <c r="F70" s="964"/>
    </row>
    <row r="71" s="942" customFormat="1" customHeight="1" spans="1:6">
      <c r="A71" s="1016" t="s">
        <v>1885</v>
      </c>
      <c r="B71" s="1016" t="s">
        <v>1886</v>
      </c>
      <c r="C71" s="1016" t="s">
        <v>1887</v>
      </c>
      <c r="D71" s="1016" t="s">
        <v>1888</v>
      </c>
      <c r="E71" s="1016" t="s">
        <v>1889</v>
      </c>
      <c r="F71" s="1016" t="s">
        <v>1890</v>
      </c>
    </row>
    <row r="72" ht="14.4" spans="1:6">
      <c r="A72" s="1016"/>
      <c r="B72" s="1016"/>
      <c r="C72" s="1016" t="s">
        <v>1891</v>
      </c>
      <c r="D72" s="1016"/>
      <c r="E72" s="1017" t="s">
        <v>124</v>
      </c>
      <c r="F72" s="1016" t="s">
        <v>124</v>
      </c>
    </row>
    <row r="73" s="942" customFormat="1" ht="14.4" spans="1:6">
      <c r="A73" s="997">
        <v>1</v>
      </c>
      <c r="B73" s="994" t="s">
        <v>1892</v>
      </c>
      <c r="C73" s="959" t="s">
        <v>1893</v>
      </c>
      <c r="D73" s="959" t="s">
        <v>1894</v>
      </c>
      <c r="E73" s="1018">
        <v>0.2</v>
      </c>
      <c r="F73" s="997">
        <v>25</v>
      </c>
    </row>
    <row r="74" s="942" customFormat="1" ht="24" spans="1:6">
      <c r="A74" s="997">
        <v>2</v>
      </c>
      <c r="B74" s="978"/>
      <c r="C74" s="959" t="s">
        <v>1895</v>
      </c>
      <c r="D74" s="959" t="s">
        <v>1896</v>
      </c>
      <c r="E74" s="1018">
        <v>0.2</v>
      </c>
      <c r="F74" s="997">
        <v>25</v>
      </c>
    </row>
    <row r="75" s="942" customFormat="1" ht="24" spans="1:6">
      <c r="A75" s="997">
        <v>3</v>
      </c>
      <c r="B75" s="978"/>
      <c r="C75" s="959" t="s">
        <v>1897</v>
      </c>
      <c r="D75" s="959" t="s">
        <v>1898</v>
      </c>
      <c r="E75" s="1018">
        <v>0.2</v>
      </c>
      <c r="F75" s="997">
        <v>25</v>
      </c>
    </row>
    <row r="76" s="942" customFormat="1" ht="14.4" spans="1:6">
      <c r="A76" s="997">
        <v>4</v>
      </c>
      <c r="B76" s="978"/>
      <c r="C76" s="959" t="s">
        <v>1899</v>
      </c>
      <c r="D76" s="959" t="s">
        <v>1900</v>
      </c>
      <c r="E76" s="1018">
        <v>0.15</v>
      </c>
      <c r="F76" s="997">
        <v>20</v>
      </c>
    </row>
    <row r="77" s="942" customFormat="1" ht="24" spans="1:6">
      <c r="A77" s="997">
        <v>5</v>
      </c>
      <c r="B77" s="978"/>
      <c r="C77" s="959" t="s">
        <v>1901</v>
      </c>
      <c r="D77" s="959" t="s">
        <v>1902</v>
      </c>
      <c r="E77" s="1018">
        <v>0.15</v>
      </c>
      <c r="F77" s="997">
        <v>20</v>
      </c>
    </row>
    <row r="78" s="942" customFormat="1" ht="24" spans="1:6">
      <c r="A78" s="997">
        <v>6</v>
      </c>
      <c r="B78" s="978"/>
      <c r="C78" s="959" t="s">
        <v>1903</v>
      </c>
      <c r="D78" s="959" t="s">
        <v>1904</v>
      </c>
      <c r="E78" s="1018">
        <v>0.15</v>
      </c>
      <c r="F78" s="997">
        <v>20</v>
      </c>
    </row>
    <row r="79" s="942" customFormat="1" ht="24" spans="1:6">
      <c r="A79" s="997">
        <v>7</v>
      </c>
      <c r="B79" s="978"/>
      <c r="C79" s="959" t="s">
        <v>1905</v>
      </c>
      <c r="D79" s="959" t="s">
        <v>1906</v>
      </c>
      <c r="E79" s="1018">
        <v>0.15</v>
      </c>
      <c r="F79" s="997">
        <v>20</v>
      </c>
    </row>
    <row r="80" s="942" customFormat="1" ht="24" spans="1:6">
      <c r="A80" s="997">
        <v>8</v>
      </c>
      <c r="B80" s="978"/>
      <c r="C80" s="959" t="s">
        <v>1907</v>
      </c>
      <c r="D80" s="959" t="s">
        <v>1908</v>
      </c>
      <c r="E80" s="1018">
        <v>0.1</v>
      </c>
      <c r="F80" s="997">
        <v>15</v>
      </c>
    </row>
    <row r="81" s="942" customFormat="1" ht="24" spans="1:6">
      <c r="A81" s="997">
        <v>9</v>
      </c>
      <c r="B81" s="978"/>
      <c r="C81" s="959" t="s">
        <v>1909</v>
      </c>
      <c r="D81" s="959" t="s">
        <v>1910</v>
      </c>
      <c r="E81" s="1018">
        <v>0.1</v>
      </c>
      <c r="F81" s="997">
        <v>15</v>
      </c>
    </row>
    <row r="82" s="942" customFormat="1" ht="24" spans="1:6">
      <c r="A82" s="997">
        <v>10</v>
      </c>
      <c r="B82" s="978"/>
      <c r="C82" s="959" t="s">
        <v>1911</v>
      </c>
      <c r="D82" s="959" t="s">
        <v>1912</v>
      </c>
      <c r="E82" s="1018">
        <v>0.1</v>
      </c>
      <c r="F82" s="997">
        <v>15</v>
      </c>
    </row>
    <row r="83" s="942" customFormat="1" ht="24" spans="1:6">
      <c r="A83" s="997">
        <v>11</v>
      </c>
      <c r="B83" s="978"/>
      <c r="C83" s="959" t="s">
        <v>1913</v>
      </c>
      <c r="D83" s="959" t="s">
        <v>1914</v>
      </c>
      <c r="E83" s="1018">
        <v>0.1</v>
      </c>
      <c r="F83" s="997">
        <v>15</v>
      </c>
    </row>
    <row r="84" s="942" customFormat="1" ht="36" spans="1:6">
      <c r="A84" s="997">
        <v>12</v>
      </c>
      <c r="B84" s="978"/>
      <c r="C84" s="959" t="s">
        <v>1915</v>
      </c>
      <c r="D84" s="959" t="s">
        <v>1916</v>
      </c>
      <c r="E84" s="1018">
        <v>0.1</v>
      </c>
      <c r="F84" s="997">
        <v>15</v>
      </c>
    </row>
    <row r="85" s="942" customFormat="1" ht="24" spans="1:6">
      <c r="A85" s="997">
        <v>13</v>
      </c>
      <c r="B85" s="978"/>
      <c r="C85" s="959" t="s">
        <v>1917</v>
      </c>
      <c r="D85" s="959" t="s">
        <v>1918</v>
      </c>
      <c r="E85" s="1018">
        <v>0.1</v>
      </c>
      <c r="F85" s="997">
        <v>15</v>
      </c>
    </row>
    <row r="86" s="942" customFormat="1" ht="24" spans="1:6">
      <c r="A86" s="997">
        <v>14</v>
      </c>
      <c r="B86" s="978"/>
      <c r="C86" s="959" t="s">
        <v>1919</v>
      </c>
      <c r="D86" s="959" t="s">
        <v>1920</v>
      </c>
      <c r="E86" s="1018">
        <v>0.1</v>
      </c>
      <c r="F86" s="997">
        <v>15</v>
      </c>
    </row>
    <row r="87" s="942" customFormat="1" ht="24" spans="1:6">
      <c r="A87" s="997">
        <v>15</v>
      </c>
      <c r="B87" s="978"/>
      <c r="C87" s="959" t="s">
        <v>1921</v>
      </c>
      <c r="D87" s="959" t="s">
        <v>1922</v>
      </c>
      <c r="E87" s="1018">
        <v>0.1</v>
      </c>
      <c r="F87" s="997">
        <v>15</v>
      </c>
    </row>
    <row r="88" s="942" customFormat="1" ht="24" spans="1:6">
      <c r="A88" s="997">
        <v>16</v>
      </c>
      <c r="B88" s="978"/>
      <c r="C88" s="959" t="s">
        <v>1923</v>
      </c>
      <c r="D88" s="959" t="s">
        <v>1924</v>
      </c>
      <c r="E88" s="1018">
        <v>0.1</v>
      </c>
      <c r="F88" s="997">
        <v>15</v>
      </c>
    </row>
    <row r="89" s="942" customFormat="1" ht="24" spans="1:6">
      <c r="A89" s="997">
        <v>17</v>
      </c>
      <c r="B89" s="996"/>
      <c r="C89" s="959" t="s">
        <v>1925</v>
      </c>
      <c r="D89" s="959" t="s">
        <v>1926</v>
      </c>
      <c r="E89" s="1018">
        <v>0.1</v>
      </c>
      <c r="F89" s="997">
        <v>15</v>
      </c>
    </row>
    <row r="90" s="942" customFormat="1" ht="14.4" spans="1:6">
      <c r="A90" s="997">
        <v>18</v>
      </c>
      <c r="B90" s="994" t="s">
        <v>1927</v>
      </c>
      <c r="C90" s="959" t="s">
        <v>1928</v>
      </c>
      <c r="D90" s="959" t="s">
        <v>1929</v>
      </c>
      <c r="E90" s="1018">
        <v>0.2</v>
      </c>
      <c r="F90" s="997">
        <v>25</v>
      </c>
    </row>
    <row r="91" s="942" customFormat="1" ht="24" spans="1:6">
      <c r="A91" s="997">
        <v>19</v>
      </c>
      <c r="B91" s="978"/>
      <c r="C91" s="959" t="s">
        <v>1930</v>
      </c>
      <c r="D91" s="959" t="s">
        <v>1931</v>
      </c>
      <c r="E91" s="1018">
        <v>0.2</v>
      </c>
      <c r="F91" s="997">
        <v>25</v>
      </c>
    </row>
    <row r="92" s="942" customFormat="1" ht="14.4" spans="1:6">
      <c r="A92" s="997">
        <v>20</v>
      </c>
      <c r="B92" s="978"/>
      <c r="C92" s="959" t="s">
        <v>1932</v>
      </c>
      <c r="D92" s="959" t="s">
        <v>1933</v>
      </c>
      <c r="E92" s="1018">
        <v>0.15</v>
      </c>
      <c r="F92" s="997">
        <v>20</v>
      </c>
    </row>
    <row r="93" s="942" customFormat="1" ht="24" spans="1:6">
      <c r="A93" s="997">
        <v>21</v>
      </c>
      <c r="B93" s="978"/>
      <c r="C93" s="959" t="s">
        <v>1934</v>
      </c>
      <c r="D93" s="959" t="s">
        <v>1935</v>
      </c>
      <c r="E93" s="1018">
        <v>0.15</v>
      </c>
      <c r="F93" s="997">
        <v>20</v>
      </c>
    </row>
    <row r="94" s="942" customFormat="1" ht="24" spans="1:6">
      <c r="A94" s="997">
        <v>22</v>
      </c>
      <c r="B94" s="978"/>
      <c r="C94" s="959" t="s">
        <v>1936</v>
      </c>
      <c r="D94" s="959" t="s">
        <v>1937</v>
      </c>
      <c r="E94" s="1018">
        <v>0.15</v>
      </c>
      <c r="F94" s="997">
        <v>20</v>
      </c>
    </row>
    <row r="95" s="942" customFormat="1" ht="36" spans="1:6">
      <c r="A95" s="997">
        <v>23</v>
      </c>
      <c r="B95" s="978"/>
      <c r="C95" s="959" t="s">
        <v>1938</v>
      </c>
      <c r="D95" s="959" t="s">
        <v>1939</v>
      </c>
      <c r="E95" s="1018">
        <v>0.15</v>
      </c>
      <c r="F95" s="997">
        <v>20</v>
      </c>
    </row>
    <row r="96" s="942" customFormat="1" ht="24" spans="1:6">
      <c r="A96" s="997">
        <v>24</v>
      </c>
      <c r="B96" s="978"/>
      <c r="C96" s="959" t="s">
        <v>1940</v>
      </c>
      <c r="D96" s="959" t="s">
        <v>1941</v>
      </c>
      <c r="E96" s="1018">
        <v>0.1</v>
      </c>
      <c r="F96" s="997">
        <v>15</v>
      </c>
    </row>
    <row r="97" s="942" customFormat="1" ht="24" spans="1:6">
      <c r="A97" s="997">
        <v>25</v>
      </c>
      <c r="B97" s="978"/>
      <c r="C97" s="959" t="s">
        <v>1942</v>
      </c>
      <c r="D97" s="959" t="s">
        <v>1943</v>
      </c>
      <c r="E97" s="1018">
        <v>0.1</v>
      </c>
      <c r="F97" s="997">
        <v>15</v>
      </c>
    </row>
    <row r="98" s="942" customFormat="1" ht="36" spans="1:6">
      <c r="A98" s="997">
        <v>26</v>
      </c>
      <c r="B98" s="978"/>
      <c r="C98" s="959" t="s">
        <v>1944</v>
      </c>
      <c r="D98" s="959" t="s">
        <v>1945</v>
      </c>
      <c r="E98" s="1018">
        <v>0.1</v>
      </c>
      <c r="F98" s="997">
        <v>15</v>
      </c>
    </row>
    <row r="99" s="942" customFormat="1" ht="24" spans="1:6">
      <c r="A99" s="997">
        <v>27</v>
      </c>
      <c r="B99" s="978"/>
      <c r="C99" s="959" t="s">
        <v>1946</v>
      </c>
      <c r="D99" s="959" t="s">
        <v>1947</v>
      </c>
      <c r="E99" s="1018">
        <v>0.1</v>
      </c>
      <c r="F99" s="997">
        <v>15</v>
      </c>
    </row>
    <row r="100" s="942" customFormat="1" ht="24" spans="1:6">
      <c r="A100" s="997">
        <v>28</v>
      </c>
      <c r="B100" s="978"/>
      <c r="C100" s="959" t="s">
        <v>1948</v>
      </c>
      <c r="D100" s="959" t="s">
        <v>1949</v>
      </c>
      <c r="E100" s="1018">
        <v>0.1</v>
      </c>
      <c r="F100" s="997">
        <v>15</v>
      </c>
    </row>
    <row r="101" s="942" customFormat="1" ht="24" spans="1:6">
      <c r="A101" s="997">
        <v>29</v>
      </c>
      <c r="B101" s="978"/>
      <c r="C101" s="959" t="s">
        <v>1950</v>
      </c>
      <c r="D101" s="959" t="s">
        <v>1951</v>
      </c>
      <c r="E101" s="1018">
        <v>0.1</v>
      </c>
      <c r="F101" s="997">
        <v>15</v>
      </c>
    </row>
    <row r="102" s="942" customFormat="1" ht="24" spans="1:6">
      <c r="A102" s="997">
        <v>30</v>
      </c>
      <c r="B102" s="978"/>
      <c r="C102" s="959" t="s">
        <v>1952</v>
      </c>
      <c r="D102" s="959" t="s">
        <v>1953</v>
      </c>
      <c r="E102" s="1018">
        <v>0.1</v>
      </c>
      <c r="F102" s="997">
        <v>15</v>
      </c>
    </row>
    <row r="103" s="942" customFormat="1" ht="24" spans="1:6">
      <c r="A103" s="997">
        <v>31</v>
      </c>
      <c r="B103" s="978"/>
      <c r="C103" s="959" t="s">
        <v>1954</v>
      </c>
      <c r="D103" s="959" t="s">
        <v>1955</v>
      </c>
      <c r="E103" s="1018">
        <v>0.1</v>
      </c>
      <c r="F103" s="997">
        <v>15</v>
      </c>
    </row>
    <row r="104" s="942" customFormat="1" ht="24" spans="1:6">
      <c r="A104" s="997">
        <v>32</v>
      </c>
      <c r="B104" s="978"/>
      <c r="C104" s="959" t="s">
        <v>1956</v>
      </c>
      <c r="D104" s="959" t="s">
        <v>1957</v>
      </c>
      <c r="E104" s="1018">
        <v>0.1</v>
      </c>
      <c r="F104" s="997">
        <v>15</v>
      </c>
    </row>
    <row r="105" s="942" customFormat="1" ht="36" spans="1:6">
      <c r="A105" s="997">
        <v>33</v>
      </c>
      <c r="B105" s="978"/>
      <c r="C105" s="959" t="s">
        <v>1958</v>
      </c>
      <c r="D105" s="959" t="s">
        <v>1959</v>
      </c>
      <c r="E105" s="1018">
        <v>0.1</v>
      </c>
      <c r="F105" s="997">
        <v>15</v>
      </c>
    </row>
    <row r="106" s="942" customFormat="1" ht="24" spans="1:6">
      <c r="A106" s="997">
        <v>34</v>
      </c>
      <c r="B106" s="996"/>
      <c r="C106" s="959" t="s">
        <v>1960</v>
      </c>
      <c r="D106" s="959" t="s">
        <v>1961</v>
      </c>
      <c r="E106" s="1018">
        <v>0.1</v>
      </c>
      <c r="F106" s="997">
        <v>15</v>
      </c>
    </row>
    <row r="107" s="942" customFormat="1" ht="36" spans="1:6">
      <c r="A107" s="997">
        <v>35</v>
      </c>
      <c r="B107" s="994" t="s">
        <v>1962</v>
      </c>
      <c r="C107" s="997" t="s">
        <v>1963</v>
      </c>
      <c r="D107" s="959" t="s">
        <v>1964</v>
      </c>
      <c r="E107" s="1018">
        <v>0.15</v>
      </c>
      <c r="F107" s="997">
        <v>20</v>
      </c>
    </row>
    <row r="108" s="942" customFormat="1" ht="24" spans="1:6">
      <c r="A108" s="997">
        <v>36</v>
      </c>
      <c r="B108" s="978"/>
      <c r="C108" s="997" t="s">
        <v>1965</v>
      </c>
      <c r="D108" s="959" t="s">
        <v>1966</v>
      </c>
      <c r="E108" s="1018">
        <v>0.15</v>
      </c>
      <c r="F108" s="997">
        <v>20</v>
      </c>
    </row>
    <row r="109" s="942" customFormat="1" ht="24" spans="1:6">
      <c r="A109" s="997">
        <v>37</v>
      </c>
      <c r="B109" s="978"/>
      <c r="C109" s="997" t="s">
        <v>1967</v>
      </c>
      <c r="D109" s="959" t="s">
        <v>1968</v>
      </c>
      <c r="E109" s="1018">
        <v>0.15</v>
      </c>
      <c r="F109" s="997">
        <v>20</v>
      </c>
    </row>
    <row r="110" s="942" customFormat="1" ht="24" spans="1:6">
      <c r="A110" s="997">
        <v>38</v>
      </c>
      <c r="B110" s="978"/>
      <c r="C110" s="997" t="s">
        <v>1969</v>
      </c>
      <c r="D110" s="959" t="s">
        <v>1970</v>
      </c>
      <c r="E110" s="1018">
        <v>0.1</v>
      </c>
      <c r="F110" s="997">
        <v>15</v>
      </c>
    </row>
    <row r="111" s="942" customFormat="1" ht="24" spans="1:6">
      <c r="A111" s="997">
        <v>39</v>
      </c>
      <c r="B111" s="978"/>
      <c r="C111" s="997" t="s">
        <v>1971</v>
      </c>
      <c r="D111" s="959" t="s">
        <v>1972</v>
      </c>
      <c r="E111" s="1018">
        <v>0.1</v>
      </c>
      <c r="F111" s="997">
        <v>15</v>
      </c>
    </row>
    <row r="112" s="942" customFormat="1" ht="24" spans="1:6">
      <c r="A112" s="997">
        <v>40</v>
      </c>
      <c r="B112" s="996"/>
      <c r="C112" s="997" t="s">
        <v>1973</v>
      </c>
      <c r="D112" s="959" t="s">
        <v>1974</v>
      </c>
      <c r="E112" s="1018">
        <v>0.1</v>
      </c>
      <c r="F112" s="997">
        <v>15</v>
      </c>
    </row>
    <row r="113" s="942" customFormat="1" ht="24" spans="1:6">
      <c r="A113" s="997">
        <v>41</v>
      </c>
      <c r="B113" s="997" t="s">
        <v>1975</v>
      </c>
      <c r="C113" s="997" t="s">
        <v>1976</v>
      </c>
      <c r="D113" s="959" t="s">
        <v>1977</v>
      </c>
      <c r="E113" s="1018">
        <v>0.1</v>
      </c>
      <c r="F113" s="997">
        <v>15</v>
      </c>
    </row>
    <row r="114" s="942" customFormat="1" ht="24" spans="1:6">
      <c r="A114" s="997">
        <v>42</v>
      </c>
      <c r="B114" s="997"/>
      <c r="C114" s="997" t="s">
        <v>1978</v>
      </c>
      <c r="D114" s="959" t="s">
        <v>1979</v>
      </c>
      <c r="E114" s="1018">
        <v>0.1</v>
      </c>
      <c r="F114" s="997">
        <v>15</v>
      </c>
    </row>
    <row r="115" s="942" customFormat="1" ht="24" spans="1:6">
      <c r="A115" s="997">
        <v>43</v>
      </c>
      <c r="B115" s="997"/>
      <c r="C115" s="997" t="s">
        <v>1980</v>
      </c>
      <c r="D115" s="959" t="s">
        <v>1981</v>
      </c>
      <c r="E115" s="1018">
        <v>0.1</v>
      </c>
      <c r="F115" s="997">
        <v>15</v>
      </c>
    </row>
    <row r="116" s="942" customFormat="1" ht="24" spans="1:6">
      <c r="A116" s="997">
        <v>44</v>
      </c>
      <c r="B116" s="994" t="s">
        <v>1982</v>
      </c>
      <c r="C116" s="997" t="s">
        <v>1983</v>
      </c>
      <c r="D116" s="959" t="s">
        <v>1984</v>
      </c>
      <c r="E116" s="1018">
        <v>0.1</v>
      </c>
      <c r="F116" s="997">
        <v>15</v>
      </c>
    </row>
    <row r="117" s="942" customFormat="1" ht="24" spans="1:6">
      <c r="A117" s="997">
        <v>45</v>
      </c>
      <c r="B117" s="996"/>
      <c r="C117" s="959" t="s">
        <v>1985</v>
      </c>
      <c r="D117" s="959" t="s">
        <v>1986</v>
      </c>
      <c r="E117" s="1018">
        <v>0.1</v>
      </c>
      <c r="F117" s="997">
        <v>15</v>
      </c>
    </row>
    <row r="118" s="942" customFormat="1" ht="24" spans="1:6">
      <c r="A118" s="997">
        <v>46</v>
      </c>
      <c r="B118" s="994" t="s">
        <v>1987</v>
      </c>
      <c r="C118" s="997" t="s">
        <v>1988</v>
      </c>
      <c r="D118" s="959" t="s">
        <v>1989</v>
      </c>
      <c r="E118" s="1018">
        <v>0.1</v>
      </c>
      <c r="F118" s="997">
        <v>15</v>
      </c>
    </row>
    <row r="119" s="942" customFormat="1" ht="24" spans="1:6">
      <c r="A119" s="997">
        <v>47</v>
      </c>
      <c r="B119" s="996"/>
      <c r="C119" s="997" t="s">
        <v>1990</v>
      </c>
      <c r="D119" s="959" t="s">
        <v>1991</v>
      </c>
      <c r="E119" s="1018">
        <v>0.1</v>
      </c>
      <c r="F119" s="997">
        <v>15</v>
      </c>
    </row>
    <row r="120" s="942" customFormat="1" ht="24" spans="1:6">
      <c r="A120" s="997">
        <v>48</v>
      </c>
      <c r="B120" s="994" t="s">
        <v>1992</v>
      </c>
      <c r="C120" s="997" t="s">
        <v>1993</v>
      </c>
      <c r="D120" s="959" t="s">
        <v>1994</v>
      </c>
      <c r="E120" s="1018">
        <v>0.1</v>
      </c>
      <c r="F120" s="997">
        <v>15</v>
      </c>
    </row>
    <row r="121" s="942" customFormat="1" ht="24" spans="1:6">
      <c r="A121" s="997">
        <v>49</v>
      </c>
      <c r="B121" s="996"/>
      <c r="C121" s="997" t="s">
        <v>1995</v>
      </c>
      <c r="D121" s="959" t="s">
        <v>1996</v>
      </c>
      <c r="E121" s="1018">
        <v>0.1</v>
      </c>
      <c r="F121" s="997">
        <v>15</v>
      </c>
    </row>
    <row r="122" s="942" customFormat="1" ht="24" spans="1:6">
      <c r="A122" s="997">
        <v>50</v>
      </c>
      <c r="B122" s="997" t="s">
        <v>1997</v>
      </c>
      <c r="C122" s="997" t="s">
        <v>1998</v>
      </c>
      <c r="D122" s="959" t="s">
        <v>1999</v>
      </c>
      <c r="E122" s="1018">
        <v>0.1</v>
      </c>
      <c r="F122" s="997">
        <v>15</v>
      </c>
    </row>
    <row r="123" s="942" customFormat="1" ht="24" spans="1:6">
      <c r="A123" s="997">
        <v>51</v>
      </c>
      <c r="B123" s="997"/>
      <c r="C123" s="997" t="s">
        <v>2000</v>
      </c>
      <c r="D123" s="959" t="s">
        <v>2001</v>
      </c>
      <c r="E123" s="1018">
        <v>0.1</v>
      </c>
      <c r="F123" s="997">
        <v>15</v>
      </c>
    </row>
    <row r="124" s="942" customFormat="1" ht="24" spans="1:6">
      <c r="A124" s="997">
        <v>52</v>
      </c>
      <c r="B124" s="997" t="s">
        <v>2002</v>
      </c>
      <c r="C124" s="997" t="s">
        <v>2003</v>
      </c>
      <c r="D124" s="959" t="s">
        <v>2004</v>
      </c>
      <c r="E124" s="1018">
        <v>0.1</v>
      </c>
      <c r="F124" s="997">
        <v>15</v>
      </c>
    </row>
    <row r="125" s="942" customFormat="1" ht="24" spans="1:6">
      <c r="A125" s="997">
        <v>53</v>
      </c>
      <c r="B125" s="997"/>
      <c r="C125" s="997" t="s">
        <v>2005</v>
      </c>
      <c r="D125" s="959" t="s">
        <v>2006</v>
      </c>
      <c r="E125" s="1018">
        <v>0.1</v>
      </c>
      <c r="F125" s="997">
        <v>15</v>
      </c>
    </row>
    <row r="126" ht="24" spans="1:6">
      <c r="A126" s="997">
        <v>54</v>
      </c>
      <c r="B126" s="997" t="s">
        <v>2007</v>
      </c>
      <c r="C126" s="997" t="s">
        <v>2008</v>
      </c>
      <c r="D126" s="959" t="s">
        <v>2009</v>
      </c>
      <c r="E126" s="1018">
        <v>0.1</v>
      </c>
      <c r="F126" s="997">
        <v>15</v>
      </c>
    </row>
    <row r="127" ht="24" spans="1:6">
      <c r="A127" s="997">
        <v>55</v>
      </c>
      <c r="B127" s="997" t="s">
        <v>2010</v>
      </c>
      <c r="C127" s="997" t="s">
        <v>2011</v>
      </c>
      <c r="D127" s="959" t="s">
        <v>2012</v>
      </c>
      <c r="E127" s="1018">
        <v>0.1</v>
      </c>
      <c r="F127" s="997">
        <v>15</v>
      </c>
    </row>
    <row r="128" ht="24" spans="1:6">
      <c r="A128" s="997">
        <v>56</v>
      </c>
      <c r="B128" s="997"/>
      <c r="C128" s="997" t="s">
        <v>2013</v>
      </c>
      <c r="D128" s="959" t="s">
        <v>2014</v>
      </c>
      <c r="E128" s="1018">
        <v>0.1</v>
      </c>
      <c r="F128" s="997">
        <v>15</v>
      </c>
    </row>
    <row r="129" ht="24" spans="1:6">
      <c r="A129" s="997">
        <v>57</v>
      </c>
      <c r="B129" s="997"/>
      <c r="C129" s="997" t="s">
        <v>2015</v>
      </c>
      <c r="D129" s="959" t="s">
        <v>2016</v>
      </c>
      <c r="E129" s="1018">
        <v>0.1</v>
      </c>
      <c r="F129" s="997">
        <v>15</v>
      </c>
    </row>
    <row r="130" ht="24" spans="1:6">
      <c r="A130" s="997">
        <v>58</v>
      </c>
      <c r="B130" s="997" t="s">
        <v>2017</v>
      </c>
      <c r="C130" s="997" t="s">
        <v>2018</v>
      </c>
      <c r="D130" s="959" t="s">
        <v>2019</v>
      </c>
      <c r="E130" s="1018">
        <v>0.1</v>
      </c>
      <c r="F130" s="997">
        <v>15</v>
      </c>
    </row>
    <row r="131" ht="24" spans="1:6">
      <c r="A131" s="997">
        <v>59</v>
      </c>
      <c r="B131" s="997"/>
      <c r="C131" s="997" t="s">
        <v>2020</v>
      </c>
      <c r="D131" s="959" t="s">
        <v>2021</v>
      </c>
      <c r="E131" s="1018">
        <v>0.1</v>
      </c>
      <c r="F131" s="997">
        <v>15</v>
      </c>
    </row>
    <row r="132" ht="24" spans="1:6">
      <c r="A132" s="997">
        <v>60</v>
      </c>
      <c r="B132" s="994" t="s">
        <v>2022</v>
      </c>
      <c r="C132" s="997" t="s">
        <v>2023</v>
      </c>
      <c r="D132" s="959" t="s">
        <v>2024</v>
      </c>
      <c r="E132" s="1018">
        <v>0.1</v>
      </c>
      <c r="F132" s="997">
        <v>15</v>
      </c>
    </row>
    <row r="133" ht="24" spans="1:6">
      <c r="A133" s="997">
        <v>61</v>
      </c>
      <c r="B133" s="996"/>
      <c r="C133" s="997" t="s">
        <v>2025</v>
      </c>
      <c r="D133" s="959" t="s">
        <v>2026</v>
      </c>
      <c r="E133" s="1018">
        <v>0.1</v>
      </c>
      <c r="F133" s="997">
        <v>15</v>
      </c>
    </row>
    <row r="134" ht="24" spans="1:6">
      <c r="A134" s="997">
        <v>62</v>
      </c>
      <c r="B134" s="997" t="s">
        <v>2027</v>
      </c>
      <c r="C134" s="997" t="s">
        <v>2028</v>
      </c>
      <c r="D134" s="959" t="s">
        <v>2029</v>
      </c>
      <c r="E134" s="1018">
        <v>0.1</v>
      </c>
      <c r="F134" s="997">
        <v>15</v>
      </c>
    </row>
    <row r="135" ht="24" spans="1:6">
      <c r="A135" s="997">
        <v>63</v>
      </c>
      <c r="B135" s="997" t="s">
        <v>2030</v>
      </c>
      <c r="C135" s="997" t="s">
        <v>2031</v>
      </c>
      <c r="D135" s="959" t="s">
        <v>2032</v>
      </c>
      <c r="E135" s="1018">
        <v>0.1</v>
      </c>
      <c r="F135" s="997">
        <v>15</v>
      </c>
    </row>
    <row r="136" ht="24" spans="1:6">
      <c r="A136" s="997">
        <v>64</v>
      </c>
      <c r="B136" s="997"/>
      <c r="C136" s="997" t="s">
        <v>2033</v>
      </c>
      <c r="D136" s="959" t="s">
        <v>2034</v>
      </c>
      <c r="E136" s="1018">
        <v>0.1</v>
      </c>
      <c r="F136" s="997">
        <v>15</v>
      </c>
    </row>
    <row r="137" ht="24" spans="1:6">
      <c r="A137" s="997">
        <v>65</v>
      </c>
      <c r="B137" s="997" t="s">
        <v>2035</v>
      </c>
      <c r="C137" s="997" t="s">
        <v>2036</v>
      </c>
      <c r="D137" s="959" t="s">
        <v>2037</v>
      </c>
      <c r="E137" s="1018">
        <v>0.1</v>
      </c>
      <c r="F137" s="997">
        <v>15</v>
      </c>
    </row>
    <row r="138" ht="14.4" spans="1:6">
      <c r="A138" s="1016"/>
      <c r="B138" s="1016"/>
      <c r="C138" s="1016"/>
      <c r="D138" s="1016"/>
      <c r="E138" s="1017"/>
      <c r="F138" s="1016"/>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V30" sqref="V30"/>
    </sheetView>
  </sheetViews>
  <sheetFormatPr defaultColWidth="9" defaultRowHeight="14.4"/>
  <cols>
    <col min="1" max="1" width="9" style="930"/>
    <col min="2" max="16384" width="9" style="931"/>
  </cols>
  <sheetData>
    <row r="1" ht="15.6" spans="1:14">
      <c r="A1" s="932" t="s">
        <v>2038</v>
      </c>
      <c r="B1" s="933"/>
      <c r="C1" s="933"/>
      <c r="D1" s="933"/>
      <c r="E1" s="933"/>
      <c r="F1" s="933"/>
      <c r="G1" s="933"/>
      <c r="H1" s="933"/>
      <c r="I1" s="933"/>
      <c r="J1" s="933"/>
      <c r="K1" s="933"/>
      <c r="L1" s="933"/>
      <c r="M1" s="933"/>
      <c r="N1" s="933"/>
    </row>
    <row r="2" spans="1:13">
      <c r="A2" s="934" t="s">
        <v>2039</v>
      </c>
      <c r="B2" s="935" t="s">
        <v>230</v>
      </c>
      <c r="C2" s="935" t="s">
        <v>241</v>
      </c>
      <c r="D2" s="935" t="s">
        <v>251</v>
      </c>
      <c r="E2" s="935" t="s">
        <v>259</v>
      </c>
      <c r="F2" s="935" t="s">
        <v>267</v>
      </c>
      <c r="G2" s="935" t="s">
        <v>273</v>
      </c>
      <c r="H2" s="936" t="s">
        <v>278</v>
      </c>
      <c r="I2" s="936" t="s">
        <v>283</v>
      </c>
      <c r="J2" s="939" t="s">
        <v>286</v>
      </c>
      <c r="K2" s="939" t="s">
        <v>289</v>
      </c>
      <c r="L2" s="939" t="s">
        <v>292</v>
      </c>
      <c r="M2" s="939" t="s">
        <v>295</v>
      </c>
    </row>
    <row r="3" spans="1:14">
      <c r="A3" s="934">
        <v>0.1</v>
      </c>
      <c r="B3" s="937">
        <v>15.052</v>
      </c>
      <c r="C3" s="937">
        <v>15.052</v>
      </c>
      <c r="D3" s="937">
        <v>14.263</v>
      </c>
      <c r="E3" s="937">
        <v>14.263</v>
      </c>
      <c r="F3" s="937">
        <v>14.263</v>
      </c>
      <c r="G3" s="937">
        <v>14.263</v>
      </c>
      <c r="H3" s="937">
        <v>14.263</v>
      </c>
      <c r="I3" s="937">
        <v>14.097</v>
      </c>
      <c r="J3" s="937">
        <v>14.097</v>
      </c>
      <c r="K3" s="937">
        <v>14.097</v>
      </c>
      <c r="L3" s="937">
        <v>14.097</v>
      </c>
      <c r="M3" s="937">
        <v>14.097</v>
      </c>
      <c r="N3" s="940"/>
    </row>
    <row r="4" spans="1:13">
      <c r="A4" s="934">
        <v>0.2</v>
      </c>
      <c r="B4" s="937">
        <v>7.526</v>
      </c>
      <c r="C4" s="937">
        <v>7.526</v>
      </c>
      <c r="D4" s="937">
        <v>7.1315</v>
      </c>
      <c r="E4" s="937">
        <v>7.1315</v>
      </c>
      <c r="F4" s="937">
        <v>7.1315</v>
      </c>
      <c r="G4" s="937">
        <v>7.1315</v>
      </c>
      <c r="H4" s="937">
        <v>7.1315</v>
      </c>
      <c r="I4" s="937">
        <v>7.0485</v>
      </c>
      <c r="J4" s="937">
        <v>7.0485</v>
      </c>
      <c r="K4" s="937">
        <v>7.0485</v>
      </c>
      <c r="L4" s="937">
        <v>7.0485</v>
      </c>
      <c r="M4" s="937">
        <v>7.0485</v>
      </c>
    </row>
    <row r="5" spans="1:13">
      <c r="A5" s="934">
        <v>0.3</v>
      </c>
      <c r="B5" s="937">
        <v>5.0173</v>
      </c>
      <c r="C5" s="937">
        <v>5.0173</v>
      </c>
      <c r="D5" s="937">
        <v>4.7543</v>
      </c>
      <c r="E5" s="937">
        <v>4.7543</v>
      </c>
      <c r="F5" s="937">
        <v>4.7543</v>
      </c>
      <c r="G5" s="937">
        <v>4.7543</v>
      </c>
      <c r="H5" s="937">
        <v>4.7543</v>
      </c>
      <c r="I5" s="937">
        <v>4.699</v>
      </c>
      <c r="J5" s="937">
        <v>4.699</v>
      </c>
      <c r="K5" s="937">
        <v>4.699</v>
      </c>
      <c r="L5" s="937">
        <v>4.699</v>
      </c>
      <c r="M5" s="937">
        <v>4.699</v>
      </c>
    </row>
    <row r="6" spans="1:13">
      <c r="A6" s="934">
        <v>0.4</v>
      </c>
      <c r="B6" s="937">
        <v>3.763</v>
      </c>
      <c r="C6" s="937">
        <v>3.763</v>
      </c>
      <c r="D6" s="937">
        <v>3.5658</v>
      </c>
      <c r="E6" s="937">
        <v>3.5658</v>
      </c>
      <c r="F6" s="937">
        <v>3.5658</v>
      </c>
      <c r="G6" s="937">
        <v>3.5658</v>
      </c>
      <c r="H6" s="937">
        <v>3.5658</v>
      </c>
      <c r="I6" s="937">
        <v>3.5243</v>
      </c>
      <c r="J6" s="937">
        <v>3.5243</v>
      </c>
      <c r="K6" s="937">
        <v>3.5243</v>
      </c>
      <c r="L6" s="937">
        <v>3.5243</v>
      </c>
      <c r="M6" s="937">
        <v>3.5243</v>
      </c>
    </row>
    <row r="7" spans="1:13">
      <c r="A7" s="934">
        <v>0.5</v>
      </c>
      <c r="B7" s="937">
        <v>3.0104</v>
      </c>
      <c r="C7" s="937">
        <v>3.0104</v>
      </c>
      <c r="D7" s="937">
        <v>2.8526</v>
      </c>
      <c r="E7" s="937">
        <v>2.8526</v>
      </c>
      <c r="F7" s="937">
        <v>2.8526</v>
      </c>
      <c r="G7" s="937">
        <v>2.8526</v>
      </c>
      <c r="H7" s="937">
        <v>2.8526</v>
      </c>
      <c r="I7" s="937">
        <v>2.8194</v>
      </c>
      <c r="J7" s="937">
        <v>2.8194</v>
      </c>
      <c r="K7" s="937">
        <v>2.8194</v>
      </c>
      <c r="L7" s="937">
        <v>2.8194</v>
      </c>
      <c r="M7" s="937">
        <v>2.8194</v>
      </c>
    </row>
    <row r="8" spans="1:13">
      <c r="A8" s="934">
        <v>0.6</v>
      </c>
      <c r="B8" s="937">
        <v>2.5087</v>
      </c>
      <c r="C8" s="937">
        <v>2.5087</v>
      </c>
      <c r="D8" s="937">
        <v>2.3772</v>
      </c>
      <c r="E8" s="937">
        <v>2.3772</v>
      </c>
      <c r="F8" s="937">
        <v>2.3772</v>
      </c>
      <c r="G8" s="937">
        <v>2.3772</v>
      </c>
      <c r="H8" s="937">
        <v>2.3772</v>
      </c>
      <c r="I8" s="937">
        <v>2.3495</v>
      </c>
      <c r="J8" s="937">
        <v>2.3495</v>
      </c>
      <c r="K8" s="937">
        <v>2.3495</v>
      </c>
      <c r="L8" s="937">
        <v>2.3495</v>
      </c>
      <c r="M8" s="937">
        <v>2.3495</v>
      </c>
    </row>
    <row r="9" spans="1:13">
      <c r="A9" s="934">
        <v>0.7</v>
      </c>
      <c r="B9" s="937">
        <v>2.1503</v>
      </c>
      <c r="C9" s="937">
        <v>2.1503</v>
      </c>
      <c r="D9" s="937">
        <v>2.0376</v>
      </c>
      <c r="E9" s="937">
        <v>2.0376</v>
      </c>
      <c r="F9" s="937">
        <v>2.0376</v>
      </c>
      <c r="G9" s="937">
        <v>2.0376</v>
      </c>
      <c r="H9" s="937">
        <v>2.0376</v>
      </c>
      <c r="I9" s="937">
        <v>2.0139</v>
      </c>
      <c r="J9" s="937">
        <v>2.0139</v>
      </c>
      <c r="K9" s="937">
        <v>2.0139</v>
      </c>
      <c r="L9" s="937">
        <v>2.0139</v>
      </c>
      <c r="M9" s="937">
        <v>2.0139</v>
      </c>
    </row>
    <row r="10" spans="1:13">
      <c r="A10" s="934">
        <v>0.8</v>
      </c>
      <c r="B10" s="937">
        <v>1.8815</v>
      </c>
      <c r="C10" s="937">
        <v>1.8815</v>
      </c>
      <c r="D10" s="937">
        <v>1.7829</v>
      </c>
      <c r="E10" s="937">
        <v>1.7829</v>
      </c>
      <c r="F10" s="937">
        <v>1.7829</v>
      </c>
      <c r="G10" s="937">
        <v>1.7829</v>
      </c>
      <c r="H10" s="937">
        <v>1.7829</v>
      </c>
      <c r="I10" s="937">
        <v>1.7621</v>
      </c>
      <c r="J10" s="937">
        <v>1.7621</v>
      </c>
      <c r="K10" s="937">
        <v>1.7621</v>
      </c>
      <c r="L10" s="937">
        <v>1.7621</v>
      </c>
      <c r="M10" s="937">
        <v>1.7621</v>
      </c>
    </row>
    <row r="11" spans="1:13">
      <c r="A11" s="934">
        <v>0.9</v>
      </c>
      <c r="B11" s="937">
        <v>1.6724</v>
      </c>
      <c r="C11" s="937">
        <v>1.6724</v>
      </c>
      <c r="D11" s="937">
        <v>1.5848</v>
      </c>
      <c r="E11" s="937">
        <v>1.5848</v>
      </c>
      <c r="F11" s="937">
        <v>1.5848</v>
      </c>
      <c r="G11" s="937">
        <v>1.5848</v>
      </c>
      <c r="H11" s="937">
        <v>1.5848</v>
      </c>
      <c r="I11" s="937">
        <v>1.5663</v>
      </c>
      <c r="J11" s="937">
        <v>1.5663</v>
      </c>
      <c r="K11" s="937">
        <v>1.5663</v>
      </c>
      <c r="L11" s="937">
        <v>1.5663</v>
      </c>
      <c r="M11" s="937">
        <v>1.5663</v>
      </c>
    </row>
    <row r="12" spans="1:13">
      <c r="A12" s="934">
        <v>1</v>
      </c>
      <c r="B12" s="937">
        <v>1.5052</v>
      </c>
      <c r="C12" s="937">
        <v>1.5052</v>
      </c>
      <c r="D12" s="937">
        <v>1.4263</v>
      </c>
      <c r="E12" s="937">
        <v>1.4263</v>
      </c>
      <c r="F12" s="937">
        <v>1.4263</v>
      </c>
      <c r="G12" s="937">
        <v>1.4263</v>
      </c>
      <c r="H12" s="937">
        <v>1.4263</v>
      </c>
      <c r="I12" s="937">
        <v>1.4097</v>
      </c>
      <c r="J12" s="937">
        <v>1.4097</v>
      </c>
      <c r="K12" s="937">
        <v>1.4097</v>
      </c>
      <c r="L12" s="937">
        <v>1.4097</v>
      </c>
      <c r="M12" s="937">
        <v>1.4097</v>
      </c>
    </row>
    <row r="13" spans="1:13">
      <c r="A13" s="934">
        <v>1.1</v>
      </c>
      <c r="B13" s="937">
        <v>1.4509</v>
      </c>
      <c r="C13" s="937">
        <v>1.4509</v>
      </c>
      <c r="D13" s="937">
        <v>1.3698</v>
      </c>
      <c r="E13" s="937">
        <v>1.3698</v>
      </c>
      <c r="F13" s="937">
        <v>1.3698</v>
      </c>
      <c r="G13" s="937">
        <v>1.3698</v>
      </c>
      <c r="H13" s="937">
        <v>1.3698</v>
      </c>
      <c r="I13" s="937">
        <v>1.343</v>
      </c>
      <c r="J13" s="937">
        <v>1.343</v>
      </c>
      <c r="K13" s="937">
        <v>1.343</v>
      </c>
      <c r="L13" s="937">
        <v>1.343</v>
      </c>
      <c r="M13" s="937">
        <v>1.343</v>
      </c>
    </row>
    <row r="14" spans="1:13">
      <c r="A14" s="934">
        <v>1.2</v>
      </c>
      <c r="B14" s="937">
        <v>1.4035</v>
      </c>
      <c r="C14" s="937">
        <v>1.4035</v>
      </c>
      <c r="D14" s="937">
        <v>1.3205</v>
      </c>
      <c r="E14" s="937">
        <v>1.3205</v>
      </c>
      <c r="F14" s="937">
        <v>1.3205</v>
      </c>
      <c r="G14" s="937">
        <v>1.3205</v>
      </c>
      <c r="H14" s="937">
        <v>1.3205</v>
      </c>
      <c r="I14" s="937">
        <v>1.2845</v>
      </c>
      <c r="J14" s="937">
        <v>1.2845</v>
      </c>
      <c r="K14" s="937">
        <v>1.2845</v>
      </c>
      <c r="L14" s="937">
        <v>1.2845</v>
      </c>
      <c r="M14" s="937">
        <v>1.2845</v>
      </c>
    </row>
    <row r="15" spans="1:13">
      <c r="A15" s="934">
        <v>1.3</v>
      </c>
      <c r="B15" s="937">
        <v>1.3622</v>
      </c>
      <c r="C15" s="937">
        <v>1.3622</v>
      </c>
      <c r="D15" s="937">
        <v>1.2775</v>
      </c>
      <c r="E15" s="937">
        <v>1.2775</v>
      </c>
      <c r="F15" s="937">
        <v>1.2775</v>
      </c>
      <c r="G15" s="937">
        <v>1.2775</v>
      </c>
      <c r="H15" s="937">
        <v>1.2775</v>
      </c>
      <c r="I15" s="937">
        <v>1.2332</v>
      </c>
      <c r="J15" s="937">
        <v>1.2332</v>
      </c>
      <c r="K15" s="937">
        <v>1.2332</v>
      </c>
      <c r="L15" s="937">
        <v>1.2332</v>
      </c>
      <c r="M15" s="937">
        <v>1.2332</v>
      </c>
    </row>
    <row r="16" spans="1:14">
      <c r="A16" s="934">
        <v>1.4</v>
      </c>
      <c r="B16" s="937">
        <v>1.3262</v>
      </c>
      <c r="C16" s="937">
        <v>1.3262</v>
      </c>
      <c r="D16" s="937">
        <v>1.2402</v>
      </c>
      <c r="E16" s="937">
        <v>1.2402</v>
      </c>
      <c r="F16" s="937">
        <v>1.2402</v>
      </c>
      <c r="G16" s="937">
        <v>1.2402</v>
      </c>
      <c r="H16" s="937">
        <v>1.2402</v>
      </c>
      <c r="I16" s="937">
        <v>1.1882</v>
      </c>
      <c r="J16" s="937">
        <v>1.1882</v>
      </c>
      <c r="K16" s="937">
        <v>1.1882</v>
      </c>
      <c r="L16" s="937">
        <v>1.1882</v>
      </c>
      <c r="M16" s="937">
        <v>1.1882</v>
      </c>
      <c r="N16" s="940"/>
    </row>
    <row r="17" spans="1:14">
      <c r="A17" s="934">
        <v>1.5</v>
      </c>
      <c r="B17" s="937">
        <v>1.2948</v>
      </c>
      <c r="C17" s="937">
        <v>1.2948</v>
      </c>
      <c r="D17" s="937">
        <v>1.2075</v>
      </c>
      <c r="E17" s="937">
        <v>1.2075</v>
      </c>
      <c r="F17" s="937">
        <v>1.2075</v>
      </c>
      <c r="G17" s="937">
        <v>1.2075</v>
      </c>
      <c r="H17" s="937">
        <v>1.2075</v>
      </c>
      <c r="I17" s="937">
        <v>1.1486</v>
      </c>
      <c r="J17" s="937">
        <v>1.1486</v>
      </c>
      <c r="K17" s="937">
        <v>1.1486</v>
      </c>
      <c r="L17" s="937">
        <v>1.1486</v>
      </c>
      <c r="M17" s="937">
        <v>1.1486</v>
      </c>
      <c r="N17" s="940"/>
    </row>
    <row r="18" spans="1:13">
      <c r="A18" s="934">
        <v>1.6</v>
      </c>
      <c r="B18" s="937">
        <v>1.2673</v>
      </c>
      <c r="C18" s="937">
        <v>1.2673</v>
      </c>
      <c r="D18" s="937">
        <v>1.1789</v>
      </c>
      <c r="E18" s="937">
        <v>1.1789</v>
      </c>
      <c r="F18" s="937">
        <v>1.1789</v>
      </c>
      <c r="G18" s="937">
        <v>1.1789</v>
      </c>
      <c r="H18" s="937">
        <v>1.1789</v>
      </c>
      <c r="I18" s="937">
        <v>1.1135</v>
      </c>
      <c r="J18" s="937">
        <v>1.1135</v>
      </c>
      <c r="K18" s="937">
        <v>1.1135</v>
      </c>
      <c r="L18" s="937">
        <v>1.1135</v>
      </c>
      <c r="M18" s="937">
        <v>1.1135</v>
      </c>
    </row>
    <row r="19" spans="1:13">
      <c r="A19" s="934">
        <v>1.7</v>
      </c>
      <c r="B19" s="937">
        <v>1.2429</v>
      </c>
      <c r="C19" s="937">
        <v>1.2429</v>
      </c>
      <c r="D19" s="937">
        <v>1.1534</v>
      </c>
      <c r="E19" s="937">
        <v>1.1534</v>
      </c>
      <c r="F19" s="937">
        <v>1.1534</v>
      </c>
      <c r="G19" s="937">
        <v>1.1534</v>
      </c>
      <c r="H19" s="937">
        <v>1.1534</v>
      </c>
      <c r="I19" s="937">
        <v>1.082</v>
      </c>
      <c r="J19" s="937">
        <v>1.082</v>
      </c>
      <c r="K19" s="937">
        <v>1.082</v>
      </c>
      <c r="L19" s="937">
        <v>1.082</v>
      </c>
      <c r="M19" s="937">
        <v>1.082</v>
      </c>
    </row>
    <row r="20" spans="1:13">
      <c r="A20" s="934">
        <v>1.8</v>
      </c>
      <c r="B20" s="937">
        <v>1.2207</v>
      </c>
      <c r="C20" s="937">
        <v>1.2207</v>
      </c>
      <c r="D20" s="937">
        <v>1.1304</v>
      </c>
      <c r="E20" s="937">
        <v>1.1304</v>
      </c>
      <c r="F20" s="937">
        <v>1.1304</v>
      </c>
      <c r="G20" s="937">
        <v>1.1304</v>
      </c>
      <c r="H20" s="937">
        <v>1.1304</v>
      </c>
      <c r="I20" s="937">
        <v>1.0532</v>
      </c>
      <c r="J20" s="937">
        <v>1.0532</v>
      </c>
      <c r="K20" s="937">
        <v>1.0532</v>
      </c>
      <c r="L20" s="937">
        <v>1.0532</v>
      </c>
      <c r="M20" s="937">
        <v>1.0532</v>
      </c>
    </row>
    <row r="21" spans="1:13">
      <c r="A21" s="934">
        <v>1.9</v>
      </c>
      <c r="B21" s="937">
        <v>1.2</v>
      </c>
      <c r="C21" s="937">
        <v>1.2</v>
      </c>
      <c r="D21" s="937">
        <v>1.1089</v>
      </c>
      <c r="E21" s="937">
        <v>1.1089</v>
      </c>
      <c r="F21" s="937">
        <v>1.1089</v>
      </c>
      <c r="G21" s="937">
        <v>1.1089</v>
      </c>
      <c r="H21" s="937">
        <v>1.1089</v>
      </c>
      <c r="I21" s="937">
        <v>1.0261</v>
      </c>
      <c r="J21" s="937">
        <v>1.0261</v>
      </c>
      <c r="K21" s="937">
        <v>1.0261</v>
      </c>
      <c r="L21" s="937">
        <v>1.0261</v>
      </c>
      <c r="M21" s="937">
        <v>1.0261</v>
      </c>
    </row>
    <row r="22" spans="1:13">
      <c r="A22" s="934">
        <v>2</v>
      </c>
      <c r="B22" s="937">
        <v>1.1801</v>
      </c>
      <c r="C22" s="937">
        <v>1.1801</v>
      </c>
      <c r="D22" s="937">
        <v>1.0883</v>
      </c>
      <c r="E22" s="937">
        <v>1.0883</v>
      </c>
      <c r="F22" s="937">
        <v>1.0883</v>
      </c>
      <c r="G22" s="937">
        <v>1.0883</v>
      </c>
      <c r="H22" s="937">
        <v>1.0883</v>
      </c>
      <c r="I22" s="937">
        <v>1</v>
      </c>
      <c r="J22" s="937">
        <v>1</v>
      </c>
      <c r="K22" s="937">
        <v>1</v>
      </c>
      <c r="L22" s="937">
        <v>1</v>
      </c>
      <c r="M22" s="937">
        <v>1</v>
      </c>
    </row>
    <row r="23" spans="1:13">
      <c r="A23" s="938">
        <v>2.1</v>
      </c>
      <c r="B23" s="937">
        <v>1.1616</v>
      </c>
      <c r="C23" s="937">
        <v>1.1616</v>
      </c>
      <c r="D23" s="937">
        <v>1.0685</v>
      </c>
      <c r="E23" s="937">
        <v>1.0685</v>
      </c>
      <c r="F23" s="937">
        <v>1.0685</v>
      </c>
      <c r="G23" s="937">
        <v>1.0685</v>
      </c>
      <c r="H23" s="937">
        <v>1.0685</v>
      </c>
      <c r="I23" s="937">
        <v>0.9755</v>
      </c>
      <c r="J23" s="937">
        <v>0.9755</v>
      </c>
      <c r="K23" s="937">
        <v>0.9755</v>
      </c>
      <c r="L23" s="937">
        <v>0.9755</v>
      </c>
      <c r="M23" s="937">
        <v>0.9755</v>
      </c>
    </row>
    <row r="24" spans="1:13">
      <c r="A24" s="938">
        <v>2.2</v>
      </c>
      <c r="B24" s="937">
        <v>1.1441</v>
      </c>
      <c r="C24" s="937">
        <v>1.1441</v>
      </c>
      <c r="D24" s="937">
        <v>1.0497</v>
      </c>
      <c r="E24" s="937">
        <v>1.0497</v>
      </c>
      <c r="F24" s="937">
        <v>1.0497</v>
      </c>
      <c r="G24" s="937">
        <v>1.0497</v>
      </c>
      <c r="H24" s="937">
        <v>1.0497</v>
      </c>
      <c r="I24" s="937">
        <v>0.9523</v>
      </c>
      <c r="J24" s="937">
        <v>0.9523</v>
      </c>
      <c r="K24" s="937">
        <v>0.9523</v>
      </c>
      <c r="L24" s="937">
        <v>0.9523</v>
      </c>
      <c r="M24" s="937">
        <v>0.9523</v>
      </c>
    </row>
    <row r="25" spans="1:13">
      <c r="A25" s="938">
        <v>2.3</v>
      </c>
      <c r="B25" s="937">
        <v>1.1276</v>
      </c>
      <c r="C25" s="937">
        <v>1.1276</v>
      </c>
      <c r="D25" s="937">
        <v>1.032</v>
      </c>
      <c r="E25" s="937">
        <v>1.032</v>
      </c>
      <c r="F25" s="937">
        <v>1.032</v>
      </c>
      <c r="G25" s="937">
        <v>1.032</v>
      </c>
      <c r="H25" s="937">
        <v>1.032</v>
      </c>
      <c r="I25" s="937">
        <v>0.9304</v>
      </c>
      <c r="J25" s="937">
        <v>0.9304</v>
      </c>
      <c r="K25" s="937">
        <v>0.9304</v>
      </c>
      <c r="L25" s="937">
        <v>0.9304</v>
      </c>
      <c r="M25" s="937">
        <v>0.9304</v>
      </c>
    </row>
    <row r="26" spans="1:13">
      <c r="A26" s="938">
        <v>2.4</v>
      </c>
      <c r="B26" s="937">
        <v>1.1121</v>
      </c>
      <c r="C26" s="937">
        <v>1.1121</v>
      </c>
      <c r="D26" s="937">
        <v>1.0155</v>
      </c>
      <c r="E26" s="937">
        <v>1.0155</v>
      </c>
      <c r="F26" s="937">
        <v>1.0155</v>
      </c>
      <c r="G26" s="937">
        <v>1.0155</v>
      </c>
      <c r="H26" s="937">
        <v>1.0155</v>
      </c>
      <c r="I26" s="937">
        <v>0.91</v>
      </c>
      <c r="J26" s="937">
        <v>0.91</v>
      </c>
      <c r="K26" s="937">
        <v>0.91</v>
      </c>
      <c r="L26" s="937">
        <v>0.91</v>
      </c>
      <c r="M26" s="937">
        <v>0.91</v>
      </c>
    </row>
    <row r="27" spans="1:13">
      <c r="A27" s="938">
        <v>2.5</v>
      </c>
      <c r="B27" s="937">
        <v>1.0976</v>
      </c>
      <c r="C27" s="937">
        <v>1.0976</v>
      </c>
      <c r="D27" s="937">
        <v>1</v>
      </c>
      <c r="E27" s="937">
        <v>1</v>
      </c>
      <c r="F27" s="937">
        <v>1</v>
      </c>
      <c r="G27" s="937">
        <v>1</v>
      </c>
      <c r="H27" s="937">
        <v>1</v>
      </c>
      <c r="I27" s="937">
        <v>0.8908</v>
      </c>
      <c r="J27" s="937">
        <v>0.8908</v>
      </c>
      <c r="K27" s="937">
        <v>0.8908</v>
      </c>
      <c r="L27" s="937">
        <v>0.8908</v>
      </c>
      <c r="M27" s="937">
        <v>0.8908</v>
      </c>
    </row>
    <row r="28" spans="1:13">
      <c r="A28" s="938">
        <v>2.6</v>
      </c>
      <c r="B28" s="937">
        <v>1.0841</v>
      </c>
      <c r="C28" s="937">
        <v>1.0841</v>
      </c>
      <c r="D28" s="937">
        <v>0.9862</v>
      </c>
      <c r="E28" s="937">
        <v>0.9862</v>
      </c>
      <c r="F28" s="937">
        <v>0.9862</v>
      </c>
      <c r="G28" s="937">
        <v>0.9862</v>
      </c>
      <c r="H28" s="937">
        <v>0.9862</v>
      </c>
      <c r="I28" s="937">
        <v>0.873</v>
      </c>
      <c r="J28" s="937">
        <v>0.873</v>
      </c>
      <c r="K28" s="937">
        <v>0.873</v>
      </c>
      <c r="L28" s="937">
        <v>0.873</v>
      </c>
      <c r="M28" s="937">
        <v>0.873</v>
      </c>
    </row>
    <row r="29" spans="1:13">
      <c r="A29" s="938">
        <v>2.7</v>
      </c>
      <c r="B29" s="937">
        <v>1.0716</v>
      </c>
      <c r="C29" s="937">
        <v>1.0716</v>
      </c>
      <c r="D29" s="937">
        <v>0.9733</v>
      </c>
      <c r="E29" s="937">
        <v>0.9733</v>
      </c>
      <c r="F29" s="937">
        <v>0.9733</v>
      </c>
      <c r="G29" s="937">
        <v>0.9733</v>
      </c>
      <c r="H29" s="937">
        <v>0.9733</v>
      </c>
      <c r="I29" s="937">
        <v>0.8567</v>
      </c>
      <c r="J29" s="937">
        <v>0.8567</v>
      </c>
      <c r="K29" s="937">
        <v>0.8567</v>
      </c>
      <c r="L29" s="937">
        <v>0.8567</v>
      </c>
      <c r="M29" s="937">
        <v>0.8567</v>
      </c>
    </row>
    <row r="30" spans="1:13">
      <c r="A30" s="938">
        <v>2.8</v>
      </c>
      <c r="B30" s="937">
        <v>1.0602</v>
      </c>
      <c r="C30" s="937">
        <v>1.0602</v>
      </c>
      <c r="D30" s="937">
        <v>0.9616</v>
      </c>
      <c r="E30" s="937">
        <v>0.9616</v>
      </c>
      <c r="F30" s="937">
        <v>0.9616</v>
      </c>
      <c r="G30" s="937">
        <v>0.9616</v>
      </c>
      <c r="H30" s="937">
        <v>0.9616</v>
      </c>
      <c r="I30" s="937">
        <v>0.8417</v>
      </c>
      <c r="J30" s="937">
        <v>0.8417</v>
      </c>
      <c r="K30" s="937">
        <v>0.8417</v>
      </c>
      <c r="L30" s="937">
        <v>0.8417</v>
      </c>
      <c r="M30" s="937">
        <v>0.8417</v>
      </c>
    </row>
    <row r="31" spans="1:13">
      <c r="A31" s="938">
        <v>2.9</v>
      </c>
      <c r="B31" s="937">
        <v>1.0497</v>
      </c>
      <c r="C31" s="937">
        <v>1.0497</v>
      </c>
      <c r="D31" s="937">
        <v>0.9509</v>
      </c>
      <c r="E31" s="937">
        <v>0.9509</v>
      </c>
      <c r="F31" s="937">
        <v>0.9509</v>
      </c>
      <c r="G31" s="937">
        <v>0.9509</v>
      </c>
      <c r="H31" s="937">
        <v>0.9509</v>
      </c>
      <c r="I31" s="937">
        <v>0.8281</v>
      </c>
      <c r="J31" s="937">
        <v>0.8281</v>
      </c>
      <c r="K31" s="937">
        <v>0.8281</v>
      </c>
      <c r="L31" s="937">
        <v>0.8281</v>
      </c>
      <c r="M31" s="937">
        <v>0.8281</v>
      </c>
    </row>
    <row r="32" spans="1:13">
      <c r="A32" s="938">
        <v>3</v>
      </c>
      <c r="B32" s="937">
        <v>1.0401</v>
      </c>
      <c r="C32" s="937">
        <v>1.0401</v>
      </c>
      <c r="D32" s="937">
        <v>0.9409</v>
      </c>
      <c r="E32" s="937">
        <v>0.9409</v>
      </c>
      <c r="F32" s="937">
        <v>0.9409</v>
      </c>
      <c r="G32" s="937">
        <v>0.9409</v>
      </c>
      <c r="H32" s="937">
        <v>0.9409</v>
      </c>
      <c r="I32" s="937">
        <v>0.8158</v>
      </c>
      <c r="J32" s="937">
        <v>0.8158</v>
      </c>
      <c r="K32" s="937">
        <v>0.8158</v>
      </c>
      <c r="L32" s="937">
        <v>0.8158</v>
      </c>
      <c r="M32" s="937">
        <v>0.8158</v>
      </c>
    </row>
    <row r="33" spans="1:13">
      <c r="A33" s="938">
        <v>3.1</v>
      </c>
      <c r="B33" s="937">
        <v>1.0314</v>
      </c>
      <c r="C33" s="937">
        <v>1.0314</v>
      </c>
      <c r="D33" s="937">
        <v>0.9317</v>
      </c>
      <c r="E33" s="937">
        <v>0.9317</v>
      </c>
      <c r="F33" s="937">
        <v>0.9317</v>
      </c>
      <c r="G33" s="937">
        <v>0.9317</v>
      </c>
      <c r="H33" s="937">
        <v>0.9317</v>
      </c>
      <c r="I33" s="937">
        <v>0.8041</v>
      </c>
      <c r="J33" s="937">
        <v>0.8041</v>
      </c>
      <c r="K33" s="937">
        <v>0.8041</v>
      </c>
      <c r="L33" s="937">
        <v>0.8041</v>
      </c>
      <c r="M33" s="937">
        <v>0.8041</v>
      </c>
    </row>
    <row r="34" spans="1:13">
      <c r="A34" s="938">
        <v>3.2</v>
      </c>
      <c r="B34" s="937">
        <v>1.023</v>
      </c>
      <c r="C34" s="937">
        <v>1.023</v>
      </c>
      <c r="D34" s="937">
        <v>0.9228</v>
      </c>
      <c r="E34" s="937">
        <v>0.9228</v>
      </c>
      <c r="F34" s="937">
        <v>0.9228</v>
      </c>
      <c r="G34" s="937">
        <v>0.9228</v>
      </c>
      <c r="H34" s="937">
        <v>0.9228</v>
      </c>
      <c r="I34" s="937">
        <v>0.793</v>
      </c>
      <c r="J34" s="937">
        <v>0.793</v>
      </c>
      <c r="K34" s="937">
        <v>0.793</v>
      </c>
      <c r="L34" s="937">
        <v>0.793</v>
      </c>
      <c r="M34" s="937">
        <v>0.793</v>
      </c>
    </row>
    <row r="35" spans="1:13">
      <c r="A35" s="938">
        <v>3.3</v>
      </c>
      <c r="B35" s="937">
        <v>1.015</v>
      </c>
      <c r="C35" s="937">
        <v>1.015</v>
      </c>
      <c r="D35" s="937">
        <v>0.9144</v>
      </c>
      <c r="E35" s="937">
        <v>0.9144</v>
      </c>
      <c r="F35" s="937">
        <v>0.9144</v>
      </c>
      <c r="G35" s="937">
        <v>0.9144</v>
      </c>
      <c r="H35" s="937">
        <v>0.9144</v>
      </c>
      <c r="I35" s="937">
        <v>0.7822</v>
      </c>
      <c r="J35" s="937">
        <v>0.7822</v>
      </c>
      <c r="K35" s="937">
        <v>0.7822</v>
      </c>
      <c r="L35" s="937">
        <v>0.7822</v>
      </c>
      <c r="M35" s="937">
        <v>0.7822</v>
      </c>
    </row>
    <row r="36" spans="1:13">
      <c r="A36" s="938">
        <v>3.4</v>
      </c>
      <c r="B36" s="937">
        <v>1.0073</v>
      </c>
      <c r="C36" s="937">
        <v>1.0073</v>
      </c>
      <c r="D36" s="937">
        <v>0.9063</v>
      </c>
      <c r="E36" s="937">
        <v>0.9063</v>
      </c>
      <c r="F36" s="937">
        <v>0.9063</v>
      </c>
      <c r="G36" s="937">
        <v>0.9063</v>
      </c>
      <c r="H36" s="937">
        <v>0.9063</v>
      </c>
      <c r="I36" s="937">
        <v>0.7721</v>
      </c>
      <c r="J36" s="937">
        <v>0.7721</v>
      </c>
      <c r="K36" s="937">
        <v>0.7721</v>
      </c>
      <c r="L36" s="937">
        <v>0.7721</v>
      </c>
      <c r="M36" s="937">
        <v>0.7721</v>
      </c>
    </row>
    <row r="37" spans="1:13">
      <c r="A37" s="938">
        <v>3.5</v>
      </c>
      <c r="B37" s="937">
        <v>1</v>
      </c>
      <c r="C37" s="937">
        <v>1</v>
      </c>
      <c r="D37" s="937">
        <v>0.8987</v>
      </c>
      <c r="E37" s="937">
        <v>0.8987</v>
      </c>
      <c r="F37" s="937">
        <v>0.8987</v>
      </c>
      <c r="G37" s="937">
        <v>0.8987</v>
      </c>
      <c r="H37" s="937">
        <v>0.8987</v>
      </c>
      <c r="I37" s="937">
        <v>0.7624</v>
      </c>
      <c r="J37" s="937">
        <v>0.7624</v>
      </c>
      <c r="K37" s="937">
        <v>0.7624</v>
      </c>
      <c r="L37" s="937">
        <v>0.7624</v>
      </c>
      <c r="M37" s="937">
        <v>0.7624</v>
      </c>
    </row>
    <row r="38" spans="1:13">
      <c r="A38" s="938">
        <v>3.6</v>
      </c>
      <c r="B38" s="937">
        <v>0.9933</v>
      </c>
      <c r="C38" s="937">
        <v>0.9933</v>
      </c>
      <c r="D38" s="937">
        <v>0.8914</v>
      </c>
      <c r="E38" s="937">
        <v>0.8914</v>
      </c>
      <c r="F38" s="937">
        <v>0.8914</v>
      </c>
      <c r="G38" s="937">
        <v>0.8914</v>
      </c>
      <c r="H38" s="937">
        <v>0.8914</v>
      </c>
      <c r="I38" s="937">
        <v>0.7532</v>
      </c>
      <c r="J38" s="937">
        <v>0.7532</v>
      </c>
      <c r="K38" s="937">
        <v>0.7532</v>
      </c>
      <c r="L38" s="937">
        <v>0.7532</v>
      </c>
      <c r="M38" s="937">
        <v>0.7532</v>
      </c>
    </row>
    <row r="39" spans="1:13">
      <c r="A39" s="938">
        <v>3.7</v>
      </c>
      <c r="B39" s="937">
        <v>0.9869</v>
      </c>
      <c r="C39" s="937">
        <v>0.9869</v>
      </c>
      <c r="D39" s="937">
        <v>0.8845</v>
      </c>
      <c r="E39" s="937">
        <v>0.8845</v>
      </c>
      <c r="F39" s="937">
        <v>0.8845</v>
      </c>
      <c r="G39" s="937">
        <v>0.8845</v>
      </c>
      <c r="H39" s="937">
        <v>0.8845</v>
      </c>
      <c r="I39" s="937">
        <v>0.7446</v>
      </c>
      <c r="J39" s="937">
        <v>0.7446</v>
      </c>
      <c r="K39" s="937">
        <v>0.7446</v>
      </c>
      <c r="L39" s="937">
        <v>0.7446</v>
      </c>
      <c r="M39" s="937">
        <v>0.7446</v>
      </c>
    </row>
    <row r="40" spans="1:13">
      <c r="A40" s="938">
        <v>3.8</v>
      </c>
      <c r="B40" s="937">
        <v>0.9808</v>
      </c>
      <c r="C40" s="937">
        <v>0.9808</v>
      </c>
      <c r="D40" s="937">
        <v>0.8781</v>
      </c>
      <c r="E40" s="937">
        <v>0.8781</v>
      </c>
      <c r="F40" s="937">
        <v>0.8781</v>
      </c>
      <c r="G40" s="937">
        <v>0.8781</v>
      </c>
      <c r="H40" s="937">
        <v>0.8781</v>
      </c>
      <c r="I40" s="937">
        <v>0.7364</v>
      </c>
      <c r="J40" s="937">
        <v>0.7364</v>
      </c>
      <c r="K40" s="937">
        <v>0.7364</v>
      </c>
      <c r="L40" s="937">
        <v>0.7364</v>
      </c>
      <c r="M40" s="937">
        <v>0.7364</v>
      </c>
    </row>
    <row r="41" spans="1:13">
      <c r="A41" s="938">
        <v>3.9</v>
      </c>
      <c r="B41" s="937">
        <v>0.9751</v>
      </c>
      <c r="C41" s="937">
        <v>0.9751</v>
      </c>
      <c r="D41" s="937">
        <v>0.8721</v>
      </c>
      <c r="E41" s="937">
        <v>0.8721</v>
      </c>
      <c r="F41" s="937">
        <v>0.8721</v>
      </c>
      <c r="G41" s="937">
        <v>0.8721</v>
      </c>
      <c r="H41" s="937">
        <v>0.8721</v>
      </c>
      <c r="I41" s="937">
        <v>0.7288</v>
      </c>
      <c r="J41" s="937">
        <v>0.7288</v>
      </c>
      <c r="K41" s="937">
        <v>0.7288</v>
      </c>
      <c r="L41" s="937">
        <v>0.7288</v>
      </c>
      <c r="M41" s="937">
        <v>0.7288</v>
      </c>
    </row>
    <row r="42" spans="1:13">
      <c r="A42" s="938">
        <v>4</v>
      </c>
      <c r="B42" s="937">
        <v>0.9699</v>
      </c>
      <c r="C42" s="937">
        <v>0.9699</v>
      </c>
      <c r="D42" s="937">
        <v>0.8665</v>
      </c>
      <c r="E42" s="937">
        <v>0.8665</v>
      </c>
      <c r="F42" s="937">
        <v>0.8665</v>
      </c>
      <c r="G42" s="937">
        <v>0.8665</v>
      </c>
      <c r="H42" s="937">
        <v>0.8665</v>
      </c>
      <c r="I42" s="937">
        <v>0.7218</v>
      </c>
      <c r="J42" s="937">
        <v>0.7218</v>
      </c>
      <c r="K42" s="937">
        <v>0.7218</v>
      </c>
      <c r="L42" s="937">
        <v>0.7218</v>
      </c>
      <c r="M42" s="937">
        <v>0.7218</v>
      </c>
    </row>
    <row r="43" spans="1:13">
      <c r="A43" s="938">
        <v>4.1</v>
      </c>
      <c r="B43" s="937">
        <v>0.9648</v>
      </c>
      <c r="C43" s="937">
        <v>0.9648</v>
      </c>
      <c r="D43" s="937">
        <v>0.8611</v>
      </c>
      <c r="E43" s="937">
        <v>0.8611</v>
      </c>
      <c r="F43" s="937">
        <v>0.8611</v>
      </c>
      <c r="G43" s="937">
        <v>0.8611</v>
      </c>
      <c r="H43" s="937">
        <v>0.8611</v>
      </c>
      <c r="I43" s="937">
        <v>0.715</v>
      </c>
      <c r="J43" s="937">
        <v>0.715</v>
      </c>
      <c r="K43" s="937">
        <v>0.715</v>
      </c>
      <c r="L43" s="937">
        <v>0.715</v>
      </c>
      <c r="M43" s="937">
        <v>0.715</v>
      </c>
    </row>
    <row r="44" spans="1:13">
      <c r="A44" s="938">
        <v>4.2</v>
      </c>
      <c r="B44" s="937">
        <v>0.96</v>
      </c>
      <c r="C44" s="937">
        <v>0.96</v>
      </c>
      <c r="D44" s="937">
        <v>0.856</v>
      </c>
      <c r="E44" s="937">
        <v>0.856</v>
      </c>
      <c r="F44" s="937">
        <v>0.856</v>
      </c>
      <c r="G44" s="937">
        <v>0.856</v>
      </c>
      <c r="H44" s="937">
        <v>0.856</v>
      </c>
      <c r="I44" s="937">
        <v>0.7084</v>
      </c>
      <c r="J44" s="937">
        <v>0.7084</v>
      </c>
      <c r="K44" s="937">
        <v>0.7084</v>
      </c>
      <c r="L44" s="937">
        <v>0.7084</v>
      </c>
      <c r="M44" s="937">
        <v>0.7084</v>
      </c>
    </row>
    <row r="45" spans="1:13">
      <c r="A45" s="938">
        <v>4.3</v>
      </c>
      <c r="B45" s="937">
        <v>0.9553</v>
      </c>
      <c r="C45" s="937">
        <v>0.9553</v>
      </c>
      <c r="D45" s="937">
        <v>0.851</v>
      </c>
      <c r="E45" s="937">
        <v>0.851</v>
      </c>
      <c r="F45" s="937">
        <v>0.851</v>
      </c>
      <c r="G45" s="937">
        <v>0.851</v>
      </c>
      <c r="H45" s="937">
        <v>0.851</v>
      </c>
      <c r="I45" s="937">
        <v>0.702</v>
      </c>
      <c r="J45" s="937">
        <v>0.702</v>
      </c>
      <c r="K45" s="937">
        <v>0.702</v>
      </c>
      <c r="L45" s="937">
        <v>0.702</v>
      </c>
      <c r="M45" s="937">
        <v>0.702</v>
      </c>
    </row>
    <row r="46" spans="1:13">
      <c r="A46" s="938">
        <v>4.4</v>
      </c>
      <c r="B46" s="937">
        <v>0.9508</v>
      </c>
      <c r="C46" s="937">
        <v>0.9508</v>
      </c>
      <c r="D46" s="937">
        <v>0.8462</v>
      </c>
      <c r="E46" s="937">
        <v>0.8462</v>
      </c>
      <c r="F46" s="937">
        <v>0.8462</v>
      </c>
      <c r="G46" s="937">
        <v>0.8462</v>
      </c>
      <c r="H46" s="937">
        <v>0.8462</v>
      </c>
      <c r="I46" s="937">
        <v>0.6958</v>
      </c>
      <c r="J46" s="937">
        <v>0.6958</v>
      </c>
      <c r="K46" s="937">
        <v>0.6958</v>
      </c>
      <c r="L46" s="937">
        <v>0.6958</v>
      </c>
      <c r="M46" s="937">
        <v>0.6958</v>
      </c>
    </row>
    <row r="47" spans="1:13">
      <c r="A47" s="938">
        <v>4.5</v>
      </c>
      <c r="B47" s="937">
        <v>0.9464</v>
      </c>
      <c r="C47" s="937">
        <v>0.9464</v>
      </c>
      <c r="D47" s="937">
        <v>0.8415</v>
      </c>
      <c r="E47" s="937">
        <v>0.8415</v>
      </c>
      <c r="F47" s="937">
        <v>0.8415</v>
      </c>
      <c r="G47" s="937">
        <v>0.8415</v>
      </c>
      <c r="H47" s="937">
        <v>0.8415</v>
      </c>
      <c r="I47" s="937">
        <v>0.6899</v>
      </c>
      <c r="J47" s="937">
        <v>0.6899</v>
      </c>
      <c r="K47" s="937">
        <v>0.6899</v>
      </c>
      <c r="L47" s="937">
        <v>0.6899</v>
      </c>
      <c r="M47" s="937">
        <v>0.6899</v>
      </c>
    </row>
    <row r="48" spans="1:13">
      <c r="A48" s="938">
        <v>4.6</v>
      </c>
      <c r="B48" s="937">
        <v>0.9423</v>
      </c>
      <c r="C48" s="937">
        <v>0.9423</v>
      </c>
      <c r="D48" s="937">
        <v>0.8371</v>
      </c>
      <c r="E48" s="937">
        <v>0.8371</v>
      </c>
      <c r="F48" s="937">
        <v>0.8371</v>
      </c>
      <c r="G48" s="937">
        <v>0.8371</v>
      </c>
      <c r="H48" s="937">
        <v>0.8371</v>
      </c>
      <c r="I48" s="937">
        <v>0.6843</v>
      </c>
      <c r="J48" s="937">
        <v>0.6843</v>
      </c>
      <c r="K48" s="937">
        <v>0.6843</v>
      </c>
      <c r="L48" s="937">
        <v>0.6843</v>
      </c>
      <c r="M48" s="937">
        <v>0.6843</v>
      </c>
    </row>
    <row r="49" spans="1:13">
      <c r="A49" s="938">
        <v>4.7</v>
      </c>
      <c r="B49" s="937">
        <v>0.9383</v>
      </c>
      <c r="C49" s="937">
        <v>0.9383</v>
      </c>
      <c r="D49" s="937">
        <v>0.8328</v>
      </c>
      <c r="E49" s="937">
        <v>0.8328</v>
      </c>
      <c r="F49" s="937">
        <v>0.8328</v>
      </c>
      <c r="G49" s="937">
        <v>0.8328</v>
      </c>
      <c r="H49" s="937">
        <v>0.8328</v>
      </c>
      <c r="I49" s="937">
        <v>0.6788</v>
      </c>
      <c r="J49" s="937">
        <v>0.6788</v>
      </c>
      <c r="K49" s="937">
        <v>0.6788</v>
      </c>
      <c r="L49" s="937">
        <v>0.6788</v>
      </c>
      <c r="M49" s="937">
        <v>0.6788</v>
      </c>
    </row>
    <row r="50" spans="1:13">
      <c r="A50" s="938">
        <v>4.8</v>
      </c>
      <c r="B50" s="937">
        <v>0.9345</v>
      </c>
      <c r="C50" s="937">
        <v>0.9345</v>
      </c>
      <c r="D50" s="937">
        <v>0.8287</v>
      </c>
      <c r="E50" s="937">
        <v>0.8287</v>
      </c>
      <c r="F50" s="937">
        <v>0.8287</v>
      </c>
      <c r="G50" s="937">
        <v>0.8287</v>
      </c>
      <c r="H50" s="937">
        <v>0.8287</v>
      </c>
      <c r="I50" s="937">
        <v>0.6736</v>
      </c>
      <c r="J50" s="937">
        <v>0.6736</v>
      </c>
      <c r="K50" s="937">
        <v>0.6736</v>
      </c>
      <c r="L50" s="937">
        <v>0.6736</v>
      </c>
      <c r="M50" s="937">
        <v>0.6736</v>
      </c>
    </row>
    <row r="51" spans="1:13">
      <c r="A51" s="938">
        <v>4.9</v>
      </c>
      <c r="B51" s="937">
        <v>0.9308</v>
      </c>
      <c r="C51" s="937">
        <v>0.9308</v>
      </c>
      <c r="D51" s="937">
        <v>0.8248</v>
      </c>
      <c r="E51" s="937">
        <v>0.8248</v>
      </c>
      <c r="F51" s="937">
        <v>0.8248</v>
      </c>
      <c r="G51" s="937">
        <v>0.8248</v>
      </c>
      <c r="H51" s="937">
        <v>0.8248</v>
      </c>
      <c r="I51" s="937">
        <v>0.6685</v>
      </c>
      <c r="J51" s="937">
        <v>0.6685</v>
      </c>
      <c r="K51" s="937">
        <v>0.6685</v>
      </c>
      <c r="L51" s="937">
        <v>0.6685</v>
      </c>
      <c r="M51" s="937">
        <v>0.6685</v>
      </c>
    </row>
    <row r="52" spans="1:13">
      <c r="A52" s="938">
        <v>5</v>
      </c>
      <c r="B52" s="937">
        <v>0.9274</v>
      </c>
      <c r="C52" s="937">
        <v>0.9274</v>
      </c>
      <c r="D52" s="937">
        <v>0.8211</v>
      </c>
      <c r="E52" s="937">
        <v>0.8211</v>
      </c>
      <c r="F52" s="937">
        <v>0.8211</v>
      </c>
      <c r="G52" s="937">
        <v>0.8211</v>
      </c>
      <c r="H52" s="937">
        <v>0.8211</v>
      </c>
      <c r="I52" s="937">
        <v>0.6637</v>
      </c>
      <c r="J52" s="937">
        <v>0.6637</v>
      </c>
      <c r="K52" s="937">
        <v>0.6637</v>
      </c>
      <c r="L52" s="937">
        <v>0.6637</v>
      </c>
      <c r="M52" s="937">
        <v>0.6637</v>
      </c>
    </row>
    <row r="53" spans="1:13">
      <c r="A53" s="934">
        <v>5.1</v>
      </c>
      <c r="B53" s="937">
        <v>0.9241</v>
      </c>
      <c r="C53" s="937">
        <v>0.9241</v>
      </c>
      <c r="D53" s="937">
        <v>0.8175</v>
      </c>
      <c r="E53" s="937">
        <v>0.8175</v>
      </c>
      <c r="F53" s="937">
        <v>0.8175</v>
      </c>
      <c r="G53" s="937">
        <v>0.8175</v>
      </c>
      <c r="H53" s="937">
        <v>0.8175</v>
      </c>
      <c r="I53" s="937">
        <v>0.659</v>
      </c>
      <c r="J53" s="937">
        <v>0.659</v>
      </c>
      <c r="K53" s="937">
        <v>0.659</v>
      </c>
      <c r="L53" s="937">
        <v>0.659</v>
      </c>
      <c r="M53" s="937">
        <v>0.659</v>
      </c>
    </row>
    <row r="54" spans="1:13">
      <c r="A54" s="934">
        <v>5.2</v>
      </c>
      <c r="B54" s="937">
        <v>0.9209</v>
      </c>
      <c r="C54" s="937">
        <v>0.9209</v>
      </c>
      <c r="D54" s="937">
        <v>0.814</v>
      </c>
      <c r="E54" s="937">
        <v>0.814</v>
      </c>
      <c r="F54" s="937">
        <v>0.814</v>
      </c>
      <c r="G54" s="937">
        <v>0.814</v>
      </c>
      <c r="H54" s="937">
        <v>0.814</v>
      </c>
      <c r="I54" s="937">
        <v>0.6545</v>
      </c>
      <c r="J54" s="937">
        <v>0.6545</v>
      </c>
      <c r="K54" s="937">
        <v>0.6545</v>
      </c>
      <c r="L54" s="937">
        <v>0.6545</v>
      </c>
      <c r="M54" s="937">
        <v>0.6545</v>
      </c>
    </row>
    <row r="55" spans="1:13">
      <c r="A55" s="934">
        <v>5.3</v>
      </c>
      <c r="B55" s="937">
        <v>0.9179</v>
      </c>
      <c r="C55" s="937">
        <v>0.9179</v>
      </c>
      <c r="D55" s="937">
        <v>0.8106</v>
      </c>
      <c r="E55" s="937">
        <v>0.8106</v>
      </c>
      <c r="F55" s="937">
        <v>0.8106</v>
      </c>
      <c r="G55" s="937">
        <v>0.8106</v>
      </c>
      <c r="H55" s="937">
        <v>0.8106</v>
      </c>
      <c r="I55" s="937">
        <v>0.6502</v>
      </c>
      <c r="J55" s="937">
        <v>0.6502</v>
      </c>
      <c r="K55" s="937">
        <v>0.6502</v>
      </c>
      <c r="L55" s="937">
        <v>0.6502</v>
      </c>
      <c r="M55" s="937">
        <v>0.6502</v>
      </c>
    </row>
    <row r="56" spans="1:13">
      <c r="A56" s="934">
        <v>5.4</v>
      </c>
      <c r="B56" s="937">
        <v>0.9149</v>
      </c>
      <c r="C56" s="937">
        <v>0.9149</v>
      </c>
      <c r="D56" s="937">
        <v>0.8074</v>
      </c>
      <c r="E56" s="937">
        <v>0.8074</v>
      </c>
      <c r="F56" s="937">
        <v>0.8074</v>
      </c>
      <c r="G56" s="937">
        <v>0.8074</v>
      </c>
      <c r="H56" s="937">
        <v>0.8074</v>
      </c>
      <c r="I56" s="937">
        <v>0.6459</v>
      </c>
      <c r="J56" s="937">
        <v>0.6459</v>
      </c>
      <c r="K56" s="937">
        <v>0.6459</v>
      </c>
      <c r="L56" s="937">
        <v>0.6459</v>
      </c>
      <c r="M56" s="937">
        <v>0.6459</v>
      </c>
    </row>
    <row r="57" spans="1:13">
      <c r="A57" s="934">
        <v>5.5</v>
      </c>
      <c r="B57" s="937">
        <v>0.912</v>
      </c>
      <c r="C57" s="937">
        <v>0.912</v>
      </c>
      <c r="D57" s="937">
        <v>0.8042</v>
      </c>
      <c r="E57" s="937">
        <v>0.8042</v>
      </c>
      <c r="F57" s="937">
        <v>0.8042</v>
      </c>
      <c r="G57" s="937">
        <v>0.8042</v>
      </c>
      <c r="H57" s="937">
        <v>0.8042</v>
      </c>
      <c r="I57" s="937">
        <v>0.6418</v>
      </c>
      <c r="J57" s="937">
        <v>0.6418</v>
      </c>
      <c r="K57" s="937">
        <v>0.6418</v>
      </c>
      <c r="L57" s="937">
        <v>0.6418</v>
      </c>
      <c r="M57" s="937">
        <v>0.6418</v>
      </c>
    </row>
    <row r="58" spans="1:13">
      <c r="A58" s="934">
        <v>5.6</v>
      </c>
      <c r="B58" s="937">
        <v>0.9091</v>
      </c>
      <c r="C58" s="937">
        <v>0.9091</v>
      </c>
      <c r="D58" s="937">
        <v>0.8012</v>
      </c>
      <c r="E58" s="937">
        <v>0.8012</v>
      </c>
      <c r="F58" s="937">
        <v>0.8012</v>
      </c>
      <c r="G58" s="937">
        <v>0.8012</v>
      </c>
      <c r="H58" s="937">
        <v>0.8012</v>
      </c>
      <c r="I58" s="937">
        <v>0.6379</v>
      </c>
      <c r="J58" s="937">
        <v>0.6379</v>
      </c>
      <c r="K58" s="937">
        <v>0.6379</v>
      </c>
      <c r="L58" s="937">
        <v>0.6379</v>
      </c>
      <c r="M58" s="937">
        <v>0.6379</v>
      </c>
    </row>
    <row r="59" spans="1:13">
      <c r="A59" s="938">
        <v>5.7</v>
      </c>
      <c r="B59" s="937">
        <v>0.9064</v>
      </c>
      <c r="C59" s="937">
        <v>0.9064</v>
      </c>
      <c r="D59" s="937">
        <v>0.7982</v>
      </c>
      <c r="E59" s="937">
        <v>0.7982</v>
      </c>
      <c r="F59" s="937">
        <v>0.7982</v>
      </c>
      <c r="G59" s="937">
        <v>0.7982</v>
      </c>
      <c r="H59" s="937">
        <v>0.7982</v>
      </c>
      <c r="I59" s="937">
        <v>0.6341</v>
      </c>
      <c r="J59" s="937">
        <v>0.6341</v>
      </c>
      <c r="K59" s="937">
        <v>0.6341</v>
      </c>
      <c r="L59" s="937">
        <v>0.6341</v>
      </c>
      <c r="M59" s="937">
        <v>0.6341</v>
      </c>
    </row>
    <row r="60" spans="1:13">
      <c r="A60" s="934">
        <v>5.8</v>
      </c>
      <c r="B60" s="937">
        <v>0.9038</v>
      </c>
      <c r="C60" s="937">
        <v>0.9038</v>
      </c>
      <c r="D60" s="937">
        <v>0.7954</v>
      </c>
      <c r="E60" s="937">
        <v>0.7954</v>
      </c>
      <c r="F60" s="937">
        <v>0.7954</v>
      </c>
      <c r="G60" s="937">
        <v>0.7954</v>
      </c>
      <c r="H60" s="937">
        <v>0.7954</v>
      </c>
      <c r="I60" s="937">
        <v>0.6304</v>
      </c>
      <c r="J60" s="937">
        <v>0.6304</v>
      </c>
      <c r="K60" s="937">
        <v>0.6304</v>
      </c>
      <c r="L60" s="937">
        <v>0.6304</v>
      </c>
      <c r="M60" s="937">
        <v>0.6304</v>
      </c>
    </row>
    <row r="61" spans="1:13">
      <c r="A61" s="934">
        <v>5.9</v>
      </c>
      <c r="B61" s="937">
        <v>0.9013</v>
      </c>
      <c r="C61" s="937">
        <v>0.9013</v>
      </c>
      <c r="D61" s="937">
        <v>0.7927</v>
      </c>
      <c r="E61" s="937">
        <v>0.7927</v>
      </c>
      <c r="F61" s="937">
        <v>0.7927</v>
      </c>
      <c r="G61" s="937">
        <v>0.7927</v>
      </c>
      <c r="H61" s="937">
        <v>0.7927</v>
      </c>
      <c r="I61" s="937">
        <v>0.6269</v>
      </c>
      <c r="J61" s="937">
        <v>0.6269</v>
      </c>
      <c r="K61" s="937">
        <v>0.6269</v>
      </c>
      <c r="L61" s="937">
        <v>0.6269</v>
      </c>
      <c r="M61" s="937">
        <v>0.6269</v>
      </c>
    </row>
    <row r="62" spans="1:13">
      <c r="A62" s="934">
        <v>6</v>
      </c>
      <c r="B62" s="937">
        <v>0.8989</v>
      </c>
      <c r="C62" s="937">
        <v>0.8989</v>
      </c>
      <c r="D62" s="937">
        <v>0.7902</v>
      </c>
      <c r="E62" s="937">
        <v>0.7902</v>
      </c>
      <c r="F62" s="937">
        <v>0.7902</v>
      </c>
      <c r="G62" s="937">
        <v>0.7902</v>
      </c>
      <c r="H62" s="937">
        <v>0.7902</v>
      </c>
      <c r="I62" s="937">
        <v>0.6235</v>
      </c>
      <c r="J62" s="937">
        <v>0.6235</v>
      </c>
      <c r="K62" s="937">
        <v>0.6235</v>
      </c>
      <c r="L62" s="937">
        <v>0.6235</v>
      </c>
      <c r="M62" s="937">
        <v>0.6235</v>
      </c>
    </row>
    <row r="63" spans="1:13">
      <c r="A63" s="934">
        <v>6.1</v>
      </c>
      <c r="B63" s="937">
        <v>0.8965</v>
      </c>
      <c r="C63" s="937">
        <v>0.8965</v>
      </c>
      <c r="D63" s="937">
        <v>0.7877</v>
      </c>
      <c r="E63" s="937">
        <v>0.7877</v>
      </c>
      <c r="F63" s="937">
        <v>0.7877</v>
      </c>
      <c r="G63" s="937">
        <v>0.7877</v>
      </c>
      <c r="H63" s="937">
        <v>0.7877</v>
      </c>
      <c r="I63" s="937">
        <v>0.6203</v>
      </c>
      <c r="J63" s="937">
        <v>0.6203</v>
      </c>
      <c r="K63" s="937">
        <v>0.6203</v>
      </c>
      <c r="L63" s="937">
        <v>0.6203</v>
      </c>
      <c r="M63" s="937">
        <v>0.6203</v>
      </c>
    </row>
    <row r="64" spans="1:13">
      <c r="A64" s="934">
        <v>6.2</v>
      </c>
      <c r="B64" s="937">
        <v>0.8943</v>
      </c>
      <c r="C64" s="937">
        <v>0.8943</v>
      </c>
      <c r="D64" s="937">
        <v>0.7852</v>
      </c>
      <c r="E64" s="937">
        <v>0.7852</v>
      </c>
      <c r="F64" s="937">
        <v>0.7852</v>
      </c>
      <c r="G64" s="937">
        <v>0.7852</v>
      </c>
      <c r="H64" s="937">
        <v>0.7852</v>
      </c>
      <c r="I64" s="937">
        <v>0.6172</v>
      </c>
      <c r="J64" s="937">
        <v>0.6172</v>
      </c>
      <c r="K64" s="937">
        <v>0.6172</v>
      </c>
      <c r="L64" s="937">
        <v>0.6172</v>
      </c>
      <c r="M64" s="937">
        <v>0.6172</v>
      </c>
    </row>
    <row r="65" spans="1:13">
      <c r="A65" s="934">
        <v>6.3</v>
      </c>
      <c r="B65" s="937">
        <v>0.892</v>
      </c>
      <c r="C65" s="937">
        <v>0.892</v>
      </c>
      <c r="D65" s="937">
        <v>0.7828</v>
      </c>
      <c r="E65" s="937">
        <v>0.7828</v>
      </c>
      <c r="F65" s="937">
        <v>0.7828</v>
      </c>
      <c r="G65" s="937">
        <v>0.7828</v>
      </c>
      <c r="H65" s="937">
        <v>0.7828</v>
      </c>
      <c r="I65" s="937">
        <v>0.6141</v>
      </c>
      <c r="J65" s="937">
        <v>0.6141</v>
      </c>
      <c r="K65" s="937">
        <v>0.6141</v>
      </c>
      <c r="L65" s="937">
        <v>0.6141</v>
      </c>
      <c r="M65" s="937">
        <v>0.6141</v>
      </c>
    </row>
    <row r="66" spans="1:13">
      <c r="A66" s="934">
        <v>6.4</v>
      </c>
      <c r="B66" s="937">
        <v>0.8899</v>
      </c>
      <c r="C66" s="937">
        <v>0.8899</v>
      </c>
      <c r="D66" s="937">
        <v>0.7804</v>
      </c>
      <c r="E66" s="937">
        <v>0.7804</v>
      </c>
      <c r="F66" s="937">
        <v>0.7804</v>
      </c>
      <c r="G66" s="937">
        <v>0.7804</v>
      </c>
      <c r="H66" s="937">
        <v>0.7804</v>
      </c>
      <c r="I66" s="937">
        <v>0.611</v>
      </c>
      <c r="J66" s="937">
        <v>0.611</v>
      </c>
      <c r="K66" s="937">
        <v>0.611</v>
      </c>
      <c r="L66" s="937">
        <v>0.611</v>
      </c>
      <c r="M66" s="937">
        <v>0.611</v>
      </c>
    </row>
    <row r="67" spans="1:13">
      <c r="A67" s="934">
        <v>6.5</v>
      </c>
      <c r="B67" s="937">
        <v>0.8878</v>
      </c>
      <c r="C67" s="937">
        <v>0.8878</v>
      </c>
      <c r="D67" s="937">
        <v>0.7781</v>
      </c>
      <c r="E67" s="937">
        <v>0.7781</v>
      </c>
      <c r="F67" s="937">
        <v>0.7781</v>
      </c>
      <c r="G67" s="937">
        <v>0.7781</v>
      </c>
      <c r="H67" s="937">
        <v>0.7781</v>
      </c>
      <c r="I67" s="937">
        <v>0.608</v>
      </c>
      <c r="J67" s="937">
        <v>0.608</v>
      </c>
      <c r="K67" s="937">
        <v>0.608</v>
      </c>
      <c r="L67" s="937">
        <v>0.608</v>
      </c>
      <c r="M67" s="937">
        <v>0.608</v>
      </c>
    </row>
    <row r="68" spans="1:13">
      <c r="A68" s="934">
        <v>6.6</v>
      </c>
      <c r="B68" s="937">
        <v>0.8858</v>
      </c>
      <c r="C68" s="937">
        <v>0.8858</v>
      </c>
      <c r="D68" s="937">
        <v>0.7758</v>
      </c>
      <c r="E68" s="937">
        <v>0.7758</v>
      </c>
      <c r="F68" s="937">
        <v>0.7758</v>
      </c>
      <c r="G68" s="937">
        <v>0.7758</v>
      </c>
      <c r="H68" s="937">
        <v>0.7758</v>
      </c>
      <c r="I68" s="937">
        <v>0.605</v>
      </c>
      <c r="J68" s="937">
        <v>0.605</v>
      </c>
      <c r="K68" s="937">
        <v>0.605</v>
      </c>
      <c r="L68" s="937">
        <v>0.605</v>
      </c>
      <c r="M68" s="937">
        <v>0.605</v>
      </c>
    </row>
    <row r="69" spans="1:13">
      <c r="A69" s="934">
        <v>6.7</v>
      </c>
      <c r="B69" s="937">
        <v>0.8838</v>
      </c>
      <c r="C69" s="937">
        <v>0.8838</v>
      </c>
      <c r="D69" s="937">
        <v>0.7736</v>
      </c>
      <c r="E69" s="937">
        <v>0.7736</v>
      </c>
      <c r="F69" s="937">
        <v>0.7736</v>
      </c>
      <c r="G69" s="937">
        <v>0.7736</v>
      </c>
      <c r="H69" s="937">
        <v>0.7736</v>
      </c>
      <c r="I69" s="937">
        <v>0.6021</v>
      </c>
      <c r="J69" s="937">
        <v>0.6021</v>
      </c>
      <c r="K69" s="937">
        <v>0.6021</v>
      </c>
      <c r="L69" s="937">
        <v>0.6021</v>
      </c>
      <c r="M69" s="937">
        <v>0.6021</v>
      </c>
    </row>
    <row r="70" spans="1:13">
      <c r="A70" s="934">
        <v>6.8</v>
      </c>
      <c r="B70" s="937">
        <v>0.8819</v>
      </c>
      <c r="C70" s="937">
        <v>0.8819</v>
      </c>
      <c r="D70" s="937">
        <v>0.7716</v>
      </c>
      <c r="E70" s="937">
        <v>0.7716</v>
      </c>
      <c r="F70" s="937">
        <v>0.7716</v>
      </c>
      <c r="G70" s="937">
        <v>0.7716</v>
      </c>
      <c r="H70" s="937">
        <v>0.7716</v>
      </c>
      <c r="I70" s="937">
        <v>0.5993</v>
      </c>
      <c r="J70" s="937">
        <v>0.5993</v>
      </c>
      <c r="K70" s="937">
        <v>0.5993</v>
      </c>
      <c r="L70" s="937">
        <v>0.5993</v>
      </c>
      <c r="M70" s="937">
        <v>0.5993</v>
      </c>
    </row>
    <row r="71" spans="1:13">
      <c r="A71" s="934">
        <v>6.9</v>
      </c>
      <c r="B71" s="937">
        <v>0.88</v>
      </c>
      <c r="C71" s="937">
        <v>0.88</v>
      </c>
      <c r="D71" s="937">
        <v>0.7695</v>
      </c>
      <c r="E71" s="937">
        <v>0.7695</v>
      </c>
      <c r="F71" s="937">
        <v>0.7695</v>
      </c>
      <c r="G71" s="937">
        <v>0.7695</v>
      </c>
      <c r="H71" s="937">
        <v>0.7695</v>
      </c>
      <c r="I71" s="937">
        <v>0.5964</v>
      </c>
      <c r="J71" s="937">
        <v>0.5964</v>
      </c>
      <c r="K71" s="937">
        <v>0.5964</v>
      </c>
      <c r="L71" s="937">
        <v>0.5964</v>
      </c>
      <c r="M71" s="937">
        <v>0.5964</v>
      </c>
    </row>
    <row r="72" spans="1:13">
      <c r="A72" s="934">
        <v>7</v>
      </c>
      <c r="B72" s="937">
        <v>0.8782</v>
      </c>
      <c r="C72" s="937">
        <v>0.8782</v>
      </c>
      <c r="D72" s="937">
        <v>0.7675</v>
      </c>
      <c r="E72" s="937">
        <v>0.7675</v>
      </c>
      <c r="F72" s="937">
        <v>0.7675</v>
      </c>
      <c r="G72" s="937">
        <v>0.7675</v>
      </c>
      <c r="H72" s="937">
        <v>0.7675</v>
      </c>
      <c r="I72" s="937">
        <v>0.5936</v>
      </c>
      <c r="J72" s="937">
        <v>0.5936</v>
      </c>
      <c r="K72" s="937">
        <v>0.5936</v>
      </c>
      <c r="L72" s="937">
        <v>0.5936</v>
      </c>
      <c r="M72" s="937">
        <v>0.5936</v>
      </c>
    </row>
    <row r="73" spans="1:13">
      <c r="A73" s="934">
        <v>7.1</v>
      </c>
      <c r="B73" s="937">
        <v>0.8766</v>
      </c>
      <c r="C73" s="937">
        <v>0.8766</v>
      </c>
      <c r="D73" s="937">
        <v>0.7657</v>
      </c>
      <c r="E73" s="937">
        <v>0.7657</v>
      </c>
      <c r="F73" s="937">
        <v>0.7657</v>
      </c>
      <c r="G73" s="937">
        <v>0.7657</v>
      </c>
      <c r="H73" s="937">
        <v>0.7657</v>
      </c>
      <c r="I73" s="937">
        <v>0.5911</v>
      </c>
      <c r="J73" s="937">
        <v>0.5911</v>
      </c>
      <c r="K73" s="937">
        <v>0.5911</v>
      </c>
      <c r="L73" s="937">
        <v>0.5911</v>
      </c>
      <c r="M73" s="937">
        <v>0.5911</v>
      </c>
    </row>
    <row r="74" spans="1:13">
      <c r="A74" s="934">
        <v>7.2</v>
      </c>
      <c r="B74" s="937">
        <v>0.8749</v>
      </c>
      <c r="C74" s="937">
        <v>0.8749</v>
      </c>
      <c r="D74" s="937">
        <v>0.7638</v>
      </c>
      <c r="E74" s="937">
        <v>0.7638</v>
      </c>
      <c r="F74" s="937">
        <v>0.7638</v>
      </c>
      <c r="G74" s="937">
        <v>0.7638</v>
      </c>
      <c r="H74" s="937">
        <v>0.7638</v>
      </c>
      <c r="I74" s="937">
        <v>0.5886</v>
      </c>
      <c r="J74" s="937">
        <v>0.5886</v>
      </c>
      <c r="K74" s="937">
        <v>0.5886</v>
      </c>
      <c r="L74" s="937">
        <v>0.5886</v>
      </c>
      <c r="M74" s="937">
        <v>0.5886</v>
      </c>
    </row>
    <row r="75" spans="1:13">
      <c r="A75" s="934">
        <v>7.3</v>
      </c>
      <c r="B75" s="937">
        <v>0.8733</v>
      </c>
      <c r="C75" s="937">
        <v>0.8733</v>
      </c>
      <c r="D75" s="937">
        <v>0.762</v>
      </c>
      <c r="E75" s="937">
        <v>0.762</v>
      </c>
      <c r="F75" s="937">
        <v>0.762</v>
      </c>
      <c r="G75" s="937">
        <v>0.762</v>
      </c>
      <c r="H75" s="937">
        <v>0.762</v>
      </c>
      <c r="I75" s="937">
        <v>0.5862</v>
      </c>
      <c r="J75" s="937">
        <v>0.5862</v>
      </c>
      <c r="K75" s="937">
        <v>0.5862</v>
      </c>
      <c r="L75" s="937">
        <v>0.5862</v>
      </c>
      <c r="M75" s="937">
        <v>0.5862</v>
      </c>
    </row>
    <row r="76" spans="1:13">
      <c r="A76" s="934">
        <v>7.4</v>
      </c>
      <c r="B76" s="937">
        <v>0.8716</v>
      </c>
      <c r="C76" s="937">
        <v>0.8716</v>
      </c>
      <c r="D76" s="937">
        <v>0.7603</v>
      </c>
      <c r="E76" s="937">
        <v>0.7603</v>
      </c>
      <c r="F76" s="937">
        <v>0.7603</v>
      </c>
      <c r="G76" s="937">
        <v>0.7603</v>
      </c>
      <c r="H76" s="937">
        <v>0.7603</v>
      </c>
      <c r="I76" s="937">
        <v>0.5838</v>
      </c>
      <c r="J76" s="937">
        <v>0.5838</v>
      </c>
      <c r="K76" s="937">
        <v>0.5838</v>
      </c>
      <c r="L76" s="937">
        <v>0.5838</v>
      </c>
      <c r="M76" s="937">
        <v>0.5838</v>
      </c>
    </row>
    <row r="77" spans="1:13">
      <c r="A77" s="934">
        <v>7.5</v>
      </c>
      <c r="B77" s="937">
        <v>0.87</v>
      </c>
      <c r="C77" s="937">
        <v>0.87</v>
      </c>
      <c r="D77" s="937">
        <v>0.7585</v>
      </c>
      <c r="E77" s="937">
        <v>0.7585</v>
      </c>
      <c r="F77" s="937">
        <v>0.7585</v>
      </c>
      <c r="G77" s="937">
        <v>0.7585</v>
      </c>
      <c r="H77" s="937">
        <v>0.7585</v>
      </c>
      <c r="I77" s="937">
        <v>0.5814</v>
      </c>
      <c r="J77" s="937">
        <v>0.5814</v>
      </c>
      <c r="K77" s="937">
        <v>0.5814</v>
      </c>
      <c r="L77" s="937">
        <v>0.5814</v>
      </c>
      <c r="M77" s="937">
        <v>0.5814</v>
      </c>
    </row>
    <row r="78" spans="1:13">
      <c r="A78" s="934">
        <v>7.6</v>
      </c>
      <c r="B78" s="937">
        <v>0.8684</v>
      </c>
      <c r="C78" s="937">
        <v>0.8684</v>
      </c>
      <c r="D78" s="937">
        <v>0.7568</v>
      </c>
      <c r="E78" s="937">
        <v>0.7568</v>
      </c>
      <c r="F78" s="937">
        <v>0.7568</v>
      </c>
      <c r="G78" s="937">
        <v>0.7568</v>
      </c>
      <c r="H78" s="937">
        <v>0.7568</v>
      </c>
      <c r="I78" s="937">
        <v>0.579</v>
      </c>
      <c r="J78" s="937">
        <v>0.579</v>
      </c>
      <c r="K78" s="937">
        <v>0.579</v>
      </c>
      <c r="L78" s="937">
        <v>0.579</v>
      </c>
      <c r="M78" s="937">
        <v>0.579</v>
      </c>
    </row>
    <row r="79" spans="1:13">
      <c r="A79" s="934">
        <v>7.7</v>
      </c>
      <c r="B79" s="937">
        <v>0.8669</v>
      </c>
      <c r="C79" s="937">
        <v>0.8669</v>
      </c>
      <c r="D79" s="937">
        <v>0.755</v>
      </c>
      <c r="E79" s="937">
        <v>0.755</v>
      </c>
      <c r="F79" s="937">
        <v>0.755</v>
      </c>
      <c r="G79" s="937">
        <v>0.755</v>
      </c>
      <c r="H79" s="937">
        <v>0.755</v>
      </c>
      <c r="I79" s="937">
        <v>0.5767</v>
      </c>
      <c r="J79" s="937">
        <v>0.5767</v>
      </c>
      <c r="K79" s="937">
        <v>0.5767</v>
      </c>
      <c r="L79" s="937">
        <v>0.5767</v>
      </c>
      <c r="M79" s="937">
        <v>0.5767</v>
      </c>
    </row>
    <row r="80" spans="1:13">
      <c r="A80" s="934">
        <v>7.8</v>
      </c>
      <c r="B80" s="937">
        <v>0.8654</v>
      </c>
      <c r="C80" s="937">
        <v>0.8654</v>
      </c>
      <c r="D80" s="937">
        <v>0.7533</v>
      </c>
      <c r="E80" s="937">
        <v>0.7533</v>
      </c>
      <c r="F80" s="937">
        <v>0.7533</v>
      </c>
      <c r="G80" s="937">
        <v>0.7533</v>
      </c>
      <c r="H80" s="937">
        <v>0.7533</v>
      </c>
      <c r="I80" s="937">
        <v>0.5745</v>
      </c>
      <c r="J80" s="937">
        <v>0.5745</v>
      </c>
      <c r="K80" s="937">
        <v>0.5745</v>
      </c>
      <c r="L80" s="937">
        <v>0.5745</v>
      </c>
      <c r="M80" s="937">
        <v>0.5745</v>
      </c>
    </row>
    <row r="81" spans="1:13">
      <c r="A81" s="934">
        <v>7.9</v>
      </c>
      <c r="B81" s="937">
        <v>0.8638</v>
      </c>
      <c r="C81" s="937">
        <v>0.8638</v>
      </c>
      <c r="D81" s="937">
        <v>0.7517</v>
      </c>
      <c r="E81" s="937">
        <v>0.7517</v>
      </c>
      <c r="F81" s="937">
        <v>0.7517</v>
      </c>
      <c r="G81" s="937">
        <v>0.7517</v>
      </c>
      <c r="H81" s="937">
        <v>0.7517</v>
      </c>
      <c r="I81" s="937">
        <v>0.5722</v>
      </c>
      <c r="J81" s="937">
        <v>0.5722</v>
      </c>
      <c r="K81" s="937">
        <v>0.5722</v>
      </c>
      <c r="L81" s="937">
        <v>0.5722</v>
      </c>
      <c r="M81" s="937">
        <v>0.5722</v>
      </c>
    </row>
    <row r="82" spans="1:13">
      <c r="A82" s="934">
        <v>8</v>
      </c>
      <c r="B82" s="937">
        <v>0.8624</v>
      </c>
      <c r="C82" s="937">
        <v>0.8624</v>
      </c>
      <c r="D82" s="937">
        <v>0.75</v>
      </c>
      <c r="E82" s="937">
        <v>0.75</v>
      </c>
      <c r="F82" s="937">
        <v>0.75</v>
      </c>
      <c r="G82" s="937">
        <v>0.75</v>
      </c>
      <c r="H82" s="937">
        <v>0.75</v>
      </c>
      <c r="I82" s="937">
        <v>0.5699</v>
      </c>
      <c r="J82" s="937">
        <v>0.5699</v>
      </c>
      <c r="K82" s="937">
        <v>0.5699</v>
      </c>
      <c r="L82" s="937">
        <v>0.5699</v>
      </c>
      <c r="M82" s="937">
        <v>0.5699</v>
      </c>
    </row>
    <row r="83" spans="1:13">
      <c r="A83" s="934">
        <v>8.1</v>
      </c>
      <c r="B83" s="937">
        <v>0.861</v>
      </c>
      <c r="C83" s="937">
        <v>0.861</v>
      </c>
      <c r="D83" s="937">
        <v>0.7485</v>
      </c>
      <c r="E83" s="937">
        <v>0.7485</v>
      </c>
      <c r="F83" s="937">
        <v>0.7485</v>
      </c>
      <c r="G83" s="937">
        <v>0.7485</v>
      </c>
      <c r="H83" s="937">
        <v>0.7485</v>
      </c>
      <c r="I83" s="937">
        <v>0.5678</v>
      </c>
      <c r="J83" s="937">
        <v>0.5678</v>
      </c>
      <c r="K83" s="937">
        <v>0.5678</v>
      </c>
      <c r="L83" s="937">
        <v>0.5678</v>
      </c>
      <c r="M83" s="937">
        <v>0.5678</v>
      </c>
    </row>
    <row r="84" spans="1:13">
      <c r="A84" s="934">
        <v>8.2</v>
      </c>
      <c r="B84" s="937">
        <v>0.8597</v>
      </c>
      <c r="C84" s="937">
        <v>0.8597</v>
      </c>
      <c r="D84" s="937">
        <v>0.747</v>
      </c>
      <c r="E84" s="937">
        <v>0.747</v>
      </c>
      <c r="F84" s="937">
        <v>0.747</v>
      </c>
      <c r="G84" s="937">
        <v>0.747</v>
      </c>
      <c r="H84" s="937">
        <v>0.747</v>
      </c>
      <c r="I84" s="937">
        <v>0.5659</v>
      </c>
      <c r="J84" s="937">
        <v>0.5659</v>
      </c>
      <c r="K84" s="937">
        <v>0.5659</v>
      </c>
      <c r="L84" s="937">
        <v>0.5659</v>
      </c>
      <c r="M84" s="937">
        <v>0.5659</v>
      </c>
    </row>
    <row r="85" spans="1:13">
      <c r="A85" s="934">
        <v>8.3</v>
      </c>
      <c r="B85" s="937">
        <v>0.8584</v>
      </c>
      <c r="C85" s="937">
        <v>0.8584</v>
      </c>
      <c r="D85" s="937">
        <v>0.7456</v>
      </c>
      <c r="E85" s="937">
        <v>0.7456</v>
      </c>
      <c r="F85" s="937">
        <v>0.7456</v>
      </c>
      <c r="G85" s="937">
        <v>0.7456</v>
      </c>
      <c r="H85" s="937">
        <v>0.7456</v>
      </c>
      <c r="I85" s="937">
        <v>0.5639</v>
      </c>
      <c r="J85" s="937">
        <v>0.5639</v>
      </c>
      <c r="K85" s="937">
        <v>0.5639</v>
      </c>
      <c r="L85" s="937">
        <v>0.5639</v>
      </c>
      <c r="M85" s="937">
        <v>0.5639</v>
      </c>
    </row>
    <row r="86" spans="1:13">
      <c r="A86" s="934">
        <v>8.4</v>
      </c>
      <c r="B86" s="937">
        <v>0.8571</v>
      </c>
      <c r="C86" s="937">
        <v>0.8571</v>
      </c>
      <c r="D86" s="937">
        <v>0.7442</v>
      </c>
      <c r="E86" s="937">
        <v>0.7442</v>
      </c>
      <c r="F86" s="937">
        <v>0.7442</v>
      </c>
      <c r="G86" s="937">
        <v>0.7442</v>
      </c>
      <c r="H86" s="937">
        <v>0.7442</v>
      </c>
      <c r="I86" s="937">
        <v>0.5619</v>
      </c>
      <c r="J86" s="937">
        <v>0.5619</v>
      </c>
      <c r="K86" s="937">
        <v>0.5619</v>
      </c>
      <c r="L86" s="937">
        <v>0.5619</v>
      </c>
      <c r="M86" s="937">
        <v>0.5619</v>
      </c>
    </row>
    <row r="87" spans="1:13">
      <c r="A87" s="934">
        <v>8.5</v>
      </c>
      <c r="B87" s="937">
        <v>0.8558</v>
      </c>
      <c r="C87" s="937">
        <v>0.8558</v>
      </c>
      <c r="D87" s="937">
        <v>0.7427</v>
      </c>
      <c r="E87" s="937">
        <v>0.7427</v>
      </c>
      <c r="F87" s="937">
        <v>0.7427</v>
      </c>
      <c r="G87" s="937">
        <v>0.7427</v>
      </c>
      <c r="H87" s="937">
        <v>0.7427</v>
      </c>
      <c r="I87" s="937">
        <v>0.5599</v>
      </c>
      <c r="J87" s="937">
        <v>0.5599</v>
      </c>
      <c r="K87" s="937">
        <v>0.5599</v>
      </c>
      <c r="L87" s="937">
        <v>0.5599</v>
      </c>
      <c r="M87" s="937">
        <v>0.5599</v>
      </c>
    </row>
    <row r="88" spans="1:13">
      <c r="A88" s="934">
        <v>8.6</v>
      </c>
      <c r="B88" s="937">
        <v>0.8545</v>
      </c>
      <c r="C88" s="937">
        <v>0.8545</v>
      </c>
      <c r="D88" s="937">
        <v>0.7413</v>
      </c>
      <c r="E88" s="937">
        <v>0.7413</v>
      </c>
      <c r="F88" s="937">
        <v>0.7413</v>
      </c>
      <c r="G88" s="937">
        <v>0.7413</v>
      </c>
      <c r="H88" s="937">
        <v>0.7413</v>
      </c>
      <c r="I88" s="937">
        <v>0.558</v>
      </c>
      <c r="J88" s="937">
        <v>0.558</v>
      </c>
      <c r="K88" s="937">
        <v>0.558</v>
      </c>
      <c r="L88" s="937">
        <v>0.558</v>
      </c>
      <c r="M88" s="937">
        <v>0.558</v>
      </c>
    </row>
    <row r="89" spans="1:13">
      <c r="A89" s="934">
        <v>8.7</v>
      </c>
      <c r="B89" s="937">
        <v>0.8533</v>
      </c>
      <c r="C89" s="937">
        <v>0.8533</v>
      </c>
      <c r="D89" s="937">
        <v>0.7399</v>
      </c>
      <c r="E89" s="937">
        <v>0.7399</v>
      </c>
      <c r="F89" s="937">
        <v>0.7399</v>
      </c>
      <c r="G89" s="937">
        <v>0.7399</v>
      </c>
      <c r="H89" s="937">
        <v>0.7399</v>
      </c>
      <c r="I89" s="937">
        <v>0.556</v>
      </c>
      <c r="J89" s="937">
        <v>0.556</v>
      </c>
      <c r="K89" s="937">
        <v>0.556</v>
      </c>
      <c r="L89" s="937">
        <v>0.556</v>
      </c>
      <c r="M89" s="937">
        <v>0.556</v>
      </c>
    </row>
    <row r="90" spans="1:13">
      <c r="A90" s="934">
        <v>8.8</v>
      </c>
      <c r="B90" s="937">
        <v>0.8521</v>
      </c>
      <c r="C90" s="937">
        <v>0.8521</v>
      </c>
      <c r="D90" s="937">
        <v>0.7385</v>
      </c>
      <c r="E90" s="937">
        <v>0.7385</v>
      </c>
      <c r="F90" s="937">
        <v>0.7385</v>
      </c>
      <c r="G90" s="937">
        <v>0.7385</v>
      </c>
      <c r="H90" s="937">
        <v>0.7385</v>
      </c>
      <c r="I90" s="937">
        <v>0.5542</v>
      </c>
      <c r="J90" s="937">
        <v>0.5542</v>
      </c>
      <c r="K90" s="937">
        <v>0.5542</v>
      </c>
      <c r="L90" s="937">
        <v>0.5542</v>
      </c>
      <c r="M90" s="937">
        <v>0.5542</v>
      </c>
    </row>
    <row r="91" spans="1:13">
      <c r="A91" s="934">
        <v>8.9</v>
      </c>
      <c r="B91" s="937">
        <v>0.851</v>
      </c>
      <c r="C91" s="937">
        <v>0.851</v>
      </c>
      <c r="D91" s="937">
        <v>0.7372</v>
      </c>
      <c r="E91" s="937">
        <v>0.7372</v>
      </c>
      <c r="F91" s="937">
        <v>0.7372</v>
      </c>
      <c r="G91" s="937">
        <v>0.7372</v>
      </c>
      <c r="H91" s="937">
        <v>0.7372</v>
      </c>
      <c r="I91" s="937">
        <v>0.5523</v>
      </c>
      <c r="J91" s="937">
        <v>0.5523</v>
      </c>
      <c r="K91" s="937">
        <v>0.5523</v>
      </c>
      <c r="L91" s="937">
        <v>0.5523</v>
      </c>
      <c r="M91" s="937">
        <v>0.5523</v>
      </c>
    </row>
    <row r="92" spans="1:13">
      <c r="A92" s="938">
        <v>9</v>
      </c>
      <c r="B92" s="937">
        <v>0.8498</v>
      </c>
      <c r="C92" s="937">
        <v>0.8498</v>
      </c>
      <c r="D92" s="937">
        <v>0.7359</v>
      </c>
      <c r="E92" s="937">
        <v>0.7359</v>
      </c>
      <c r="F92" s="937">
        <v>0.7359</v>
      </c>
      <c r="G92" s="937">
        <v>0.7359</v>
      </c>
      <c r="H92" s="937">
        <v>0.7359</v>
      </c>
      <c r="I92" s="937">
        <v>0.5505</v>
      </c>
      <c r="J92" s="937">
        <v>0.5505</v>
      </c>
      <c r="K92" s="937">
        <v>0.5505</v>
      </c>
      <c r="L92" s="937">
        <v>0.5505</v>
      </c>
      <c r="M92" s="937">
        <v>0.5505</v>
      </c>
    </row>
    <row r="93" spans="1:13">
      <c r="A93" s="938">
        <v>9.1</v>
      </c>
      <c r="B93" s="937">
        <v>0.8487</v>
      </c>
      <c r="C93" s="937">
        <v>0.8487</v>
      </c>
      <c r="D93" s="937">
        <v>0.7347</v>
      </c>
      <c r="E93" s="937">
        <v>0.7347</v>
      </c>
      <c r="F93" s="937">
        <v>0.7347</v>
      </c>
      <c r="G93" s="937">
        <v>0.7347</v>
      </c>
      <c r="H93" s="937">
        <v>0.7347</v>
      </c>
      <c r="I93" s="937">
        <v>0.5488</v>
      </c>
      <c r="J93" s="937">
        <v>0.5488</v>
      </c>
      <c r="K93" s="937">
        <v>0.5488</v>
      </c>
      <c r="L93" s="937">
        <v>0.5488</v>
      </c>
      <c r="M93" s="937">
        <v>0.5488</v>
      </c>
    </row>
    <row r="94" spans="1:13">
      <c r="A94" s="938">
        <v>9.2</v>
      </c>
      <c r="B94" s="937">
        <v>0.8477</v>
      </c>
      <c r="C94" s="937">
        <v>0.8477</v>
      </c>
      <c r="D94" s="937">
        <v>0.7335</v>
      </c>
      <c r="E94" s="937">
        <v>0.7335</v>
      </c>
      <c r="F94" s="937">
        <v>0.7335</v>
      </c>
      <c r="G94" s="937">
        <v>0.7335</v>
      </c>
      <c r="H94" s="937">
        <v>0.7335</v>
      </c>
      <c r="I94" s="937">
        <v>0.5471</v>
      </c>
      <c r="J94" s="937">
        <v>0.5471</v>
      </c>
      <c r="K94" s="937">
        <v>0.5471</v>
      </c>
      <c r="L94" s="937">
        <v>0.5471</v>
      </c>
      <c r="M94" s="937">
        <v>0.5471</v>
      </c>
    </row>
    <row r="95" spans="1:13">
      <c r="A95" s="938">
        <v>9.3</v>
      </c>
      <c r="B95" s="937">
        <v>0.8466</v>
      </c>
      <c r="C95" s="937">
        <v>0.8466</v>
      </c>
      <c r="D95" s="937">
        <v>0.7323</v>
      </c>
      <c r="E95" s="937">
        <v>0.7323</v>
      </c>
      <c r="F95" s="937">
        <v>0.7323</v>
      </c>
      <c r="G95" s="937">
        <v>0.7323</v>
      </c>
      <c r="H95" s="937">
        <v>0.7323</v>
      </c>
      <c r="I95" s="937">
        <v>0.5454</v>
      </c>
      <c r="J95" s="937">
        <v>0.5454</v>
      </c>
      <c r="K95" s="937">
        <v>0.5454</v>
      </c>
      <c r="L95" s="937">
        <v>0.5454</v>
      </c>
      <c r="M95" s="937">
        <v>0.5454</v>
      </c>
    </row>
    <row r="96" spans="1:13">
      <c r="A96" s="938">
        <v>9.4</v>
      </c>
      <c r="B96" s="937">
        <v>0.8455</v>
      </c>
      <c r="C96" s="937">
        <v>0.8455</v>
      </c>
      <c r="D96" s="937">
        <v>0.7311</v>
      </c>
      <c r="E96" s="937">
        <v>0.7311</v>
      </c>
      <c r="F96" s="937">
        <v>0.7311</v>
      </c>
      <c r="G96" s="937">
        <v>0.7311</v>
      </c>
      <c r="H96" s="937">
        <v>0.7311</v>
      </c>
      <c r="I96" s="937">
        <v>0.5437</v>
      </c>
      <c r="J96" s="937">
        <v>0.5437</v>
      </c>
      <c r="K96" s="937">
        <v>0.5437</v>
      </c>
      <c r="L96" s="937">
        <v>0.5437</v>
      </c>
      <c r="M96" s="937">
        <v>0.5437</v>
      </c>
    </row>
    <row r="97" spans="1:13">
      <c r="A97" s="938">
        <v>9.5</v>
      </c>
      <c r="B97" s="937">
        <v>0.8445</v>
      </c>
      <c r="C97" s="937">
        <v>0.8445</v>
      </c>
      <c r="D97" s="937">
        <v>0.7299</v>
      </c>
      <c r="E97" s="937">
        <v>0.7299</v>
      </c>
      <c r="F97" s="937">
        <v>0.7299</v>
      </c>
      <c r="G97" s="937">
        <v>0.7299</v>
      </c>
      <c r="H97" s="937">
        <v>0.7299</v>
      </c>
      <c r="I97" s="937">
        <v>0.542</v>
      </c>
      <c r="J97" s="937">
        <v>0.542</v>
      </c>
      <c r="K97" s="937">
        <v>0.542</v>
      </c>
      <c r="L97" s="937">
        <v>0.542</v>
      </c>
      <c r="M97" s="937">
        <v>0.542</v>
      </c>
    </row>
    <row r="98" spans="1:13">
      <c r="A98" s="938">
        <v>9.6</v>
      </c>
      <c r="B98" s="937">
        <v>0.8434</v>
      </c>
      <c r="C98" s="937">
        <v>0.8434</v>
      </c>
      <c r="D98" s="937">
        <v>0.7287</v>
      </c>
      <c r="E98" s="937">
        <v>0.7287</v>
      </c>
      <c r="F98" s="937">
        <v>0.7287</v>
      </c>
      <c r="G98" s="937">
        <v>0.7287</v>
      </c>
      <c r="H98" s="937">
        <v>0.7287</v>
      </c>
      <c r="I98" s="937">
        <v>0.5403</v>
      </c>
      <c r="J98" s="937">
        <v>0.5403</v>
      </c>
      <c r="K98" s="937">
        <v>0.5403</v>
      </c>
      <c r="L98" s="937">
        <v>0.5403</v>
      </c>
      <c r="M98" s="937">
        <v>0.5403</v>
      </c>
    </row>
    <row r="99" spans="1:13">
      <c r="A99" s="938">
        <v>9.7</v>
      </c>
      <c r="B99" s="937">
        <v>0.8423</v>
      </c>
      <c r="C99" s="937">
        <v>0.8423</v>
      </c>
      <c r="D99" s="937">
        <v>0.7275</v>
      </c>
      <c r="E99" s="937">
        <v>0.7275</v>
      </c>
      <c r="F99" s="937">
        <v>0.7275</v>
      </c>
      <c r="G99" s="937">
        <v>0.7275</v>
      </c>
      <c r="H99" s="937">
        <v>0.7275</v>
      </c>
      <c r="I99" s="937">
        <v>0.5386</v>
      </c>
      <c r="J99" s="937">
        <v>0.5386</v>
      </c>
      <c r="K99" s="937">
        <v>0.5386</v>
      </c>
      <c r="L99" s="937">
        <v>0.5386</v>
      </c>
      <c r="M99" s="937">
        <v>0.5386</v>
      </c>
    </row>
    <row r="100" spans="1:13">
      <c r="A100" s="938">
        <v>9.8</v>
      </c>
      <c r="B100" s="937">
        <v>0.8414</v>
      </c>
      <c r="C100" s="937">
        <v>0.8414</v>
      </c>
      <c r="D100" s="937">
        <v>0.7263</v>
      </c>
      <c r="E100" s="937">
        <v>0.7263</v>
      </c>
      <c r="F100" s="937">
        <v>0.7263</v>
      </c>
      <c r="G100" s="937">
        <v>0.7263</v>
      </c>
      <c r="H100" s="937">
        <v>0.7263</v>
      </c>
      <c r="I100" s="937">
        <v>0.5371</v>
      </c>
      <c r="J100" s="937">
        <v>0.5371</v>
      </c>
      <c r="K100" s="937">
        <v>0.5371</v>
      </c>
      <c r="L100" s="937">
        <v>0.5371</v>
      </c>
      <c r="M100" s="937">
        <v>0.5371</v>
      </c>
    </row>
    <row r="101" spans="1:13">
      <c r="A101" s="938">
        <v>9.9</v>
      </c>
      <c r="B101" s="937">
        <v>0.8405</v>
      </c>
      <c r="C101" s="937">
        <v>0.8405</v>
      </c>
      <c r="D101" s="937">
        <v>0.7252</v>
      </c>
      <c r="E101" s="937">
        <v>0.7252</v>
      </c>
      <c r="F101" s="937">
        <v>0.7252</v>
      </c>
      <c r="G101" s="937">
        <v>0.7252</v>
      </c>
      <c r="H101" s="937">
        <v>0.7252</v>
      </c>
      <c r="I101" s="937">
        <v>0.5355</v>
      </c>
      <c r="J101" s="937">
        <v>0.5355</v>
      </c>
      <c r="K101" s="937">
        <v>0.5355</v>
      </c>
      <c r="L101" s="937">
        <v>0.5355</v>
      </c>
      <c r="M101" s="937">
        <v>0.5355</v>
      </c>
    </row>
    <row r="102" spans="1:13">
      <c r="A102" s="938">
        <v>10</v>
      </c>
      <c r="B102" s="937">
        <v>0.8395</v>
      </c>
      <c r="C102" s="937">
        <v>0.8395</v>
      </c>
      <c r="D102" s="937">
        <v>0.7241</v>
      </c>
      <c r="E102" s="937">
        <v>0.7241</v>
      </c>
      <c r="F102" s="937">
        <v>0.7241</v>
      </c>
      <c r="G102" s="937">
        <v>0.7241</v>
      </c>
      <c r="H102" s="937">
        <v>0.7241</v>
      </c>
      <c r="I102" s="937">
        <v>0.534</v>
      </c>
      <c r="J102" s="937">
        <v>0.534</v>
      </c>
      <c r="K102" s="937">
        <v>0.534</v>
      </c>
      <c r="L102" s="937">
        <v>0.534</v>
      </c>
      <c r="M102" s="937">
        <v>0.534</v>
      </c>
    </row>
    <row r="103" ht="15.6" spans="1:14">
      <c r="A103" s="932" t="s">
        <v>2040</v>
      </c>
      <c r="B103" s="933"/>
      <c r="C103" s="933"/>
      <c r="D103" s="933"/>
      <c r="E103" s="933"/>
      <c r="F103" s="933"/>
      <c r="G103" s="933"/>
      <c r="H103" s="933"/>
      <c r="I103" s="933"/>
      <c r="J103" s="933"/>
      <c r="K103" s="933"/>
      <c r="L103" s="933"/>
      <c r="M103" s="933"/>
      <c r="N103" s="933"/>
    </row>
    <row r="104" ht="15.6" spans="1:14">
      <c r="A104" s="934" t="s">
        <v>2039</v>
      </c>
      <c r="B104" s="935" t="s">
        <v>230</v>
      </c>
      <c r="C104" s="935" t="s">
        <v>241</v>
      </c>
      <c r="D104" s="935" t="s">
        <v>251</v>
      </c>
      <c r="E104" s="935" t="s">
        <v>259</v>
      </c>
      <c r="F104" s="935" t="s">
        <v>267</v>
      </c>
      <c r="G104" s="935" t="s">
        <v>273</v>
      </c>
      <c r="H104" s="936" t="s">
        <v>278</v>
      </c>
      <c r="I104" s="936" t="s">
        <v>283</v>
      </c>
      <c r="J104" s="939" t="s">
        <v>286</v>
      </c>
      <c r="K104" s="939" t="s">
        <v>289</v>
      </c>
      <c r="L104" s="939" t="s">
        <v>292</v>
      </c>
      <c r="M104" s="939" t="s">
        <v>295</v>
      </c>
      <c r="N104" s="933">
        <f>SUMPRODUCT((A105:A204=ROUNDDOWN(基准地价修正!G3,1))*(B104:M104=基准地价修正!G2)*(B105:M204))</f>
        <v>6.3935</v>
      </c>
    </row>
    <row r="105" spans="1:13">
      <c r="A105" s="934">
        <v>0.1</v>
      </c>
      <c r="B105" s="937">
        <v>13.733</v>
      </c>
      <c r="C105" s="937">
        <v>13.733</v>
      </c>
      <c r="D105" s="937">
        <v>12.787</v>
      </c>
      <c r="E105" s="937">
        <v>12.787</v>
      </c>
      <c r="F105" s="937">
        <v>12.787</v>
      </c>
      <c r="G105" s="937">
        <v>12.787</v>
      </c>
      <c r="H105" s="937">
        <v>12.787</v>
      </c>
      <c r="I105" s="937">
        <v>12.384</v>
      </c>
      <c r="J105" s="937">
        <v>12.384</v>
      </c>
      <c r="K105" s="937">
        <v>12.384</v>
      </c>
      <c r="L105" s="937">
        <v>12.384</v>
      </c>
      <c r="M105" s="937">
        <v>12.384</v>
      </c>
    </row>
    <row r="106" spans="1:13">
      <c r="A106" s="934">
        <v>0.2</v>
      </c>
      <c r="B106" s="937">
        <v>6.8665</v>
      </c>
      <c r="C106" s="937">
        <v>6.8665</v>
      </c>
      <c r="D106" s="937">
        <v>6.3935</v>
      </c>
      <c r="E106" s="937">
        <v>6.3935</v>
      </c>
      <c r="F106" s="937">
        <v>6.3935</v>
      </c>
      <c r="G106" s="937">
        <v>6.3935</v>
      </c>
      <c r="H106" s="937">
        <v>6.3935</v>
      </c>
      <c r="I106" s="937">
        <v>6.192</v>
      </c>
      <c r="J106" s="937">
        <v>6.192</v>
      </c>
      <c r="K106" s="937">
        <v>6.192</v>
      </c>
      <c r="L106" s="937">
        <v>6.192</v>
      </c>
      <c r="M106" s="937">
        <v>6.192</v>
      </c>
    </row>
    <row r="107" spans="1:13">
      <c r="A107" s="934">
        <v>0.3</v>
      </c>
      <c r="B107" s="937">
        <v>4.5777</v>
      </c>
      <c r="C107" s="937">
        <v>4.5777</v>
      </c>
      <c r="D107" s="937">
        <v>4.2623</v>
      </c>
      <c r="E107" s="937">
        <v>4.2623</v>
      </c>
      <c r="F107" s="937">
        <v>4.2623</v>
      </c>
      <c r="G107" s="937">
        <v>4.2623</v>
      </c>
      <c r="H107" s="937">
        <v>4.2623</v>
      </c>
      <c r="I107" s="937">
        <v>4.128</v>
      </c>
      <c r="J107" s="937">
        <v>4.128</v>
      </c>
      <c r="K107" s="937">
        <v>4.128</v>
      </c>
      <c r="L107" s="937">
        <v>4.128</v>
      </c>
      <c r="M107" s="937">
        <v>4.128</v>
      </c>
    </row>
    <row r="108" spans="1:13">
      <c r="A108" s="934">
        <v>0.4</v>
      </c>
      <c r="B108" s="937">
        <v>3.4333</v>
      </c>
      <c r="C108" s="937">
        <v>3.4333</v>
      </c>
      <c r="D108" s="937">
        <v>3.1968</v>
      </c>
      <c r="E108" s="937">
        <v>3.1968</v>
      </c>
      <c r="F108" s="937">
        <v>3.1968</v>
      </c>
      <c r="G108" s="937">
        <v>3.1968</v>
      </c>
      <c r="H108" s="937">
        <v>3.1968</v>
      </c>
      <c r="I108" s="937">
        <v>3.096</v>
      </c>
      <c r="J108" s="937">
        <v>3.096</v>
      </c>
      <c r="K108" s="937">
        <v>3.096</v>
      </c>
      <c r="L108" s="937">
        <v>3.096</v>
      </c>
      <c r="M108" s="937">
        <v>3.096</v>
      </c>
    </row>
    <row r="109" spans="1:13">
      <c r="A109" s="934">
        <v>0.5</v>
      </c>
      <c r="B109" s="937">
        <v>2.7466</v>
      </c>
      <c r="C109" s="937">
        <v>2.7466</v>
      </c>
      <c r="D109" s="937">
        <v>2.5574</v>
      </c>
      <c r="E109" s="937">
        <v>2.5574</v>
      </c>
      <c r="F109" s="937">
        <v>2.5574</v>
      </c>
      <c r="G109" s="937">
        <v>2.5574</v>
      </c>
      <c r="H109" s="937">
        <v>2.5574</v>
      </c>
      <c r="I109" s="937">
        <v>2.4768</v>
      </c>
      <c r="J109" s="937">
        <v>2.4768</v>
      </c>
      <c r="K109" s="937">
        <v>2.4768</v>
      </c>
      <c r="L109" s="937">
        <v>2.4768</v>
      </c>
      <c r="M109" s="937">
        <v>2.4768</v>
      </c>
    </row>
    <row r="110" spans="1:13">
      <c r="A110" s="934">
        <v>0.6</v>
      </c>
      <c r="B110" s="937">
        <v>2.2888</v>
      </c>
      <c r="C110" s="937">
        <v>2.2888</v>
      </c>
      <c r="D110" s="937">
        <v>2.1312</v>
      </c>
      <c r="E110" s="937">
        <v>2.1312</v>
      </c>
      <c r="F110" s="937">
        <v>2.1312</v>
      </c>
      <c r="G110" s="937">
        <v>2.1312</v>
      </c>
      <c r="H110" s="937">
        <v>2.1312</v>
      </c>
      <c r="I110" s="937">
        <v>2.064</v>
      </c>
      <c r="J110" s="937">
        <v>2.064</v>
      </c>
      <c r="K110" s="937">
        <v>2.064</v>
      </c>
      <c r="L110" s="937">
        <v>2.064</v>
      </c>
      <c r="M110" s="937">
        <v>2.064</v>
      </c>
    </row>
    <row r="111" spans="1:13">
      <c r="A111" s="934">
        <v>0.7</v>
      </c>
      <c r="B111" s="937">
        <v>1.9619</v>
      </c>
      <c r="C111" s="937">
        <v>1.9619</v>
      </c>
      <c r="D111" s="937">
        <v>1.8267</v>
      </c>
      <c r="E111" s="937">
        <v>1.8267</v>
      </c>
      <c r="F111" s="937">
        <v>1.8267</v>
      </c>
      <c r="G111" s="937">
        <v>1.8267</v>
      </c>
      <c r="H111" s="937">
        <v>1.8267</v>
      </c>
      <c r="I111" s="937">
        <v>1.7691</v>
      </c>
      <c r="J111" s="937">
        <v>1.7691</v>
      </c>
      <c r="K111" s="937">
        <v>1.7691</v>
      </c>
      <c r="L111" s="937">
        <v>1.7691</v>
      </c>
      <c r="M111" s="937">
        <v>1.7691</v>
      </c>
    </row>
    <row r="112" spans="1:13">
      <c r="A112" s="934">
        <v>0.8</v>
      </c>
      <c r="B112" s="937">
        <v>1.7166</v>
      </c>
      <c r="C112" s="937">
        <v>1.7166</v>
      </c>
      <c r="D112" s="937">
        <v>1.5984</v>
      </c>
      <c r="E112" s="937">
        <v>1.5984</v>
      </c>
      <c r="F112" s="937">
        <v>1.5984</v>
      </c>
      <c r="G112" s="937">
        <v>1.5984</v>
      </c>
      <c r="H112" s="937">
        <v>1.5984</v>
      </c>
      <c r="I112" s="937">
        <v>1.548</v>
      </c>
      <c r="J112" s="937">
        <v>1.548</v>
      </c>
      <c r="K112" s="937">
        <v>1.548</v>
      </c>
      <c r="L112" s="937">
        <v>1.548</v>
      </c>
      <c r="M112" s="937">
        <v>1.548</v>
      </c>
    </row>
    <row r="113" spans="1:13">
      <c r="A113" s="934">
        <v>0.9</v>
      </c>
      <c r="B113" s="937">
        <v>1.5259</v>
      </c>
      <c r="C113" s="937">
        <v>1.5259</v>
      </c>
      <c r="D113" s="937">
        <v>1.4208</v>
      </c>
      <c r="E113" s="937">
        <v>1.4208</v>
      </c>
      <c r="F113" s="937">
        <v>1.4208</v>
      </c>
      <c r="G113" s="937">
        <v>1.4208</v>
      </c>
      <c r="H113" s="937">
        <v>1.4208</v>
      </c>
      <c r="I113" s="937">
        <v>1.376</v>
      </c>
      <c r="J113" s="937">
        <v>1.376</v>
      </c>
      <c r="K113" s="937">
        <v>1.376</v>
      </c>
      <c r="L113" s="937">
        <v>1.376</v>
      </c>
      <c r="M113" s="937">
        <v>1.376</v>
      </c>
    </row>
    <row r="114" spans="1:13">
      <c r="A114" s="934">
        <v>1</v>
      </c>
      <c r="B114" s="937">
        <v>1.3733</v>
      </c>
      <c r="C114" s="937">
        <v>1.3733</v>
      </c>
      <c r="D114" s="937">
        <v>1.2787</v>
      </c>
      <c r="E114" s="937">
        <v>1.2787</v>
      </c>
      <c r="F114" s="937">
        <v>1.2787</v>
      </c>
      <c r="G114" s="937">
        <v>1.2787</v>
      </c>
      <c r="H114" s="937">
        <v>1.2787</v>
      </c>
      <c r="I114" s="937">
        <v>1.2384</v>
      </c>
      <c r="J114" s="937">
        <v>1.2384</v>
      </c>
      <c r="K114" s="937">
        <v>1.2384</v>
      </c>
      <c r="L114" s="937">
        <v>1.2384</v>
      </c>
      <c r="M114" s="937">
        <v>1.2384</v>
      </c>
    </row>
    <row r="115" spans="1:13">
      <c r="A115" s="934">
        <v>1.1</v>
      </c>
      <c r="B115" s="937">
        <v>1.3489</v>
      </c>
      <c r="C115" s="937">
        <v>1.3489</v>
      </c>
      <c r="D115" s="937">
        <v>1.2542</v>
      </c>
      <c r="E115" s="937">
        <v>1.2542</v>
      </c>
      <c r="F115" s="937">
        <v>1.2542</v>
      </c>
      <c r="G115" s="937">
        <v>1.2542</v>
      </c>
      <c r="H115" s="937">
        <v>1.2542</v>
      </c>
      <c r="I115" s="937">
        <v>1.205</v>
      </c>
      <c r="J115" s="937">
        <v>1.205</v>
      </c>
      <c r="K115" s="937">
        <v>1.205</v>
      </c>
      <c r="L115" s="937">
        <v>1.205</v>
      </c>
      <c r="M115" s="937">
        <v>1.205</v>
      </c>
    </row>
    <row r="116" spans="1:13">
      <c r="A116" s="934">
        <v>1.2</v>
      </c>
      <c r="B116" s="937">
        <v>1.3256</v>
      </c>
      <c r="C116" s="937">
        <v>1.3256</v>
      </c>
      <c r="D116" s="937">
        <v>1.2306</v>
      </c>
      <c r="E116" s="937">
        <v>1.2306</v>
      </c>
      <c r="F116" s="937">
        <v>1.2306</v>
      </c>
      <c r="G116" s="937">
        <v>1.2306</v>
      </c>
      <c r="H116" s="937">
        <v>1.2306</v>
      </c>
      <c r="I116" s="937">
        <v>1.1742</v>
      </c>
      <c r="J116" s="937">
        <v>1.1742</v>
      </c>
      <c r="K116" s="937">
        <v>1.1742</v>
      </c>
      <c r="L116" s="937">
        <v>1.1742</v>
      </c>
      <c r="M116" s="937">
        <v>1.1742</v>
      </c>
    </row>
    <row r="117" spans="1:13">
      <c r="A117" s="934">
        <v>1.3</v>
      </c>
      <c r="B117" s="937">
        <v>1.3033</v>
      </c>
      <c r="C117" s="937">
        <v>1.3033</v>
      </c>
      <c r="D117" s="937">
        <v>1.2079</v>
      </c>
      <c r="E117" s="937">
        <v>1.2079</v>
      </c>
      <c r="F117" s="937">
        <v>1.2079</v>
      </c>
      <c r="G117" s="937">
        <v>1.2079</v>
      </c>
      <c r="H117" s="937">
        <v>1.2079</v>
      </c>
      <c r="I117" s="937">
        <v>1.146</v>
      </c>
      <c r="J117" s="937">
        <v>1.146</v>
      </c>
      <c r="K117" s="937">
        <v>1.146</v>
      </c>
      <c r="L117" s="937">
        <v>1.146</v>
      </c>
      <c r="M117" s="937">
        <v>1.146</v>
      </c>
    </row>
    <row r="118" spans="1:13">
      <c r="A118" s="934">
        <v>1.4</v>
      </c>
      <c r="B118" s="937">
        <v>1.282</v>
      </c>
      <c r="C118" s="937">
        <v>1.282</v>
      </c>
      <c r="D118" s="937">
        <v>1.1862</v>
      </c>
      <c r="E118" s="937">
        <v>1.1862</v>
      </c>
      <c r="F118" s="937">
        <v>1.1862</v>
      </c>
      <c r="G118" s="937">
        <v>1.1862</v>
      </c>
      <c r="H118" s="937">
        <v>1.1862</v>
      </c>
      <c r="I118" s="937">
        <v>1.12</v>
      </c>
      <c r="J118" s="937">
        <v>1.12</v>
      </c>
      <c r="K118" s="937">
        <v>1.12</v>
      </c>
      <c r="L118" s="937">
        <v>1.12</v>
      </c>
      <c r="M118" s="937">
        <v>1.12</v>
      </c>
    </row>
    <row r="119" spans="1:13">
      <c r="A119" s="934">
        <v>1.5</v>
      </c>
      <c r="B119" s="937">
        <v>1.2617</v>
      </c>
      <c r="C119" s="937">
        <v>1.2617</v>
      </c>
      <c r="D119" s="937">
        <v>1.1653</v>
      </c>
      <c r="E119" s="937">
        <v>1.1653</v>
      </c>
      <c r="F119" s="937">
        <v>1.1653</v>
      </c>
      <c r="G119" s="937">
        <v>1.1653</v>
      </c>
      <c r="H119" s="937">
        <v>1.1653</v>
      </c>
      <c r="I119" s="937">
        <v>1.0961</v>
      </c>
      <c r="J119" s="937">
        <v>1.0961</v>
      </c>
      <c r="K119" s="937">
        <v>1.0961</v>
      </c>
      <c r="L119" s="937">
        <v>1.0961</v>
      </c>
      <c r="M119" s="937">
        <v>1.0961</v>
      </c>
    </row>
    <row r="120" spans="1:13">
      <c r="A120" s="934">
        <v>1.6</v>
      </c>
      <c r="B120" s="937">
        <v>1.2423</v>
      </c>
      <c r="C120" s="937">
        <v>1.2423</v>
      </c>
      <c r="D120" s="937">
        <v>1.1453</v>
      </c>
      <c r="E120" s="937">
        <v>1.1453</v>
      </c>
      <c r="F120" s="937">
        <v>1.1453</v>
      </c>
      <c r="G120" s="937">
        <v>1.1453</v>
      </c>
      <c r="H120" s="937">
        <v>1.1453</v>
      </c>
      <c r="I120" s="937">
        <v>1.074</v>
      </c>
      <c r="J120" s="937">
        <v>1.074</v>
      </c>
      <c r="K120" s="937">
        <v>1.074</v>
      </c>
      <c r="L120" s="937">
        <v>1.074</v>
      </c>
      <c r="M120" s="937">
        <v>1.074</v>
      </c>
    </row>
    <row r="121" spans="1:13">
      <c r="A121" s="934">
        <v>1.7</v>
      </c>
      <c r="B121" s="937">
        <v>1.2237</v>
      </c>
      <c r="C121" s="937">
        <v>1.2237</v>
      </c>
      <c r="D121" s="937">
        <v>1.1261</v>
      </c>
      <c r="E121" s="937">
        <v>1.1261</v>
      </c>
      <c r="F121" s="937">
        <v>1.1261</v>
      </c>
      <c r="G121" s="937">
        <v>1.1261</v>
      </c>
      <c r="H121" s="937">
        <v>1.1261</v>
      </c>
      <c r="I121" s="937">
        <v>1.0535</v>
      </c>
      <c r="J121" s="937">
        <v>1.0535</v>
      </c>
      <c r="K121" s="937">
        <v>1.0535</v>
      </c>
      <c r="L121" s="937">
        <v>1.0535</v>
      </c>
      <c r="M121" s="937">
        <v>1.0535</v>
      </c>
    </row>
    <row r="122" spans="1:13">
      <c r="A122" s="934">
        <v>1.8</v>
      </c>
      <c r="B122" s="937">
        <v>1.206</v>
      </c>
      <c r="C122" s="937">
        <v>1.206</v>
      </c>
      <c r="D122" s="937">
        <v>1.1077</v>
      </c>
      <c r="E122" s="937">
        <v>1.1077</v>
      </c>
      <c r="F122" s="937">
        <v>1.1077</v>
      </c>
      <c r="G122" s="937">
        <v>1.1077</v>
      </c>
      <c r="H122" s="937">
        <v>1.1077</v>
      </c>
      <c r="I122" s="937">
        <v>1.0345</v>
      </c>
      <c r="J122" s="937">
        <v>1.0345</v>
      </c>
      <c r="K122" s="937">
        <v>1.0345</v>
      </c>
      <c r="L122" s="937">
        <v>1.0345</v>
      </c>
      <c r="M122" s="937">
        <v>1.0345</v>
      </c>
    </row>
    <row r="123" spans="1:13">
      <c r="A123" s="934">
        <v>1.9</v>
      </c>
      <c r="B123" s="937">
        <v>1.1891</v>
      </c>
      <c r="C123" s="937">
        <v>1.1891</v>
      </c>
      <c r="D123" s="937">
        <v>1.0901</v>
      </c>
      <c r="E123" s="937">
        <v>1.0901</v>
      </c>
      <c r="F123" s="937">
        <v>1.0901</v>
      </c>
      <c r="G123" s="937">
        <v>1.0901</v>
      </c>
      <c r="H123" s="937">
        <v>1.0901</v>
      </c>
      <c r="I123" s="937">
        <v>1.0167</v>
      </c>
      <c r="J123" s="937">
        <v>1.0167</v>
      </c>
      <c r="K123" s="937">
        <v>1.0167</v>
      </c>
      <c r="L123" s="937">
        <v>1.0167</v>
      </c>
      <c r="M123" s="937">
        <v>1.0167</v>
      </c>
    </row>
    <row r="124" spans="1:13">
      <c r="A124" s="934">
        <v>2</v>
      </c>
      <c r="B124" s="937">
        <v>1.1729</v>
      </c>
      <c r="C124" s="937">
        <v>1.1729</v>
      </c>
      <c r="D124" s="937">
        <v>1.0733</v>
      </c>
      <c r="E124" s="937">
        <v>1.0733</v>
      </c>
      <c r="F124" s="937">
        <v>1.0733</v>
      </c>
      <c r="G124" s="937">
        <v>1.0733</v>
      </c>
      <c r="H124" s="937">
        <v>1.0733</v>
      </c>
      <c r="I124" s="937">
        <v>1</v>
      </c>
      <c r="J124" s="937">
        <v>1</v>
      </c>
      <c r="K124" s="937">
        <v>1</v>
      </c>
      <c r="L124" s="937">
        <v>1</v>
      </c>
      <c r="M124" s="937">
        <v>1</v>
      </c>
    </row>
    <row r="125" spans="1:13">
      <c r="A125" s="938">
        <v>2.1</v>
      </c>
      <c r="B125" s="937">
        <v>1.1574</v>
      </c>
      <c r="C125" s="937">
        <v>1.1574</v>
      </c>
      <c r="D125" s="937">
        <v>1.0572</v>
      </c>
      <c r="E125" s="937">
        <v>1.0572</v>
      </c>
      <c r="F125" s="937">
        <v>1.0572</v>
      </c>
      <c r="G125" s="937">
        <v>1.0572</v>
      </c>
      <c r="H125" s="937">
        <v>1.0572</v>
      </c>
      <c r="I125" s="937">
        <v>0.9841</v>
      </c>
      <c r="J125" s="937">
        <v>0.9841</v>
      </c>
      <c r="K125" s="937">
        <v>0.9841</v>
      </c>
      <c r="L125" s="937">
        <v>0.9841</v>
      </c>
      <c r="M125" s="937">
        <v>0.9841</v>
      </c>
    </row>
    <row r="126" spans="1:13">
      <c r="A126" s="938">
        <v>2.2</v>
      </c>
      <c r="B126" s="937">
        <v>1.1426</v>
      </c>
      <c r="C126" s="937">
        <v>1.1426</v>
      </c>
      <c r="D126" s="937">
        <v>1.0419</v>
      </c>
      <c r="E126" s="937">
        <v>1.0419</v>
      </c>
      <c r="F126" s="937">
        <v>1.0419</v>
      </c>
      <c r="G126" s="937">
        <v>1.0419</v>
      </c>
      <c r="H126" s="937">
        <v>1.0419</v>
      </c>
      <c r="I126" s="937">
        <v>0.9689</v>
      </c>
      <c r="J126" s="937">
        <v>0.9689</v>
      </c>
      <c r="K126" s="937">
        <v>0.9689</v>
      </c>
      <c r="L126" s="937">
        <v>0.9689</v>
      </c>
      <c r="M126" s="937">
        <v>0.9689</v>
      </c>
    </row>
    <row r="127" spans="1:13">
      <c r="A127" s="938">
        <v>2.3</v>
      </c>
      <c r="B127" s="937">
        <v>1.1285</v>
      </c>
      <c r="C127" s="937">
        <v>1.1285</v>
      </c>
      <c r="D127" s="937">
        <v>1.0272</v>
      </c>
      <c r="E127" s="937">
        <v>1.0272</v>
      </c>
      <c r="F127" s="937">
        <v>1.0272</v>
      </c>
      <c r="G127" s="937">
        <v>1.0272</v>
      </c>
      <c r="H127" s="937">
        <v>1.0272</v>
      </c>
      <c r="I127" s="937">
        <v>0.9544</v>
      </c>
      <c r="J127" s="937">
        <v>0.9544</v>
      </c>
      <c r="K127" s="937">
        <v>0.9544</v>
      </c>
      <c r="L127" s="937">
        <v>0.9544</v>
      </c>
      <c r="M127" s="937">
        <v>0.9544</v>
      </c>
    </row>
    <row r="128" spans="1:13">
      <c r="A128" s="938">
        <v>2.4</v>
      </c>
      <c r="B128" s="937">
        <v>1.1149</v>
      </c>
      <c r="C128" s="937">
        <v>1.1149</v>
      </c>
      <c r="D128" s="937">
        <v>1.0133</v>
      </c>
      <c r="E128" s="937">
        <v>1.0133</v>
      </c>
      <c r="F128" s="937">
        <v>1.0133</v>
      </c>
      <c r="G128" s="937">
        <v>1.0133</v>
      </c>
      <c r="H128" s="937">
        <v>1.0133</v>
      </c>
      <c r="I128" s="937">
        <v>0.9405</v>
      </c>
      <c r="J128" s="937">
        <v>0.9405</v>
      </c>
      <c r="K128" s="937">
        <v>0.9405</v>
      </c>
      <c r="L128" s="937">
        <v>0.9405</v>
      </c>
      <c r="M128" s="937">
        <v>0.9405</v>
      </c>
    </row>
    <row r="129" spans="1:13">
      <c r="A129" s="938">
        <v>2.5</v>
      </c>
      <c r="B129" s="937">
        <v>1.102</v>
      </c>
      <c r="C129" s="937">
        <v>1.102</v>
      </c>
      <c r="D129" s="937">
        <v>1</v>
      </c>
      <c r="E129" s="937">
        <v>1</v>
      </c>
      <c r="F129" s="937">
        <v>1</v>
      </c>
      <c r="G129" s="937">
        <v>1</v>
      </c>
      <c r="H129" s="937">
        <v>1</v>
      </c>
      <c r="I129" s="937">
        <v>0.9273</v>
      </c>
      <c r="J129" s="937">
        <v>0.9273</v>
      </c>
      <c r="K129" s="937">
        <v>0.9273</v>
      </c>
      <c r="L129" s="937">
        <v>0.9273</v>
      </c>
      <c r="M129" s="937">
        <v>0.9273</v>
      </c>
    </row>
    <row r="130" spans="1:13">
      <c r="A130" s="938">
        <v>2.6</v>
      </c>
      <c r="B130" s="937">
        <v>1.0896</v>
      </c>
      <c r="C130" s="937">
        <v>1.0896</v>
      </c>
      <c r="D130" s="937">
        <v>0.9874</v>
      </c>
      <c r="E130" s="937">
        <v>0.9874</v>
      </c>
      <c r="F130" s="937">
        <v>0.9874</v>
      </c>
      <c r="G130" s="937">
        <v>0.9874</v>
      </c>
      <c r="H130" s="937">
        <v>0.9874</v>
      </c>
      <c r="I130" s="937">
        <v>0.9147</v>
      </c>
      <c r="J130" s="937">
        <v>0.9147</v>
      </c>
      <c r="K130" s="937">
        <v>0.9147</v>
      </c>
      <c r="L130" s="937">
        <v>0.9147</v>
      </c>
      <c r="M130" s="937">
        <v>0.9147</v>
      </c>
    </row>
    <row r="131" spans="1:13">
      <c r="A131" s="938">
        <v>2.7</v>
      </c>
      <c r="B131" s="937">
        <v>1.0778</v>
      </c>
      <c r="C131" s="937">
        <v>1.0778</v>
      </c>
      <c r="D131" s="937">
        <v>0.9754</v>
      </c>
      <c r="E131" s="937">
        <v>0.9754</v>
      </c>
      <c r="F131" s="937">
        <v>0.9754</v>
      </c>
      <c r="G131" s="937">
        <v>0.9754</v>
      </c>
      <c r="H131" s="937">
        <v>0.9754</v>
      </c>
      <c r="I131" s="937">
        <v>0.9027</v>
      </c>
      <c r="J131" s="937">
        <v>0.9027</v>
      </c>
      <c r="K131" s="937">
        <v>0.9027</v>
      </c>
      <c r="L131" s="937">
        <v>0.9027</v>
      </c>
      <c r="M131" s="937">
        <v>0.9027</v>
      </c>
    </row>
    <row r="132" spans="1:13">
      <c r="A132" s="938">
        <v>2.8</v>
      </c>
      <c r="B132" s="937">
        <v>1.0665</v>
      </c>
      <c r="C132" s="937">
        <v>1.0665</v>
      </c>
      <c r="D132" s="937">
        <v>0.964</v>
      </c>
      <c r="E132" s="937">
        <v>0.964</v>
      </c>
      <c r="F132" s="937">
        <v>0.964</v>
      </c>
      <c r="G132" s="937">
        <v>0.964</v>
      </c>
      <c r="H132" s="937">
        <v>0.964</v>
      </c>
      <c r="I132" s="937">
        <v>0.8912</v>
      </c>
      <c r="J132" s="937">
        <v>0.8912</v>
      </c>
      <c r="K132" s="937">
        <v>0.8912</v>
      </c>
      <c r="L132" s="937">
        <v>0.8912</v>
      </c>
      <c r="M132" s="937">
        <v>0.8912</v>
      </c>
    </row>
    <row r="133" spans="1:13">
      <c r="A133" s="938">
        <v>2.9</v>
      </c>
      <c r="B133" s="937">
        <v>1.0556</v>
      </c>
      <c r="C133" s="937">
        <v>1.0556</v>
      </c>
      <c r="D133" s="937">
        <v>0.9533</v>
      </c>
      <c r="E133" s="937">
        <v>0.9533</v>
      </c>
      <c r="F133" s="937">
        <v>0.9533</v>
      </c>
      <c r="G133" s="937">
        <v>0.9533</v>
      </c>
      <c r="H133" s="937">
        <v>0.9533</v>
      </c>
      <c r="I133" s="937">
        <v>0.8802</v>
      </c>
      <c r="J133" s="937">
        <v>0.8802</v>
      </c>
      <c r="K133" s="937">
        <v>0.8802</v>
      </c>
      <c r="L133" s="937">
        <v>0.8802</v>
      </c>
      <c r="M133" s="937">
        <v>0.8802</v>
      </c>
    </row>
    <row r="134" spans="1:13">
      <c r="A134" s="938">
        <v>3</v>
      </c>
      <c r="B134" s="937">
        <v>1.0453</v>
      </c>
      <c r="C134" s="937">
        <v>1.0453</v>
      </c>
      <c r="D134" s="937">
        <v>0.943</v>
      </c>
      <c r="E134" s="937">
        <v>0.943</v>
      </c>
      <c r="F134" s="937">
        <v>0.943</v>
      </c>
      <c r="G134" s="937">
        <v>0.943</v>
      </c>
      <c r="H134" s="937">
        <v>0.943</v>
      </c>
      <c r="I134" s="937">
        <v>0.8697</v>
      </c>
      <c r="J134" s="937">
        <v>0.8697</v>
      </c>
      <c r="K134" s="937">
        <v>0.8697</v>
      </c>
      <c r="L134" s="937">
        <v>0.8697</v>
      </c>
      <c r="M134" s="937">
        <v>0.8697</v>
      </c>
    </row>
    <row r="135" spans="1:13">
      <c r="A135" s="938">
        <v>3.1</v>
      </c>
      <c r="B135" s="937">
        <v>1.0354</v>
      </c>
      <c r="C135" s="937">
        <v>1.0354</v>
      </c>
      <c r="D135" s="937">
        <v>0.9333</v>
      </c>
      <c r="E135" s="937">
        <v>0.9333</v>
      </c>
      <c r="F135" s="937">
        <v>0.9333</v>
      </c>
      <c r="G135" s="937">
        <v>0.9333</v>
      </c>
      <c r="H135" s="937">
        <v>0.9333</v>
      </c>
      <c r="I135" s="937">
        <v>0.8597</v>
      </c>
      <c r="J135" s="937">
        <v>0.8597</v>
      </c>
      <c r="K135" s="937">
        <v>0.8597</v>
      </c>
      <c r="L135" s="937">
        <v>0.8597</v>
      </c>
      <c r="M135" s="937">
        <v>0.8597</v>
      </c>
    </row>
    <row r="136" spans="1:13">
      <c r="A136" s="938">
        <v>3.2</v>
      </c>
      <c r="B136" s="937">
        <v>1.0259</v>
      </c>
      <c r="C136" s="937">
        <v>1.0259</v>
      </c>
      <c r="D136" s="937">
        <v>0.9241</v>
      </c>
      <c r="E136" s="937">
        <v>0.9241</v>
      </c>
      <c r="F136" s="937">
        <v>0.9241</v>
      </c>
      <c r="G136" s="937">
        <v>0.9241</v>
      </c>
      <c r="H136" s="937">
        <v>0.9241</v>
      </c>
      <c r="I136" s="937">
        <v>0.8502</v>
      </c>
      <c r="J136" s="937">
        <v>0.8502</v>
      </c>
      <c r="K136" s="937">
        <v>0.8502</v>
      </c>
      <c r="L136" s="937">
        <v>0.8502</v>
      </c>
      <c r="M136" s="937">
        <v>0.8502</v>
      </c>
    </row>
    <row r="137" spans="1:13">
      <c r="A137" s="938">
        <v>3.3</v>
      </c>
      <c r="B137" s="937">
        <v>1.0169</v>
      </c>
      <c r="C137" s="937">
        <v>1.0169</v>
      </c>
      <c r="D137" s="937">
        <v>0.9154</v>
      </c>
      <c r="E137" s="937">
        <v>0.9154</v>
      </c>
      <c r="F137" s="937">
        <v>0.9154</v>
      </c>
      <c r="G137" s="937">
        <v>0.9154</v>
      </c>
      <c r="H137" s="937">
        <v>0.9154</v>
      </c>
      <c r="I137" s="937">
        <v>0.8411</v>
      </c>
      <c r="J137" s="937">
        <v>0.8411</v>
      </c>
      <c r="K137" s="937">
        <v>0.8411</v>
      </c>
      <c r="L137" s="937">
        <v>0.8411</v>
      </c>
      <c r="M137" s="937">
        <v>0.8411</v>
      </c>
    </row>
    <row r="138" spans="1:13">
      <c r="A138" s="938">
        <v>3.4</v>
      </c>
      <c r="B138" s="937">
        <v>1.0082</v>
      </c>
      <c r="C138" s="937">
        <v>1.0082</v>
      </c>
      <c r="D138" s="937">
        <v>0.9071</v>
      </c>
      <c r="E138" s="937">
        <v>0.9071</v>
      </c>
      <c r="F138" s="937">
        <v>0.9071</v>
      </c>
      <c r="G138" s="937">
        <v>0.9071</v>
      </c>
      <c r="H138" s="937">
        <v>0.9071</v>
      </c>
      <c r="I138" s="937">
        <v>0.8324</v>
      </c>
      <c r="J138" s="937">
        <v>0.8324</v>
      </c>
      <c r="K138" s="937">
        <v>0.8324</v>
      </c>
      <c r="L138" s="937">
        <v>0.8324</v>
      </c>
      <c r="M138" s="937">
        <v>0.8324</v>
      </c>
    </row>
    <row r="139" spans="1:13">
      <c r="A139" s="938">
        <v>3.5</v>
      </c>
      <c r="B139" s="937">
        <v>1</v>
      </c>
      <c r="C139" s="937">
        <v>1</v>
      </c>
      <c r="D139" s="937">
        <v>0.8993</v>
      </c>
      <c r="E139" s="937">
        <v>0.8993</v>
      </c>
      <c r="F139" s="937">
        <v>0.8993</v>
      </c>
      <c r="G139" s="937">
        <v>0.8993</v>
      </c>
      <c r="H139" s="937">
        <v>0.8993</v>
      </c>
      <c r="I139" s="937">
        <v>0.8241</v>
      </c>
      <c r="J139" s="937">
        <v>0.8241</v>
      </c>
      <c r="K139" s="937">
        <v>0.8241</v>
      </c>
      <c r="L139" s="937">
        <v>0.8241</v>
      </c>
      <c r="M139" s="937">
        <v>0.8241</v>
      </c>
    </row>
    <row r="140" spans="1:13">
      <c r="A140" s="938">
        <v>3.6</v>
      </c>
      <c r="B140" s="937">
        <v>0.9922</v>
      </c>
      <c r="C140" s="937">
        <v>0.9922</v>
      </c>
      <c r="D140" s="937">
        <v>0.8919</v>
      </c>
      <c r="E140" s="937">
        <v>0.8919</v>
      </c>
      <c r="F140" s="937">
        <v>0.8919</v>
      </c>
      <c r="G140" s="937">
        <v>0.8919</v>
      </c>
      <c r="H140" s="937">
        <v>0.8919</v>
      </c>
      <c r="I140" s="937">
        <v>0.8162</v>
      </c>
      <c r="J140" s="937">
        <v>0.8162</v>
      </c>
      <c r="K140" s="937">
        <v>0.8162</v>
      </c>
      <c r="L140" s="937">
        <v>0.8162</v>
      </c>
      <c r="M140" s="937">
        <v>0.8162</v>
      </c>
    </row>
    <row r="141" spans="1:13">
      <c r="A141" s="938">
        <v>3.7</v>
      </c>
      <c r="B141" s="937">
        <v>0.9848</v>
      </c>
      <c r="C141" s="937">
        <v>0.9848</v>
      </c>
      <c r="D141" s="937">
        <v>0.8848</v>
      </c>
      <c r="E141" s="937">
        <v>0.8848</v>
      </c>
      <c r="F141" s="937">
        <v>0.8848</v>
      </c>
      <c r="G141" s="937">
        <v>0.8848</v>
      </c>
      <c r="H141" s="937">
        <v>0.8848</v>
      </c>
      <c r="I141" s="937">
        <v>0.8087</v>
      </c>
      <c r="J141" s="937">
        <v>0.8087</v>
      </c>
      <c r="K141" s="937">
        <v>0.8087</v>
      </c>
      <c r="L141" s="937">
        <v>0.8087</v>
      </c>
      <c r="M141" s="937">
        <v>0.8087</v>
      </c>
    </row>
    <row r="142" spans="1:13">
      <c r="A142" s="938">
        <v>3.8</v>
      </c>
      <c r="B142" s="937">
        <v>0.9778</v>
      </c>
      <c r="C142" s="937">
        <v>0.9778</v>
      </c>
      <c r="D142" s="937">
        <v>0.8781</v>
      </c>
      <c r="E142" s="937">
        <v>0.8781</v>
      </c>
      <c r="F142" s="937">
        <v>0.8781</v>
      </c>
      <c r="G142" s="937">
        <v>0.8781</v>
      </c>
      <c r="H142" s="937">
        <v>0.8781</v>
      </c>
      <c r="I142" s="937">
        <v>0.8016</v>
      </c>
      <c r="J142" s="937">
        <v>0.8016</v>
      </c>
      <c r="K142" s="937">
        <v>0.8016</v>
      </c>
      <c r="L142" s="937">
        <v>0.8016</v>
      </c>
      <c r="M142" s="937">
        <v>0.8016</v>
      </c>
    </row>
    <row r="143" spans="1:13">
      <c r="A143" s="938">
        <v>3.9</v>
      </c>
      <c r="B143" s="937">
        <v>0.9712</v>
      </c>
      <c r="C143" s="937">
        <v>0.9712</v>
      </c>
      <c r="D143" s="937">
        <v>0.8718</v>
      </c>
      <c r="E143" s="937">
        <v>0.8718</v>
      </c>
      <c r="F143" s="937">
        <v>0.8718</v>
      </c>
      <c r="G143" s="937">
        <v>0.8718</v>
      </c>
      <c r="H143" s="937">
        <v>0.8718</v>
      </c>
      <c r="I143" s="937">
        <v>0.7948</v>
      </c>
      <c r="J143" s="937">
        <v>0.7948</v>
      </c>
      <c r="K143" s="937">
        <v>0.7948</v>
      </c>
      <c r="L143" s="937">
        <v>0.7948</v>
      </c>
      <c r="M143" s="937">
        <v>0.7948</v>
      </c>
    </row>
    <row r="144" spans="1:13">
      <c r="A144" s="938">
        <v>4</v>
      </c>
      <c r="B144" s="937">
        <v>0.965</v>
      </c>
      <c r="C144" s="937">
        <v>0.965</v>
      </c>
      <c r="D144" s="937">
        <v>0.8658</v>
      </c>
      <c r="E144" s="937">
        <v>0.8658</v>
      </c>
      <c r="F144" s="937">
        <v>0.8658</v>
      </c>
      <c r="G144" s="937">
        <v>0.8658</v>
      </c>
      <c r="H144" s="937">
        <v>0.8658</v>
      </c>
      <c r="I144" s="937">
        <v>0.7883</v>
      </c>
      <c r="J144" s="937">
        <v>0.7883</v>
      </c>
      <c r="K144" s="937">
        <v>0.7883</v>
      </c>
      <c r="L144" s="937">
        <v>0.7883</v>
      </c>
      <c r="M144" s="937">
        <v>0.7883</v>
      </c>
    </row>
    <row r="145" spans="1:13">
      <c r="A145" s="938">
        <v>4.1</v>
      </c>
      <c r="B145" s="937">
        <v>0.9591</v>
      </c>
      <c r="C145" s="937">
        <v>0.9591</v>
      </c>
      <c r="D145" s="937">
        <v>0.8601</v>
      </c>
      <c r="E145" s="937">
        <v>0.8601</v>
      </c>
      <c r="F145" s="937">
        <v>0.8601</v>
      </c>
      <c r="G145" s="937">
        <v>0.8601</v>
      </c>
      <c r="H145" s="937">
        <v>0.8601</v>
      </c>
      <c r="I145" s="937">
        <v>0.782</v>
      </c>
      <c r="J145" s="937">
        <v>0.782</v>
      </c>
      <c r="K145" s="937">
        <v>0.782</v>
      </c>
      <c r="L145" s="937">
        <v>0.782</v>
      </c>
      <c r="M145" s="937">
        <v>0.782</v>
      </c>
    </row>
    <row r="146" spans="1:13">
      <c r="A146" s="938">
        <v>4.2</v>
      </c>
      <c r="B146" s="937">
        <v>0.9535</v>
      </c>
      <c r="C146" s="937">
        <v>0.9535</v>
      </c>
      <c r="D146" s="937">
        <v>0.8547</v>
      </c>
      <c r="E146" s="937">
        <v>0.8547</v>
      </c>
      <c r="F146" s="937">
        <v>0.8547</v>
      </c>
      <c r="G146" s="937">
        <v>0.8547</v>
      </c>
      <c r="H146" s="937">
        <v>0.8547</v>
      </c>
      <c r="I146" s="937">
        <v>0.776</v>
      </c>
      <c r="J146" s="937">
        <v>0.776</v>
      </c>
      <c r="K146" s="937">
        <v>0.776</v>
      </c>
      <c r="L146" s="937">
        <v>0.776</v>
      </c>
      <c r="M146" s="937">
        <v>0.776</v>
      </c>
    </row>
    <row r="147" spans="1:13">
      <c r="A147" s="938">
        <v>4.3</v>
      </c>
      <c r="B147" s="937">
        <v>0.9482</v>
      </c>
      <c r="C147" s="937">
        <v>0.9482</v>
      </c>
      <c r="D147" s="937">
        <v>0.8496</v>
      </c>
      <c r="E147" s="937">
        <v>0.8496</v>
      </c>
      <c r="F147" s="937">
        <v>0.8496</v>
      </c>
      <c r="G147" s="937">
        <v>0.8496</v>
      </c>
      <c r="H147" s="937">
        <v>0.8496</v>
      </c>
      <c r="I147" s="937">
        <v>0.7703</v>
      </c>
      <c r="J147" s="937">
        <v>0.7703</v>
      </c>
      <c r="K147" s="937">
        <v>0.7703</v>
      </c>
      <c r="L147" s="937">
        <v>0.7703</v>
      </c>
      <c r="M147" s="937">
        <v>0.7703</v>
      </c>
    </row>
    <row r="148" spans="1:13">
      <c r="A148" s="938">
        <v>4.4</v>
      </c>
      <c r="B148" s="937">
        <v>0.9432</v>
      </c>
      <c r="C148" s="937">
        <v>0.9432</v>
      </c>
      <c r="D148" s="937">
        <v>0.8448</v>
      </c>
      <c r="E148" s="937">
        <v>0.8448</v>
      </c>
      <c r="F148" s="937">
        <v>0.8448</v>
      </c>
      <c r="G148" s="937">
        <v>0.8448</v>
      </c>
      <c r="H148" s="937">
        <v>0.8448</v>
      </c>
      <c r="I148" s="937">
        <v>0.7649</v>
      </c>
      <c r="J148" s="937">
        <v>0.7649</v>
      </c>
      <c r="K148" s="937">
        <v>0.7649</v>
      </c>
      <c r="L148" s="937">
        <v>0.7649</v>
      </c>
      <c r="M148" s="937">
        <v>0.7649</v>
      </c>
    </row>
    <row r="149" spans="1:13">
      <c r="A149" s="938">
        <v>4.5</v>
      </c>
      <c r="B149" s="937">
        <v>0.9385</v>
      </c>
      <c r="C149" s="937">
        <v>0.9385</v>
      </c>
      <c r="D149" s="937">
        <v>0.8402</v>
      </c>
      <c r="E149" s="937">
        <v>0.8402</v>
      </c>
      <c r="F149" s="937">
        <v>0.8402</v>
      </c>
      <c r="G149" s="937">
        <v>0.8402</v>
      </c>
      <c r="H149" s="937">
        <v>0.8402</v>
      </c>
      <c r="I149" s="937">
        <v>0.7597</v>
      </c>
      <c r="J149" s="937">
        <v>0.7597</v>
      </c>
      <c r="K149" s="937">
        <v>0.7597</v>
      </c>
      <c r="L149" s="937">
        <v>0.7597</v>
      </c>
      <c r="M149" s="937">
        <v>0.7597</v>
      </c>
    </row>
    <row r="150" spans="1:13">
      <c r="A150" s="938">
        <v>4.6</v>
      </c>
      <c r="B150" s="937">
        <v>0.9341</v>
      </c>
      <c r="C150" s="937">
        <v>0.9341</v>
      </c>
      <c r="D150" s="937">
        <v>0.8358</v>
      </c>
      <c r="E150" s="937">
        <v>0.8358</v>
      </c>
      <c r="F150" s="937">
        <v>0.8358</v>
      </c>
      <c r="G150" s="937">
        <v>0.8358</v>
      </c>
      <c r="H150" s="937">
        <v>0.8358</v>
      </c>
      <c r="I150" s="937">
        <v>0.7547</v>
      </c>
      <c r="J150" s="937">
        <v>0.7547</v>
      </c>
      <c r="K150" s="937">
        <v>0.7547</v>
      </c>
      <c r="L150" s="937">
        <v>0.7547</v>
      </c>
      <c r="M150" s="937">
        <v>0.7547</v>
      </c>
    </row>
    <row r="151" spans="1:13">
      <c r="A151" s="938">
        <v>4.7</v>
      </c>
      <c r="B151" s="937">
        <v>0.9299</v>
      </c>
      <c r="C151" s="937">
        <v>0.9299</v>
      </c>
      <c r="D151" s="937">
        <v>0.8316</v>
      </c>
      <c r="E151" s="937">
        <v>0.8316</v>
      </c>
      <c r="F151" s="937">
        <v>0.8316</v>
      </c>
      <c r="G151" s="937">
        <v>0.8316</v>
      </c>
      <c r="H151" s="937">
        <v>0.8316</v>
      </c>
      <c r="I151" s="937">
        <v>0.7499</v>
      </c>
      <c r="J151" s="937">
        <v>0.7499</v>
      </c>
      <c r="K151" s="937">
        <v>0.7499</v>
      </c>
      <c r="L151" s="937">
        <v>0.7499</v>
      </c>
      <c r="M151" s="937">
        <v>0.7499</v>
      </c>
    </row>
    <row r="152" spans="1:13">
      <c r="A152" s="938">
        <v>4.8</v>
      </c>
      <c r="B152" s="937">
        <v>0.9259</v>
      </c>
      <c r="C152" s="937">
        <v>0.9259</v>
      </c>
      <c r="D152" s="937">
        <v>0.8277</v>
      </c>
      <c r="E152" s="937">
        <v>0.8277</v>
      </c>
      <c r="F152" s="937">
        <v>0.8277</v>
      </c>
      <c r="G152" s="937">
        <v>0.8277</v>
      </c>
      <c r="H152" s="937">
        <v>0.8277</v>
      </c>
      <c r="I152" s="937">
        <v>0.7453</v>
      </c>
      <c r="J152" s="937">
        <v>0.7453</v>
      </c>
      <c r="K152" s="937">
        <v>0.7453</v>
      </c>
      <c r="L152" s="937">
        <v>0.7453</v>
      </c>
      <c r="M152" s="937">
        <v>0.7453</v>
      </c>
    </row>
    <row r="153" spans="1:13">
      <c r="A153" s="938">
        <v>4.9</v>
      </c>
      <c r="B153" s="937">
        <v>0.9221</v>
      </c>
      <c r="C153" s="937">
        <v>0.9221</v>
      </c>
      <c r="D153" s="937">
        <v>0.8239</v>
      </c>
      <c r="E153" s="937">
        <v>0.8239</v>
      </c>
      <c r="F153" s="937">
        <v>0.8239</v>
      </c>
      <c r="G153" s="937">
        <v>0.8239</v>
      </c>
      <c r="H153" s="937">
        <v>0.8239</v>
      </c>
      <c r="I153" s="937">
        <v>0.7409</v>
      </c>
      <c r="J153" s="937">
        <v>0.7409</v>
      </c>
      <c r="K153" s="937">
        <v>0.7409</v>
      </c>
      <c r="L153" s="937">
        <v>0.7409</v>
      </c>
      <c r="M153" s="937">
        <v>0.7409</v>
      </c>
    </row>
    <row r="154" spans="1:13">
      <c r="A154" s="938">
        <v>5</v>
      </c>
      <c r="B154" s="937">
        <v>0.9185</v>
      </c>
      <c r="C154" s="937">
        <v>0.9185</v>
      </c>
      <c r="D154" s="937">
        <v>0.8203</v>
      </c>
      <c r="E154" s="937">
        <v>0.8203</v>
      </c>
      <c r="F154" s="937">
        <v>0.8203</v>
      </c>
      <c r="G154" s="937">
        <v>0.8203</v>
      </c>
      <c r="H154" s="937">
        <v>0.8203</v>
      </c>
      <c r="I154" s="937">
        <v>0.7367</v>
      </c>
      <c r="J154" s="937">
        <v>0.7367</v>
      </c>
      <c r="K154" s="937">
        <v>0.7367</v>
      </c>
      <c r="L154" s="937">
        <v>0.7367</v>
      </c>
      <c r="M154" s="937">
        <v>0.7367</v>
      </c>
    </row>
    <row r="155" spans="1:13">
      <c r="A155" s="934">
        <v>5.1</v>
      </c>
      <c r="B155" s="937">
        <v>0.9151</v>
      </c>
      <c r="C155" s="937">
        <v>0.9151</v>
      </c>
      <c r="D155" s="937">
        <v>0.8169</v>
      </c>
      <c r="E155" s="937">
        <v>0.8169</v>
      </c>
      <c r="F155" s="937">
        <v>0.8169</v>
      </c>
      <c r="G155" s="937">
        <v>0.8169</v>
      </c>
      <c r="H155" s="937">
        <v>0.8169</v>
      </c>
      <c r="I155" s="937">
        <v>0.7327</v>
      </c>
      <c r="J155" s="937">
        <v>0.7327</v>
      </c>
      <c r="K155" s="937">
        <v>0.7327</v>
      </c>
      <c r="L155" s="937">
        <v>0.7327</v>
      </c>
      <c r="M155" s="937">
        <v>0.7327</v>
      </c>
    </row>
    <row r="156" spans="1:13">
      <c r="A156" s="934">
        <v>5.2</v>
      </c>
      <c r="B156" s="937">
        <v>0.9119</v>
      </c>
      <c r="C156" s="937">
        <v>0.9119</v>
      </c>
      <c r="D156" s="937">
        <v>0.8136</v>
      </c>
      <c r="E156" s="937">
        <v>0.8136</v>
      </c>
      <c r="F156" s="937">
        <v>0.8136</v>
      </c>
      <c r="G156" s="937">
        <v>0.8136</v>
      </c>
      <c r="H156" s="937">
        <v>0.8136</v>
      </c>
      <c r="I156" s="937">
        <v>0.7289</v>
      </c>
      <c r="J156" s="937">
        <v>0.7289</v>
      </c>
      <c r="K156" s="937">
        <v>0.7289</v>
      </c>
      <c r="L156" s="937">
        <v>0.7289</v>
      </c>
      <c r="M156" s="937">
        <v>0.7289</v>
      </c>
    </row>
    <row r="157" spans="1:13">
      <c r="A157" s="934">
        <v>5.3</v>
      </c>
      <c r="B157" s="937">
        <v>0.9088</v>
      </c>
      <c r="C157" s="937">
        <v>0.9088</v>
      </c>
      <c r="D157" s="937">
        <v>0.8105</v>
      </c>
      <c r="E157" s="937">
        <v>0.8105</v>
      </c>
      <c r="F157" s="937">
        <v>0.8105</v>
      </c>
      <c r="G157" s="937">
        <v>0.8105</v>
      </c>
      <c r="H157" s="937">
        <v>0.8105</v>
      </c>
      <c r="I157" s="937">
        <v>0.7253</v>
      </c>
      <c r="J157" s="937">
        <v>0.7253</v>
      </c>
      <c r="K157" s="937">
        <v>0.7253</v>
      </c>
      <c r="L157" s="937">
        <v>0.7253</v>
      </c>
      <c r="M157" s="937">
        <v>0.7253</v>
      </c>
    </row>
    <row r="158" spans="1:13">
      <c r="A158" s="934">
        <v>5.4</v>
      </c>
      <c r="B158" s="937">
        <v>0.9058</v>
      </c>
      <c r="C158" s="937">
        <v>0.9058</v>
      </c>
      <c r="D158" s="937">
        <v>0.8075</v>
      </c>
      <c r="E158" s="937">
        <v>0.8075</v>
      </c>
      <c r="F158" s="937">
        <v>0.8075</v>
      </c>
      <c r="G158" s="937">
        <v>0.8075</v>
      </c>
      <c r="H158" s="937">
        <v>0.8075</v>
      </c>
      <c r="I158" s="937">
        <v>0.7218</v>
      </c>
      <c r="J158" s="937">
        <v>0.7218</v>
      </c>
      <c r="K158" s="937">
        <v>0.7218</v>
      </c>
      <c r="L158" s="937">
        <v>0.7218</v>
      </c>
      <c r="M158" s="937">
        <v>0.7218</v>
      </c>
    </row>
    <row r="159" spans="1:13">
      <c r="A159" s="934">
        <v>5.5</v>
      </c>
      <c r="B159" s="937">
        <v>0.9029</v>
      </c>
      <c r="C159" s="937">
        <v>0.9029</v>
      </c>
      <c r="D159" s="937">
        <v>0.8047</v>
      </c>
      <c r="E159" s="937">
        <v>0.8047</v>
      </c>
      <c r="F159" s="937">
        <v>0.8047</v>
      </c>
      <c r="G159" s="937">
        <v>0.8047</v>
      </c>
      <c r="H159" s="937">
        <v>0.8047</v>
      </c>
      <c r="I159" s="937">
        <v>0.7184</v>
      </c>
      <c r="J159" s="937">
        <v>0.7184</v>
      </c>
      <c r="K159" s="937">
        <v>0.7184</v>
      </c>
      <c r="L159" s="937">
        <v>0.7184</v>
      </c>
      <c r="M159" s="937">
        <v>0.7184</v>
      </c>
    </row>
    <row r="160" spans="1:13">
      <c r="A160" s="934">
        <v>5.6</v>
      </c>
      <c r="B160" s="937">
        <v>0.9001</v>
      </c>
      <c r="C160" s="937">
        <v>0.9001</v>
      </c>
      <c r="D160" s="937">
        <v>0.802</v>
      </c>
      <c r="E160" s="937">
        <v>0.802</v>
      </c>
      <c r="F160" s="937">
        <v>0.802</v>
      </c>
      <c r="G160" s="937">
        <v>0.802</v>
      </c>
      <c r="H160" s="937">
        <v>0.802</v>
      </c>
      <c r="I160" s="937">
        <v>0.7151</v>
      </c>
      <c r="J160" s="937">
        <v>0.7151</v>
      </c>
      <c r="K160" s="937">
        <v>0.7151</v>
      </c>
      <c r="L160" s="937">
        <v>0.7151</v>
      </c>
      <c r="M160" s="937">
        <v>0.7151</v>
      </c>
    </row>
    <row r="161" spans="1:13">
      <c r="A161" s="938">
        <v>5.7</v>
      </c>
      <c r="B161" s="937">
        <v>0.8975</v>
      </c>
      <c r="C161" s="937">
        <v>0.8975</v>
      </c>
      <c r="D161" s="937">
        <v>0.7993</v>
      </c>
      <c r="E161" s="937">
        <v>0.7993</v>
      </c>
      <c r="F161" s="937">
        <v>0.7993</v>
      </c>
      <c r="G161" s="937">
        <v>0.7993</v>
      </c>
      <c r="H161" s="937">
        <v>0.7993</v>
      </c>
      <c r="I161" s="937">
        <v>0.7119</v>
      </c>
      <c r="J161" s="937">
        <v>0.7119</v>
      </c>
      <c r="K161" s="937">
        <v>0.7119</v>
      </c>
      <c r="L161" s="937">
        <v>0.7119</v>
      </c>
      <c r="M161" s="937">
        <v>0.7119</v>
      </c>
    </row>
    <row r="162" spans="1:13">
      <c r="A162" s="934">
        <v>5.8</v>
      </c>
      <c r="B162" s="937">
        <v>0.895</v>
      </c>
      <c r="C162" s="937">
        <v>0.895</v>
      </c>
      <c r="D162" s="937">
        <v>0.7968</v>
      </c>
      <c r="E162" s="937">
        <v>0.7968</v>
      </c>
      <c r="F162" s="937">
        <v>0.7968</v>
      </c>
      <c r="G162" s="937">
        <v>0.7968</v>
      </c>
      <c r="H162" s="937">
        <v>0.7968</v>
      </c>
      <c r="I162" s="937">
        <v>0.7088</v>
      </c>
      <c r="J162" s="937">
        <v>0.7088</v>
      </c>
      <c r="K162" s="937">
        <v>0.7088</v>
      </c>
      <c r="L162" s="937">
        <v>0.7088</v>
      </c>
      <c r="M162" s="937">
        <v>0.7088</v>
      </c>
    </row>
    <row r="163" spans="1:13">
      <c r="A163" s="934">
        <v>5.9</v>
      </c>
      <c r="B163" s="937">
        <v>0.8926</v>
      </c>
      <c r="C163" s="937">
        <v>0.8926</v>
      </c>
      <c r="D163" s="937">
        <v>0.7944</v>
      </c>
      <c r="E163" s="937">
        <v>0.7944</v>
      </c>
      <c r="F163" s="937">
        <v>0.7944</v>
      </c>
      <c r="G163" s="937">
        <v>0.7944</v>
      </c>
      <c r="H163" s="937">
        <v>0.7944</v>
      </c>
      <c r="I163" s="937">
        <v>0.7058</v>
      </c>
      <c r="J163" s="937">
        <v>0.7058</v>
      </c>
      <c r="K163" s="937">
        <v>0.7058</v>
      </c>
      <c r="L163" s="937">
        <v>0.7058</v>
      </c>
      <c r="M163" s="937">
        <v>0.7058</v>
      </c>
    </row>
    <row r="164" spans="1:13">
      <c r="A164" s="934">
        <v>6</v>
      </c>
      <c r="B164" s="937">
        <v>0.8903</v>
      </c>
      <c r="C164" s="937">
        <v>0.8903</v>
      </c>
      <c r="D164" s="937">
        <v>0.792</v>
      </c>
      <c r="E164" s="937">
        <v>0.792</v>
      </c>
      <c r="F164" s="937">
        <v>0.792</v>
      </c>
      <c r="G164" s="937">
        <v>0.792</v>
      </c>
      <c r="H164" s="937">
        <v>0.792</v>
      </c>
      <c r="I164" s="937">
        <v>0.7029</v>
      </c>
      <c r="J164" s="937">
        <v>0.7029</v>
      </c>
      <c r="K164" s="937">
        <v>0.7029</v>
      </c>
      <c r="L164" s="937">
        <v>0.7029</v>
      </c>
      <c r="M164" s="937">
        <v>0.7029</v>
      </c>
    </row>
    <row r="165" spans="1:13">
      <c r="A165" s="934">
        <v>6.1</v>
      </c>
      <c r="B165" s="937">
        <v>0.8881</v>
      </c>
      <c r="C165" s="937">
        <v>0.8881</v>
      </c>
      <c r="D165" s="937">
        <v>0.7898</v>
      </c>
      <c r="E165" s="937">
        <v>0.7898</v>
      </c>
      <c r="F165" s="937">
        <v>0.7898</v>
      </c>
      <c r="G165" s="937">
        <v>0.7898</v>
      </c>
      <c r="H165" s="937">
        <v>0.7898</v>
      </c>
      <c r="I165" s="937">
        <v>0.7001</v>
      </c>
      <c r="J165" s="937">
        <v>0.7001</v>
      </c>
      <c r="K165" s="937">
        <v>0.7001</v>
      </c>
      <c r="L165" s="937">
        <v>0.7001</v>
      </c>
      <c r="M165" s="937">
        <v>0.7001</v>
      </c>
    </row>
    <row r="166" spans="1:13">
      <c r="A166" s="934">
        <v>6.2</v>
      </c>
      <c r="B166" s="937">
        <v>0.886</v>
      </c>
      <c r="C166" s="937">
        <v>0.886</v>
      </c>
      <c r="D166" s="937">
        <v>0.7876</v>
      </c>
      <c r="E166" s="937">
        <v>0.7876</v>
      </c>
      <c r="F166" s="937">
        <v>0.7876</v>
      </c>
      <c r="G166" s="937">
        <v>0.7876</v>
      </c>
      <c r="H166" s="937">
        <v>0.7876</v>
      </c>
      <c r="I166" s="937">
        <v>0.6974</v>
      </c>
      <c r="J166" s="937">
        <v>0.6974</v>
      </c>
      <c r="K166" s="937">
        <v>0.6974</v>
      </c>
      <c r="L166" s="937">
        <v>0.6974</v>
      </c>
      <c r="M166" s="937">
        <v>0.6974</v>
      </c>
    </row>
    <row r="167" spans="1:13">
      <c r="A167" s="934">
        <v>6.3</v>
      </c>
      <c r="B167" s="937">
        <v>0.8839</v>
      </c>
      <c r="C167" s="937">
        <v>0.8839</v>
      </c>
      <c r="D167" s="937">
        <v>0.7855</v>
      </c>
      <c r="E167" s="937">
        <v>0.7855</v>
      </c>
      <c r="F167" s="937">
        <v>0.7855</v>
      </c>
      <c r="G167" s="937">
        <v>0.7855</v>
      </c>
      <c r="H167" s="937">
        <v>0.7855</v>
      </c>
      <c r="I167" s="937">
        <v>0.6948</v>
      </c>
      <c r="J167" s="937">
        <v>0.6948</v>
      </c>
      <c r="K167" s="937">
        <v>0.6948</v>
      </c>
      <c r="L167" s="937">
        <v>0.6948</v>
      </c>
      <c r="M167" s="937">
        <v>0.6948</v>
      </c>
    </row>
    <row r="168" spans="1:13">
      <c r="A168" s="934">
        <v>6.4</v>
      </c>
      <c r="B168" s="937">
        <v>0.8819</v>
      </c>
      <c r="C168" s="937">
        <v>0.8819</v>
      </c>
      <c r="D168" s="937">
        <v>0.7834</v>
      </c>
      <c r="E168" s="937">
        <v>0.7834</v>
      </c>
      <c r="F168" s="937">
        <v>0.7834</v>
      </c>
      <c r="G168" s="937">
        <v>0.7834</v>
      </c>
      <c r="H168" s="937">
        <v>0.7834</v>
      </c>
      <c r="I168" s="937">
        <v>0.6923</v>
      </c>
      <c r="J168" s="937">
        <v>0.6923</v>
      </c>
      <c r="K168" s="937">
        <v>0.6923</v>
      </c>
      <c r="L168" s="937">
        <v>0.6923</v>
      </c>
      <c r="M168" s="937">
        <v>0.6923</v>
      </c>
    </row>
    <row r="169" spans="1:13">
      <c r="A169" s="934">
        <v>6.5</v>
      </c>
      <c r="B169" s="937">
        <v>0.88</v>
      </c>
      <c r="C169" s="937">
        <v>0.88</v>
      </c>
      <c r="D169" s="937">
        <v>0.7814</v>
      </c>
      <c r="E169" s="937">
        <v>0.7814</v>
      </c>
      <c r="F169" s="937">
        <v>0.7814</v>
      </c>
      <c r="G169" s="937">
        <v>0.7814</v>
      </c>
      <c r="H169" s="937">
        <v>0.7814</v>
      </c>
      <c r="I169" s="937">
        <v>0.6899</v>
      </c>
      <c r="J169" s="937">
        <v>0.6899</v>
      </c>
      <c r="K169" s="937">
        <v>0.6899</v>
      </c>
      <c r="L169" s="937">
        <v>0.6899</v>
      </c>
      <c r="M169" s="937">
        <v>0.6899</v>
      </c>
    </row>
    <row r="170" spans="1:13">
      <c r="A170" s="934">
        <v>6.6</v>
      </c>
      <c r="B170" s="937">
        <v>0.8781</v>
      </c>
      <c r="C170" s="937">
        <v>0.8781</v>
      </c>
      <c r="D170" s="937">
        <v>0.7795</v>
      </c>
      <c r="E170" s="937">
        <v>0.7795</v>
      </c>
      <c r="F170" s="937">
        <v>0.7795</v>
      </c>
      <c r="G170" s="937">
        <v>0.7795</v>
      </c>
      <c r="H170" s="937">
        <v>0.7795</v>
      </c>
      <c r="I170" s="937">
        <v>0.6876</v>
      </c>
      <c r="J170" s="937">
        <v>0.6876</v>
      </c>
      <c r="K170" s="937">
        <v>0.6876</v>
      </c>
      <c r="L170" s="937">
        <v>0.6876</v>
      </c>
      <c r="M170" s="937">
        <v>0.6876</v>
      </c>
    </row>
    <row r="171" spans="1:13">
      <c r="A171" s="934">
        <v>6.7</v>
      </c>
      <c r="B171" s="937">
        <v>0.8763</v>
      </c>
      <c r="C171" s="937">
        <v>0.8763</v>
      </c>
      <c r="D171" s="937">
        <v>0.7776</v>
      </c>
      <c r="E171" s="937">
        <v>0.7776</v>
      </c>
      <c r="F171" s="937">
        <v>0.7776</v>
      </c>
      <c r="G171" s="937">
        <v>0.7776</v>
      </c>
      <c r="H171" s="937">
        <v>0.7776</v>
      </c>
      <c r="I171" s="937">
        <v>0.6853</v>
      </c>
      <c r="J171" s="937">
        <v>0.6853</v>
      </c>
      <c r="K171" s="937">
        <v>0.6853</v>
      </c>
      <c r="L171" s="937">
        <v>0.6853</v>
      </c>
      <c r="M171" s="937">
        <v>0.6853</v>
      </c>
    </row>
    <row r="172" spans="1:13">
      <c r="A172" s="934">
        <v>6.8</v>
      </c>
      <c r="B172" s="937">
        <v>0.8745</v>
      </c>
      <c r="C172" s="937">
        <v>0.8745</v>
      </c>
      <c r="D172" s="937">
        <v>0.7757</v>
      </c>
      <c r="E172" s="937">
        <v>0.7757</v>
      </c>
      <c r="F172" s="937">
        <v>0.7757</v>
      </c>
      <c r="G172" s="937">
        <v>0.7757</v>
      </c>
      <c r="H172" s="937">
        <v>0.7757</v>
      </c>
      <c r="I172" s="937">
        <v>0.6831</v>
      </c>
      <c r="J172" s="937">
        <v>0.6831</v>
      </c>
      <c r="K172" s="937">
        <v>0.6831</v>
      </c>
      <c r="L172" s="937">
        <v>0.6831</v>
      </c>
      <c r="M172" s="937">
        <v>0.6831</v>
      </c>
    </row>
    <row r="173" spans="1:13">
      <c r="A173" s="934">
        <v>6.9</v>
      </c>
      <c r="B173" s="937">
        <v>0.8728</v>
      </c>
      <c r="C173" s="937">
        <v>0.8728</v>
      </c>
      <c r="D173" s="937">
        <v>0.7739</v>
      </c>
      <c r="E173" s="937">
        <v>0.7739</v>
      </c>
      <c r="F173" s="937">
        <v>0.7739</v>
      </c>
      <c r="G173" s="937">
        <v>0.7739</v>
      </c>
      <c r="H173" s="937">
        <v>0.7739</v>
      </c>
      <c r="I173" s="937">
        <v>0.6809</v>
      </c>
      <c r="J173" s="937">
        <v>0.6809</v>
      </c>
      <c r="K173" s="937">
        <v>0.6809</v>
      </c>
      <c r="L173" s="937">
        <v>0.6809</v>
      </c>
      <c r="M173" s="937">
        <v>0.6809</v>
      </c>
    </row>
    <row r="174" spans="1:13">
      <c r="A174" s="934">
        <v>7</v>
      </c>
      <c r="B174" s="937">
        <v>0.8711</v>
      </c>
      <c r="C174" s="937">
        <v>0.8711</v>
      </c>
      <c r="D174" s="937">
        <v>0.7721</v>
      </c>
      <c r="E174" s="937">
        <v>0.7721</v>
      </c>
      <c r="F174" s="937">
        <v>0.7721</v>
      </c>
      <c r="G174" s="937">
        <v>0.7721</v>
      </c>
      <c r="H174" s="937">
        <v>0.7721</v>
      </c>
      <c r="I174" s="937">
        <v>0.6788</v>
      </c>
      <c r="J174" s="937">
        <v>0.6788</v>
      </c>
      <c r="K174" s="937">
        <v>0.6788</v>
      </c>
      <c r="L174" s="937">
        <v>0.6788</v>
      </c>
      <c r="M174" s="937">
        <v>0.6788</v>
      </c>
    </row>
    <row r="175" spans="1:13">
      <c r="A175" s="934">
        <v>7.1</v>
      </c>
      <c r="B175" s="937">
        <v>0.8694</v>
      </c>
      <c r="C175" s="937">
        <v>0.8694</v>
      </c>
      <c r="D175" s="937">
        <v>0.7704</v>
      </c>
      <c r="E175" s="937">
        <v>0.7704</v>
      </c>
      <c r="F175" s="937">
        <v>0.7704</v>
      </c>
      <c r="G175" s="937">
        <v>0.7704</v>
      </c>
      <c r="H175" s="937">
        <v>0.7704</v>
      </c>
      <c r="I175" s="937">
        <v>0.6767</v>
      </c>
      <c r="J175" s="937">
        <v>0.6767</v>
      </c>
      <c r="K175" s="937">
        <v>0.6767</v>
      </c>
      <c r="L175" s="937">
        <v>0.6767</v>
      </c>
      <c r="M175" s="937">
        <v>0.6767</v>
      </c>
    </row>
    <row r="176" spans="1:13">
      <c r="A176" s="934">
        <v>7.2</v>
      </c>
      <c r="B176" s="937">
        <v>0.8677</v>
      </c>
      <c r="C176" s="937">
        <v>0.8677</v>
      </c>
      <c r="D176" s="937">
        <v>0.7687</v>
      </c>
      <c r="E176" s="937">
        <v>0.7687</v>
      </c>
      <c r="F176" s="937">
        <v>0.7687</v>
      </c>
      <c r="G176" s="937">
        <v>0.7687</v>
      </c>
      <c r="H176" s="937">
        <v>0.7687</v>
      </c>
      <c r="I176" s="937">
        <v>0.6747</v>
      </c>
      <c r="J176" s="937">
        <v>0.6747</v>
      </c>
      <c r="K176" s="937">
        <v>0.6747</v>
      </c>
      <c r="L176" s="937">
        <v>0.6747</v>
      </c>
      <c r="M176" s="937">
        <v>0.6747</v>
      </c>
    </row>
    <row r="177" spans="1:13">
      <c r="A177" s="934">
        <v>7.3</v>
      </c>
      <c r="B177" s="937">
        <v>0.8661</v>
      </c>
      <c r="C177" s="937">
        <v>0.8661</v>
      </c>
      <c r="D177" s="937">
        <v>0.767</v>
      </c>
      <c r="E177" s="937">
        <v>0.767</v>
      </c>
      <c r="F177" s="937">
        <v>0.767</v>
      </c>
      <c r="G177" s="937">
        <v>0.767</v>
      </c>
      <c r="H177" s="937">
        <v>0.767</v>
      </c>
      <c r="I177" s="937">
        <v>0.6727</v>
      </c>
      <c r="J177" s="937">
        <v>0.6727</v>
      </c>
      <c r="K177" s="937">
        <v>0.6727</v>
      </c>
      <c r="L177" s="937">
        <v>0.6727</v>
      </c>
      <c r="M177" s="937">
        <v>0.6727</v>
      </c>
    </row>
    <row r="178" spans="1:13">
      <c r="A178" s="934">
        <v>7.4</v>
      </c>
      <c r="B178" s="937">
        <v>0.8645</v>
      </c>
      <c r="C178" s="937">
        <v>0.8645</v>
      </c>
      <c r="D178" s="937">
        <v>0.7653</v>
      </c>
      <c r="E178" s="937">
        <v>0.7653</v>
      </c>
      <c r="F178" s="937">
        <v>0.7653</v>
      </c>
      <c r="G178" s="937">
        <v>0.7653</v>
      </c>
      <c r="H178" s="937">
        <v>0.7653</v>
      </c>
      <c r="I178" s="937">
        <v>0.6708</v>
      </c>
      <c r="J178" s="937">
        <v>0.6708</v>
      </c>
      <c r="K178" s="937">
        <v>0.6708</v>
      </c>
      <c r="L178" s="937">
        <v>0.6708</v>
      </c>
      <c r="M178" s="937">
        <v>0.6708</v>
      </c>
    </row>
    <row r="179" spans="1:13">
      <c r="A179" s="934">
        <v>7.5</v>
      </c>
      <c r="B179" s="937">
        <v>0.863</v>
      </c>
      <c r="C179" s="937">
        <v>0.863</v>
      </c>
      <c r="D179" s="937">
        <v>0.7636</v>
      </c>
      <c r="E179" s="937">
        <v>0.7636</v>
      </c>
      <c r="F179" s="937">
        <v>0.7636</v>
      </c>
      <c r="G179" s="937">
        <v>0.7636</v>
      </c>
      <c r="H179" s="937">
        <v>0.7636</v>
      </c>
      <c r="I179" s="937">
        <v>0.6689</v>
      </c>
      <c r="J179" s="937">
        <v>0.6689</v>
      </c>
      <c r="K179" s="937">
        <v>0.6689</v>
      </c>
      <c r="L179" s="937">
        <v>0.6689</v>
      </c>
      <c r="M179" s="937">
        <v>0.6689</v>
      </c>
    </row>
    <row r="180" spans="1:13">
      <c r="A180" s="934">
        <v>7.6</v>
      </c>
      <c r="B180" s="937">
        <v>0.8615</v>
      </c>
      <c r="C180" s="937">
        <v>0.8615</v>
      </c>
      <c r="D180" s="937">
        <v>0.762</v>
      </c>
      <c r="E180" s="937">
        <v>0.762</v>
      </c>
      <c r="F180" s="937">
        <v>0.762</v>
      </c>
      <c r="G180" s="937">
        <v>0.762</v>
      </c>
      <c r="H180" s="937">
        <v>0.762</v>
      </c>
      <c r="I180" s="937">
        <v>0.667</v>
      </c>
      <c r="J180" s="937">
        <v>0.667</v>
      </c>
      <c r="K180" s="937">
        <v>0.667</v>
      </c>
      <c r="L180" s="937">
        <v>0.667</v>
      </c>
      <c r="M180" s="937">
        <v>0.667</v>
      </c>
    </row>
    <row r="181" spans="1:13">
      <c r="A181" s="934">
        <v>7.7</v>
      </c>
      <c r="B181" s="937">
        <v>0.86</v>
      </c>
      <c r="C181" s="937">
        <v>0.86</v>
      </c>
      <c r="D181" s="937">
        <v>0.7604</v>
      </c>
      <c r="E181" s="937">
        <v>0.7604</v>
      </c>
      <c r="F181" s="937">
        <v>0.7604</v>
      </c>
      <c r="G181" s="937">
        <v>0.7604</v>
      </c>
      <c r="H181" s="937">
        <v>0.7604</v>
      </c>
      <c r="I181" s="937">
        <v>0.6651</v>
      </c>
      <c r="J181" s="937">
        <v>0.6651</v>
      </c>
      <c r="K181" s="937">
        <v>0.6651</v>
      </c>
      <c r="L181" s="937">
        <v>0.6651</v>
      </c>
      <c r="M181" s="937">
        <v>0.6651</v>
      </c>
    </row>
    <row r="182" spans="1:13">
      <c r="A182" s="934">
        <v>7.8</v>
      </c>
      <c r="B182" s="937">
        <v>0.8585</v>
      </c>
      <c r="C182" s="937">
        <v>0.8585</v>
      </c>
      <c r="D182" s="937">
        <v>0.7588</v>
      </c>
      <c r="E182" s="937">
        <v>0.7588</v>
      </c>
      <c r="F182" s="937">
        <v>0.7588</v>
      </c>
      <c r="G182" s="937">
        <v>0.7588</v>
      </c>
      <c r="H182" s="937">
        <v>0.7588</v>
      </c>
      <c r="I182" s="937">
        <v>0.6633</v>
      </c>
      <c r="J182" s="937">
        <v>0.6633</v>
      </c>
      <c r="K182" s="937">
        <v>0.6633</v>
      </c>
      <c r="L182" s="937">
        <v>0.6633</v>
      </c>
      <c r="M182" s="937">
        <v>0.6633</v>
      </c>
    </row>
    <row r="183" spans="1:13">
      <c r="A183" s="934">
        <v>7.9</v>
      </c>
      <c r="B183" s="937">
        <v>0.857</v>
      </c>
      <c r="C183" s="937">
        <v>0.857</v>
      </c>
      <c r="D183" s="937">
        <v>0.7572</v>
      </c>
      <c r="E183" s="937">
        <v>0.7572</v>
      </c>
      <c r="F183" s="937">
        <v>0.7572</v>
      </c>
      <c r="G183" s="937">
        <v>0.7572</v>
      </c>
      <c r="H183" s="937">
        <v>0.7572</v>
      </c>
      <c r="I183" s="937">
        <v>0.6615</v>
      </c>
      <c r="J183" s="937">
        <v>0.6615</v>
      </c>
      <c r="K183" s="937">
        <v>0.6615</v>
      </c>
      <c r="L183" s="937">
        <v>0.6615</v>
      </c>
      <c r="M183" s="937">
        <v>0.6615</v>
      </c>
    </row>
    <row r="184" spans="1:13">
      <c r="A184" s="934">
        <v>8</v>
      </c>
      <c r="B184" s="937">
        <v>0.8555</v>
      </c>
      <c r="C184" s="937">
        <v>0.8555</v>
      </c>
      <c r="D184" s="937">
        <v>0.7557</v>
      </c>
      <c r="E184" s="937">
        <v>0.7557</v>
      </c>
      <c r="F184" s="937">
        <v>0.7557</v>
      </c>
      <c r="G184" s="937">
        <v>0.7557</v>
      </c>
      <c r="H184" s="937">
        <v>0.7557</v>
      </c>
      <c r="I184" s="937">
        <v>0.6597</v>
      </c>
      <c r="J184" s="937">
        <v>0.6597</v>
      </c>
      <c r="K184" s="937">
        <v>0.6597</v>
      </c>
      <c r="L184" s="937">
        <v>0.6597</v>
      </c>
      <c r="M184" s="937">
        <v>0.6597</v>
      </c>
    </row>
    <row r="185" spans="1:13">
      <c r="A185" s="934">
        <v>8.1</v>
      </c>
      <c r="B185" s="937">
        <v>0.854</v>
      </c>
      <c r="C185" s="937">
        <v>0.854</v>
      </c>
      <c r="D185" s="937">
        <v>0.7542</v>
      </c>
      <c r="E185" s="937">
        <v>0.7542</v>
      </c>
      <c r="F185" s="937">
        <v>0.7542</v>
      </c>
      <c r="G185" s="937">
        <v>0.7542</v>
      </c>
      <c r="H185" s="937">
        <v>0.7542</v>
      </c>
      <c r="I185" s="937">
        <v>0.658</v>
      </c>
      <c r="J185" s="937">
        <v>0.658</v>
      </c>
      <c r="K185" s="937">
        <v>0.658</v>
      </c>
      <c r="L185" s="937">
        <v>0.658</v>
      </c>
      <c r="M185" s="937">
        <v>0.658</v>
      </c>
    </row>
    <row r="186" spans="1:13">
      <c r="A186" s="934">
        <v>8.2</v>
      </c>
      <c r="B186" s="937">
        <v>0.8525</v>
      </c>
      <c r="C186" s="937">
        <v>0.8525</v>
      </c>
      <c r="D186" s="937">
        <v>0.7527</v>
      </c>
      <c r="E186" s="937">
        <v>0.7527</v>
      </c>
      <c r="F186" s="937">
        <v>0.7527</v>
      </c>
      <c r="G186" s="937">
        <v>0.7527</v>
      </c>
      <c r="H186" s="937">
        <v>0.7527</v>
      </c>
      <c r="I186" s="937">
        <v>0.6563</v>
      </c>
      <c r="J186" s="937">
        <v>0.6563</v>
      </c>
      <c r="K186" s="937">
        <v>0.6563</v>
      </c>
      <c r="L186" s="937">
        <v>0.6563</v>
      </c>
      <c r="M186" s="937">
        <v>0.6563</v>
      </c>
    </row>
    <row r="187" spans="1:13">
      <c r="A187" s="934">
        <v>8.3</v>
      </c>
      <c r="B187" s="937">
        <v>0.8511</v>
      </c>
      <c r="C187" s="937">
        <v>0.8511</v>
      </c>
      <c r="D187" s="937">
        <v>0.7512</v>
      </c>
      <c r="E187" s="937">
        <v>0.7512</v>
      </c>
      <c r="F187" s="937">
        <v>0.7512</v>
      </c>
      <c r="G187" s="937">
        <v>0.7512</v>
      </c>
      <c r="H187" s="937">
        <v>0.7512</v>
      </c>
      <c r="I187" s="937">
        <v>0.6546</v>
      </c>
      <c r="J187" s="937">
        <v>0.6546</v>
      </c>
      <c r="K187" s="937">
        <v>0.6546</v>
      </c>
      <c r="L187" s="937">
        <v>0.6546</v>
      </c>
      <c r="M187" s="937">
        <v>0.6546</v>
      </c>
    </row>
    <row r="188" spans="1:13">
      <c r="A188" s="934">
        <v>8.4</v>
      </c>
      <c r="B188" s="937">
        <v>0.8497</v>
      </c>
      <c r="C188" s="937">
        <v>0.8497</v>
      </c>
      <c r="D188" s="937">
        <v>0.7497</v>
      </c>
      <c r="E188" s="937">
        <v>0.7497</v>
      </c>
      <c r="F188" s="937">
        <v>0.7497</v>
      </c>
      <c r="G188" s="937">
        <v>0.7497</v>
      </c>
      <c r="H188" s="937">
        <v>0.7497</v>
      </c>
      <c r="I188" s="937">
        <v>0.653</v>
      </c>
      <c r="J188" s="937">
        <v>0.653</v>
      </c>
      <c r="K188" s="937">
        <v>0.653</v>
      </c>
      <c r="L188" s="937">
        <v>0.653</v>
      </c>
      <c r="M188" s="937">
        <v>0.653</v>
      </c>
    </row>
    <row r="189" spans="1:13">
      <c r="A189" s="934">
        <v>8.5</v>
      </c>
      <c r="B189" s="937">
        <v>0.8483</v>
      </c>
      <c r="C189" s="937">
        <v>0.8483</v>
      </c>
      <c r="D189" s="937">
        <v>0.7482</v>
      </c>
      <c r="E189" s="937">
        <v>0.7482</v>
      </c>
      <c r="F189" s="937">
        <v>0.7482</v>
      </c>
      <c r="G189" s="937">
        <v>0.7482</v>
      </c>
      <c r="H189" s="937">
        <v>0.7482</v>
      </c>
      <c r="I189" s="937">
        <v>0.6514</v>
      </c>
      <c r="J189" s="937">
        <v>0.6514</v>
      </c>
      <c r="K189" s="937">
        <v>0.6514</v>
      </c>
      <c r="L189" s="937">
        <v>0.6514</v>
      </c>
      <c r="M189" s="937">
        <v>0.6514</v>
      </c>
    </row>
    <row r="190" spans="1:13">
      <c r="A190" s="934">
        <v>8.6</v>
      </c>
      <c r="B190" s="937">
        <v>0.8469</v>
      </c>
      <c r="C190" s="937">
        <v>0.8469</v>
      </c>
      <c r="D190" s="937">
        <v>0.7467</v>
      </c>
      <c r="E190" s="937">
        <v>0.7467</v>
      </c>
      <c r="F190" s="937">
        <v>0.7467</v>
      </c>
      <c r="G190" s="937">
        <v>0.7467</v>
      </c>
      <c r="H190" s="937">
        <v>0.7467</v>
      </c>
      <c r="I190" s="937">
        <v>0.6498</v>
      </c>
      <c r="J190" s="937">
        <v>0.6498</v>
      </c>
      <c r="K190" s="937">
        <v>0.6498</v>
      </c>
      <c r="L190" s="937">
        <v>0.6498</v>
      </c>
      <c r="M190" s="937">
        <v>0.6498</v>
      </c>
    </row>
    <row r="191" spans="1:13">
      <c r="A191" s="934">
        <v>8.7</v>
      </c>
      <c r="B191" s="937">
        <v>0.8455</v>
      </c>
      <c r="C191" s="937">
        <v>0.8455</v>
      </c>
      <c r="D191" s="937">
        <v>0.7452</v>
      </c>
      <c r="E191" s="937">
        <v>0.7452</v>
      </c>
      <c r="F191" s="937">
        <v>0.7452</v>
      </c>
      <c r="G191" s="937">
        <v>0.7452</v>
      </c>
      <c r="H191" s="937">
        <v>0.7452</v>
      </c>
      <c r="I191" s="937">
        <v>0.6482</v>
      </c>
      <c r="J191" s="937">
        <v>0.6482</v>
      </c>
      <c r="K191" s="937">
        <v>0.6482</v>
      </c>
      <c r="L191" s="937">
        <v>0.6482</v>
      </c>
      <c r="M191" s="937">
        <v>0.6482</v>
      </c>
    </row>
    <row r="192" spans="1:13">
      <c r="A192" s="934">
        <v>8.8</v>
      </c>
      <c r="B192" s="937">
        <v>0.8441</v>
      </c>
      <c r="C192" s="937">
        <v>0.8441</v>
      </c>
      <c r="D192" s="937">
        <v>0.7437</v>
      </c>
      <c r="E192" s="937">
        <v>0.7437</v>
      </c>
      <c r="F192" s="937">
        <v>0.7437</v>
      </c>
      <c r="G192" s="937">
        <v>0.7437</v>
      </c>
      <c r="H192" s="937">
        <v>0.7437</v>
      </c>
      <c r="I192" s="937">
        <v>0.6466</v>
      </c>
      <c r="J192" s="937">
        <v>0.6466</v>
      </c>
      <c r="K192" s="937">
        <v>0.6466</v>
      </c>
      <c r="L192" s="937">
        <v>0.6466</v>
      </c>
      <c r="M192" s="937">
        <v>0.6466</v>
      </c>
    </row>
    <row r="193" spans="1:13">
      <c r="A193" s="934">
        <v>8.9</v>
      </c>
      <c r="B193" s="937">
        <v>0.8428</v>
      </c>
      <c r="C193" s="937">
        <v>0.8428</v>
      </c>
      <c r="D193" s="937">
        <v>0.7422</v>
      </c>
      <c r="E193" s="937">
        <v>0.7422</v>
      </c>
      <c r="F193" s="937">
        <v>0.7422</v>
      </c>
      <c r="G193" s="937">
        <v>0.7422</v>
      </c>
      <c r="H193" s="937">
        <v>0.7422</v>
      </c>
      <c r="I193" s="937">
        <v>0.645</v>
      </c>
      <c r="J193" s="937">
        <v>0.645</v>
      </c>
      <c r="K193" s="937">
        <v>0.645</v>
      </c>
      <c r="L193" s="937">
        <v>0.645</v>
      </c>
      <c r="M193" s="937">
        <v>0.645</v>
      </c>
    </row>
    <row r="194" spans="1:13">
      <c r="A194" s="938">
        <v>9</v>
      </c>
      <c r="B194" s="937">
        <v>0.8415</v>
      </c>
      <c r="C194" s="937">
        <v>0.8415</v>
      </c>
      <c r="D194" s="937">
        <v>0.7407</v>
      </c>
      <c r="E194" s="937">
        <v>0.7407</v>
      </c>
      <c r="F194" s="937">
        <v>0.7407</v>
      </c>
      <c r="G194" s="937">
        <v>0.7407</v>
      </c>
      <c r="H194" s="937">
        <v>0.7407</v>
      </c>
      <c r="I194" s="937">
        <v>0.6435</v>
      </c>
      <c r="J194" s="937">
        <v>0.6435</v>
      </c>
      <c r="K194" s="937">
        <v>0.6435</v>
      </c>
      <c r="L194" s="937">
        <v>0.6435</v>
      </c>
      <c r="M194" s="937">
        <v>0.6435</v>
      </c>
    </row>
    <row r="195" spans="1:13">
      <c r="A195" s="938">
        <v>9.1</v>
      </c>
      <c r="B195" s="937">
        <v>0.8402</v>
      </c>
      <c r="C195" s="937">
        <v>0.8402</v>
      </c>
      <c r="D195" s="937">
        <v>0.7392</v>
      </c>
      <c r="E195" s="937">
        <v>0.7392</v>
      </c>
      <c r="F195" s="937">
        <v>0.7392</v>
      </c>
      <c r="G195" s="937">
        <v>0.7392</v>
      </c>
      <c r="H195" s="937">
        <v>0.7392</v>
      </c>
      <c r="I195" s="937">
        <v>0.642</v>
      </c>
      <c r="J195" s="937">
        <v>0.642</v>
      </c>
      <c r="K195" s="937">
        <v>0.642</v>
      </c>
      <c r="L195" s="937">
        <v>0.642</v>
      </c>
      <c r="M195" s="937">
        <v>0.642</v>
      </c>
    </row>
    <row r="196" spans="1:13">
      <c r="A196" s="938">
        <v>9.2</v>
      </c>
      <c r="B196" s="937">
        <v>0.8389</v>
      </c>
      <c r="C196" s="937">
        <v>0.8389</v>
      </c>
      <c r="D196" s="937">
        <v>0.7377</v>
      </c>
      <c r="E196" s="937">
        <v>0.7377</v>
      </c>
      <c r="F196" s="937">
        <v>0.7377</v>
      </c>
      <c r="G196" s="937">
        <v>0.7377</v>
      </c>
      <c r="H196" s="937">
        <v>0.7377</v>
      </c>
      <c r="I196" s="937">
        <v>0.6406</v>
      </c>
      <c r="J196" s="937">
        <v>0.6406</v>
      </c>
      <c r="K196" s="937">
        <v>0.6406</v>
      </c>
      <c r="L196" s="937">
        <v>0.6406</v>
      </c>
      <c r="M196" s="937">
        <v>0.6406</v>
      </c>
    </row>
    <row r="197" spans="1:13">
      <c r="A197" s="938">
        <v>9.3</v>
      </c>
      <c r="B197" s="937">
        <v>0.8376</v>
      </c>
      <c r="C197" s="937">
        <v>0.8376</v>
      </c>
      <c r="D197" s="937">
        <v>0.7363</v>
      </c>
      <c r="E197" s="937">
        <v>0.7363</v>
      </c>
      <c r="F197" s="937">
        <v>0.7363</v>
      </c>
      <c r="G197" s="937">
        <v>0.7363</v>
      </c>
      <c r="H197" s="937">
        <v>0.7363</v>
      </c>
      <c r="I197" s="937">
        <v>0.6392</v>
      </c>
      <c r="J197" s="937">
        <v>0.6392</v>
      </c>
      <c r="K197" s="937">
        <v>0.6392</v>
      </c>
      <c r="L197" s="937">
        <v>0.6392</v>
      </c>
      <c r="M197" s="937">
        <v>0.6392</v>
      </c>
    </row>
    <row r="198" spans="1:13">
      <c r="A198" s="938">
        <v>9.4</v>
      </c>
      <c r="B198" s="937">
        <v>0.8363</v>
      </c>
      <c r="C198" s="937">
        <v>0.8363</v>
      </c>
      <c r="D198" s="937">
        <v>0.7349</v>
      </c>
      <c r="E198" s="937">
        <v>0.7349</v>
      </c>
      <c r="F198" s="937">
        <v>0.7349</v>
      </c>
      <c r="G198" s="937">
        <v>0.7349</v>
      </c>
      <c r="H198" s="937">
        <v>0.7349</v>
      </c>
      <c r="I198" s="937">
        <v>0.6378</v>
      </c>
      <c r="J198" s="937">
        <v>0.6378</v>
      </c>
      <c r="K198" s="937">
        <v>0.6378</v>
      </c>
      <c r="L198" s="937">
        <v>0.6378</v>
      </c>
      <c r="M198" s="937">
        <v>0.6378</v>
      </c>
    </row>
    <row r="199" spans="1:13">
      <c r="A199" s="938">
        <v>9.5</v>
      </c>
      <c r="B199" s="937">
        <v>0.835</v>
      </c>
      <c r="C199" s="937">
        <v>0.835</v>
      </c>
      <c r="D199" s="937">
        <v>0.7335</v>
      </c>
      <c r="E199" s="937">
        <v>0.7335</v>
      </c>
      <c r="F199" s="937">
        <v>0.7335</v>
      </c>
      <c r="G199" s="937">
        <v>0.7335</v>
      </c>
      <c r="H199" s="937">
        <v>0.7335</v>
      </c>
      <c r="I199" s="937">
        <v>0.6364</v>
      </c>
      <c r="J199" s="937">
        <v>0.6364</v>
      </c>
      <c r="K199" s="937">
        <v>0.6364</v>
      </c>
      <c r="L199" s="937">
        <v>0.6364</v>
      </c>
      <c r="M199" s="937">
        <v>0.6364</v>
      </c>
    </row>
    <row r="200" spans="1:13">
      <c r="A200" s="938">
        <v>9.6</v>
      </c>
      <c r="B200" s="937">
        <v>0.8338</v>
      </c>
      <c r="C200" s="937">
        <v>0.8338</v>
      </c>
      <c r="D200" s="937">
        <v>0.7321</v>
      </c>
      <c r="E200" s="937">
        <v>0.7321</v>
      </c>
      <c r="F200" s="937">
        <v>0.7321</v>
      </c>
      <c r="G200" s="937">
        <v>0.7321</v>
      </c>
      <c r="H200" s="937">
        <v>0.7321</v>
      </c>
      <c r="I200" s="937">
        <v>0.635</v>
      </c>
      <c r="J200" s="937">
        <v>0.635</v>
      </c>
      <c r="K200" s="937">
        <v>0.635</v>
      </c>
      <c r="L200" s="937">
        <v>0.635</v>
      </c>
      <c r="M200" s="937">
        <v>0.635</v>
      </c>
    </row>
    <row r="201" spans="1:13">
      <c r="A201" s="938">
        <v>9.7</v>
      </c>
      <c r="B201" s="937">
        <v>0.8326</v>
      </c>
      <c r="C201" s="937">
        <v>0.8326</v>
      </c>
      <c r="D201" s="937">
        <v>0.7307</v>
      </c>
      <c r="E201" s="937">
        <v>0.7307</v>
      </c>
      <c r="F201" s="937">
        <v>0.7307</v>
      </c>
      <c r="G201" s="937">
        <v>0.7307</v>
      </c>
      <c r="H201" s="937">
        <v>0.7307</v>
      </c>
      <c r="I201" s="937">
        <v>0.6336</v>
      </c>
      <c r="J201" s="937">
        <v>0.6336</v>
      </c>
      <c r="K201" s="937">
        <v>0.6336</v>
      </c>
      <c r="L201" s="937">
        <v>0.6336</v>
      </c>
      <c r="M201" s="937">
        <v>0.6336</v>
      </c>
    </row>
    <row r="202" spans="1:13">
      <c r="A202" s="938">
        <v>9.8</v>
      </c>
      <c r="B202" s="937">
        <v>0.8314</v>
      </c>
      <c r="C202" s="937">
        <v>0.8314</v>
      </c>
      <c r="D202" s="937">
        <v>0.7293</v>
      </c>
      <c r="E202" s="937">
        <v>0.7293</v>
      </c>
      <c r="F202" s="937">
        <v>0.7293</v>
      </c>
      <c r="G202" s="937">
        <v>0.7293</v>
      </c>
      <c r="H202" s="937">
        <v>0.7293</v>
      </c>
      <c r="I202" s="937">
        <v>0.6322</v>
      </c>
      <c r="J202" s="937">
        <v>0.6322</v>
      </c>
      <c r="K202" s="937">
        <v>0.6322</v>
      </c>
      <c r="L202" s="937">
        <v>0.6322</v>
      </c>
      <c r="M202" s="937">
        <v>0.6322</v>
      </c>
    </row>
    <row r="203" spans="1:13">
      <c r="A203" s="938">
        <v>9.9</v>
      </c>
      <c r="B203" s="937">
        <v>0.8302</v>
      </c>
      <c r="C203" s="937">
        <v>0.8302</v>
      </c>
      <c r="D203" s="937">
        <v>0.728</v>
      </c>
      <c r="E203" s="937">
        <v>0.728</v>
      </c>
      <c r="F203" s="937">
        <v>0.728</v>
      </c>
      <c r="G203" s="937">
        <v>0.728</v>
      </c>
      <c r="H203" s="937">
        <v>0.728</v>
      </c>
      <c r="I203" s="937">
        <v>0.6308</v>
      </c>
      <c r="J203" s="937">
        <v>0.6308</v>
      </c>
      <c r="K203" s="937">
        <v>0.6308</v>
      </c>
      <c r="L203" s="937">
        <v>0.6308</v>
      </c>
      <c r="M203" s="937">
        <v>0.6308</v>
      </c>
    </row>
    <row r="204" spans="1:13">
      <c r="A204" s="938">
        <v>10</v>
      </c>
      <c r="B204" s="937">
        <v>0.829</v>
      </c>
      <c r="C204" s="937">
        <v>0.829</v>
      </c>
      <c r="D204" s="937">
        <v>0.7267</v>
      </c>
      <c r="E204" s="937">
        <v>0.7267</v>
      </c>
      <c r="F204" s="937">
        <v>0.7267</v>
      </c>
      <c r="G204" s="937">
        <v>0.7267</v>
      </c>
      <c r="H204" s="937">
        <v>0.7267</v>
      </c>
      <c r="I204" s="937">
        <v>0.6294</v>
      </c>
      <c r="J204" s="937">
        <v>0.6294</v>
      </c>
      <c r="K204" s="937">
        <v>0.6294</v>
      </c>
      <c r="L204" s="937">
        <v>0.6294</v>
      </c>
      <c r="M204" s="937">
        <v>0.6294</v>
      </c>
    </row>
    <row r="205" ht="15.6" spans="1:13">
      <c r="A205" s="932" t="s">
        <v>2041</v>
      </c>
      <c r="B205" s="933"/>
      <c r="C205" s="933"/>
      <c r="D205" s="933"/>
      <c r="E205" s="933"/>
      <c r="F205" s="933"/>
      <c r="G205" s="933"/>
      <c r="H205" s="933"/>
      <c r="I205" s="933"/>
      <c r="J205" s="933"/>
      <c r="K205" s="933"/>
      <c r="L205" s="933"/>
      <c r="M205" s="933"/>
    </row>
    <row r="206" spans="1:13">
      <c r="A206" s="934" t="s">
        <v>2039</v>
      </c>
      <c r="B206" s="935" t="s">
        <v>230</v>
      </c>
      <c r="C206" s="935" t="s">
        <v>241</v>
      </c>
      <c r="D206" s="935" t="s">
        <v>251</v>
      </c>
      <c r="E206" s="935" t="s">
        <v>259</v>
      </c>
      <c r="F206" s="935" t="s">
        <v>267</v>
      </c>
      <c r="G206" s="935" t="s">
        <v>273</v>
      </c>
      <c r="H206" s="936" t="s">
        <v>278</v>
      </c>
      <c r="I206" s="936" t="s">
        <v>283</v>
      </c>
      <c r="J206" s="939" t="s">
        <v>286</v>
      </c>
      <c r="K206" s="939" t="s">
        <v>289</v>
      </c>
      <c r="L206" s="939" t="s">
        <v>292</v>
      </c>
      <c r="M206" s="939" t="s">
        <v>295</v>
      </c>
    </row>
    <row r="207" spans="1:13">
      <c r="A207" s="934">
        <v>0.1</v>
      </c>
      <c r="B207" s="937">
        <v>12.172</v>
      </c>
      <c r="C207" s="937">
        <v>12.172</v>
      </c>
      <c r="D207" s="937">
        <v>12.376</v>
      </c>
      <c r="E207" s="937">
        <v>12.376</v>
      </c>
      <c r="F207" s="937">
        <v>12.376</v>
      </c>
      <c r="G207" s="937">
        <v>12.376</v>
      </c>
      <c r="H207" s="937">
        <v>12.376</v>
      </c>
      <c r="I207" s="937">
        <v>11.072</v>
      </c>
      <c r="J207" s="937">
        <v>11.072</v>
      </c>
      <c r="K207" s="937">
        <v>11.072</v>
      </c>
      <c r="L207" s="937">
        <v>11.072</v>
      </c>
      <c r="M207" s="937">
        <v>11.072</v>
      </c>
    </row>
    <row r="208" spans="1:13">
      <c r="A208" s="934">
        <v>0.2</v>
      </c>
      <c r="B208" s="937">
        <v>6.086</v>
      </c>
      <c r="C208" s="937">
        <v>6.086</v>
      </c>
      <c r="D208" s="937">
        <v>6.188</v>
      </c>
      <c r="E208" s="937">
        <v>6.188</v>
      </c>
      <c r="F208" s="937">
        <v>6.188</v>
      </c>
      <c r="G208" s="937">
        <v>6.188</v>
      </c>
      <c r="H208" s="937">
        <v>6.188</v>
      </c>
      <c r="I208" s="937">
        <v>5.536</v>
      </c>
      <c r="J208" s="937">
        <v>5.536</v>
      </c>
      <c r="K208" s="937">
        <v>5.536</v>
      </c>
      <c r="L208" s="937">
        <v>5.536</v>
      </c>
      <c r="M208" s="937">
        <v>5.536</v>
      </c>
    </row>
    <row r="209" spans="1:13">
      <c r="A209" s="934">
        <v>0.3</v>
      </c>
      <c r="B209" s="937">
        <v>4.0573</v>
      </c>
      <c r="C209" s="937">
        <v>4.0573</v>
      </c>
      <c r="D209" s="937">
        <v>4.1253</v>
      </c>
      <c r="E209" s="937">
        <v>4.1253</v>
      </c>
      <c r="F209" s="937">
        <v>4.1253</v>
      </c>
      <c r="G209" s="937">
        <v>4.1253</v>
      </c>
      <c r="H209" s="937">
        <v>4.1253</v>
      </c>
      <c r="I209" s="937">
        <v>3.6907</v>
      </c>
      <c r="J209" s="937">
        <v>3.6907</v>
      </c>
      <c r="K209" s="937">
        <v>3.6907</v>
      </c>
      <c r="L209" s="937">
        <v>3.6907</v>
      </c>
      <c r="M209" s="937">
        <v>3.6907</v>
      </c>
    </row>
    <row r="210" spans="1:13">
      <c r="A210" s="934">
        <v>0.4</v>
      </c>
      <c r="B210" s="937">
        <v>3.043</v>
      </c>
      <c r="C210" s="937">
        <v>3.043</v>
      </c>
      <c r="D210" s="937">
        <v>3.094</v>
      </c>
      <c r="E210" s="937">
        <v>3.094</v>
      </c>
      <c r="F210" s="937">
        <v>3.094</v>
      </c>
      <c r="G210" s="937">
        <v>3.094</v>
      </c>
      <c r="H210" s="937">
        <v>3.094</v>
      </c>
      <c r="I210" s="937">
        <v>2.768</v>
      </c>
      <c r="J210" s="937">
        <v>2.768</v>
      </c>
      <c r="K210" s="937">
        <v>2.768</v>
      </c>
      <c r="L210" s="937">
        <v>2.768</v>
      </c>
      <c r="M210" s="937">
        <v>2.768</v>
      </c>
    </row>
    <row r="211" spans="1:13">
      <c r="A211" s="934">
        <v>0.5</v>
      </c>
      <c r="B211" s="937">
        <v>2.4344</v>
      </c>
      <c r="C211" s="937">
        <v>2.4344</v>
      </c>
      <c r="D211" s="937">
        <v>2.4752</v>
      </c>
      <c r="E211" s="937">
        <v>2.4752</v>
      </c>
      <c r="F211" s="937">
        <v>2.4752</v>
      </c>
      <c r="G211" s="937">
        <v>2.4752</v>
      </c>
      <c r="H211" s="937">
        <v>2.4752</v>
      </c>
      <c r="I211" s="937">
        <v>2.2144</v>
      </c>
      <c r="J211" s="937">
        <v>2.2144</v>
      </c>
      <c r="K211" s="937">
        <v>2.2144</v>
      </c>
      <c r="L211" s="937">
        <v>2.2144</v>
      </c>
      <c r="M211" s="937">
        <v>2.2144</v>
      </c>
    </row>
    <row r="212" spans="1:13">
      <c r="A212" s="934">
        <v>0.6</v>
      </c>
      <c r="B212" s="937">
        <v>2.0287</v>
      </c>
      <c r="C212" s="937">
        <v>2.0287</v>
      </c>
      <c r="D212" s="937">
        <v>2.0627</v>
      </c>
      <c r="E212" s="937">
        <v>2.0627</v>
      </c>
      <c r="F212" s="937">
        <v>2.0627</v>
      </c>
      <c r="G212" s="937">
        <v>2.0627</v>
      </c>
      <c r="H212" s="937">
        <v>2.0627</v>
      </c>
      <c r="I212" s="937">
        <v>1.8453</v>
      </c>
      <c r="J212" s="937">
        <v>1.8453</v>
      </c>
      <c r="K212" s="937">
        <v>1.8453</v>
      </c>
      <c r="L212" s="937">
        <v>1.8453</v>
      </c>
      <c r="M212" s="937">
        <v>1.8453</v>
      </c>
    </row>
    <row r="213" spans="1:13">
      <c r="A213" s="934">
        <v>0.7</v>
      </c>
      <c r="B213" s="937">
        <v>1.7389</v>
      </c>
      <c r="C213" s="937">
        <v>1.7389</v>
      </c>
      <c r="D213" s="937">
        <v>1.768</v>
      </c>
      <c r="E213" s="937">
        <v>1.768</v>
      </c>
      <c r="F213" s="937">
        <v>1.768</v>
      </c>
      <c r="G213" s="937">
        <v>1.768</v>
      </c>
      <c r="H213" s="937">
        <v>1.768</v>
      </c>
      <c r="I213" s="937">
        <v>1.5817</v>
      </c>
      <c r="J213" s="937">
        <v>1.5817</v>
      </c>
      <c r="K213" s="937">
        <v>1.5817</v>
      </c>
      <c r="L213" s="937">
        <v>1.5817</v>
      </c>
      <c r="M213" s="937">
        <v>1.5817</v>
      </c>
    </row>
    <row r="214" spans="1:13">
      <c r="A214" s="934">
        <v>0.8</v>
      </c>
      <c r="B214" s="937">
        <v>1.5215</v>
      </c>
      <c r="C214" s="937">
        <v>1.5215</v>
      </c>
      <c r="D214" s="937">
        <v>1.547</v>
      </c>
      <c r="E214" s="937">
        <v>1.547</v>
      </c>
      <c r="F214" s="937">
        <v>1.547</v>
      </c>
      <c r="G214" s="937">
        <v>1.547</v>
      </c>
      <c r="H214" s="937">
        <v>1.547</v>
      </c>
      <c r="I214" s="937">
        <v>1.384</v>
      </c>
      <c r="J214" s="937">
        <v>1.384</v>
      </c>
      <c r="K214" s="937">
        <v>1.384</v>
      </c>
      <c r="L214" s="937">
        <v>1.384</v>
      </c>
      <c r="M214" s="937">
        <v>1.384</v>
      </c>
    </row>
    <row r="215" spans="1:13">
      <c r="A215" s="934">
        <v>0.9</v>
      </c>
      <c r="B215" s="937">
        <v>1.3524</v>
      </c>
      <c r="C215" s="937">
        <v>1.3524</v>
      </c>
      <c r="D215" s="937">
        <v>1.3751</v>
      </c>
      <c r="E215" s="937">
        <v>1.3751</v>
      </c>
      <c r="F215" s="937">
        <v>1.3751</v>
      </c>
      <c r="G215" s="937">
        <v>1.3751</v>
      </c>
      <c r="H215" s="937">
        <v>1.3751</v>
      </c>
      <c r="I215" s="937">
        <v>1.2302</v>
      </c>
      <c r="J215" s="937">
        <v>1.2302</v>
      </c>
      <c r="K215" s="937">
        <v>1.2302</v>
      </c>
      <c r="L215" s="937">
        <v>1.2302</v>
      </c>
      <c r="M215" s="937">
        <v>1.2302</v>
      </c>
    </row>
    <row r="216" spans="1:13">
      <c r="A216" s="934">
        <v>1</v>
      </c>
      <c r="B216" s="937">
        <v>1.2172</v>
      </c>
      <c r="C216" s="937">
        <v>1.2172</v>
      </c>
      <c r="D216" s="937">
        <v>1.2376</v>
      </c>
      <c r="E216" s="937">
        <v>1.2376</v>
      </c>
      <c r="F216" s="937">
        <v>1.2376</v>
      </c>
      <c r="G216" s="937">
        <v>1.2376</v>
      </c>
      <c r="H216" s="937">
        <v>1.2376</v>
      </c>
      <c r="I216" s="937">
        <v>1.1072</v>
      </c>
      <c r="J216" s="937">
        <v>1.1072</v>
      </c>
      <c r="K216" s="937">
        <v>1.1072</v>
      </c>
      <c r="L216" s="937">
        <v>1.1072</v>
      </c>
      <c r="M216" s="937">
        <v>1.1072</v>
      </c>
    </row>
    <row r="217" spans="1:13">
      <c r="A217" s="934">
        <v>1.1</v>
      </c>
      <c r="B217" s="937">
        <v>1.198</v>
      </c>
      <c r="C217" s="937">
        <v>1.198</v>
      </c>
      <c r="D217" s="937">
        <v>1.2156</v>
      </c>
      <c r="E217" s="937">
        <v>1.2156</v>
      </c>
      <c r="F217" s="937">
        <v>1.2156</v>
      </c>
      <c r="G217" s="937">
        <v>1.2156</v>
      </c>
      <c r="H217" s="937">
        <v>1.2156</v>
      </c>
      <c r="I217" s="937">
        <v>1.0829</v>
      </c>
      <c r="J217" s="937">
        <v>1.0829</v>
      </c>
      <c r="K217" s="937">
        <v>1.0829</v>
      </c>
      <c r="L217" s="937">
        <v>1.0829</v>
      </c>
      <c r="M217" s="937">
        <v>1.0829</v>
      </c>
    </row>
    <row r="218" spans="1:13">
      <c r="A218" s="934">
        <v>1.2</v>
      </c>
      <c r="B218" s="937">
        <v>1.1795</v>
      </c>
      <c r="C218" s="937">
        <v>1.1795</v>
      </c>
      <c r="D218" s="937">
        <v>1.1947</v>
      </c>
      <c r="E218" s="937">
        <v>1.1947</v>
      </c>
      <c r="F218" s="937">
        <v>1.1947</v>
      </c>
      <c r="G218" s="937">
        <v>1.1947</v>
      </c>
      <c r="H218" s="937">
        <v>1.1947</v>
      </c>
      <c r="I218" s="937">
        <v>1.0601</v>
      </c>
      <c r="J218" s="937">
        <v>1.0601</v>
      </c>
      <c r="K218" s="937">
        <v>1.0601</v>
      </c>
      <c r="L218" s="937">
        <v>1.0601</v>
      </c>
      <c r="M218" s="937">
        <v>1.0601</v>
      </c>
    </row>
    <row r="219" spans="1:13">
      <c r="A219" s="934">
        <v>1.3</v>
      </c>
      <c r="B219" s="937">
        <v>1.1618</v>
      </c>
      <c r="C219" s="937">
        <v>1.1618</v>
      </c>
      <c r="D219" s="937">
        <v>1.1748</v>
      </c>
      <c r="E219" s="937">
        <v>1.1748</v>
      </c>
      <c r="F219" s="937">
        <v>1.1748</v>
      </c>
      <c r="G219" s="937">
        <v>1.1748</v>
      </c>
      <c r="H219" s="937">
        <v>1.1748</v>
      </c>
      <c r="I219" s="937">
        <v>1.0388</v>
      </c>
      <c r="J219" s="937">
        <v>1.0388</v>
      </c>
      <c r="K219" s="937">
        <v>1.0388</v>
      </c>
      <c r="L219" s="937">
        <v>1.0388</v>
      </c>
      <c r="M219" s="937">
        <v>1.0388</v>
      </c>
    </row>
    <row r="220" spans="1:13">
      <c r="A220" s="934">
        <v>1.4</v>
      </c>
      <c r="B220" s="937">
        <v>1.1448</v>
      </c>
      <c r="C220" s="937">
        <v>1.1448</v>
      </c>
      <c r="D220" s="937">
        <v>1.1558</v>
      </c>
      <c r="E220" s="937">
        <v>1.1558</v>
      </c>
      <c r="F220" s="937">
        <v>1.1558</v>
      </c>
      <c r="G220" s="937">
        <v>1.1558</v>
      </c>
      <c r="H220" s="937">
        <v>1.1558</v>
      </c>
      <c r="I220" s="937">
        <v>1.0188</v>
      </c>
      <c r="J220" s="937">
        <v>1.0188</v>
      </c>
      <c r="K220" s="937">
        <v>1.0188</v>
      </c>
      <c r="L220" s="937">
        <v>1.0188</v>
      </c>
      <c r="M220" s="937">
        <v>1.0188</v>
      </c>
    </row>
    <row r="221" spans="1:13">
      <c r="A221" s="934">
        <v>1.5</v>
      </c>
      <c r="B221" s="937">
        <v>1.1285</v>
      </c>
      <c r="C221" s="937">
        <v>1.1285</v>
      </c>
      <c r="D221" s="937">
        <v>1.1378</v>
      </c>
      <c r="E221" s="937">
        <v>1.1378</v>
      </c>
      <c r="F221" s="937">
        <v>1.1378</v>
      </c>
      <c r="G221" s="937">
        <v>1.1378</v>
      </c>
      <c r="H221" s="937">
        <v>1.1378</v>
      </c>
      <c r="I221" s="937">
        <v>1</v>
      </c>
      <c r="J221" s="937">
        <v>1</v>
      </c>
      <c r="K221" s="937">
        <v>1</v>
      </c>
      <c r="L221" s="937">
        <v>1</v>
      </c>
      <c r="M221" s="937">
        <v>1</v>
      </c>
    </row>
    <row r="222" spans="1:13">
      <c r="A222" s="934">
        <v>1.6</v>
      </c>
      <c r="B222" s="937">
        <v>1.1129</v>
      </c>
      <c r="C222" s="937">
        <v>1.1129</v>
      </c>
      <c r="D222" s="937">
        <v>1.1206</v>
      </c>
      <c r="E222" s="937">
        <v>1.1206</v>
      </c>
      <c r="F222" s="937">
        <v>1.1206</v>
      </c>
      <c r="G222" s="937">
        <v>1.1206</v>
      </c>
      <c r="H222" s="937">
        <v>1.1206</v>
      </c>
      <c r="I222" s="937">
        <v>0.9824</v>
      </c>
      <c r="J222" s="937">
        <v>0.9824</v>
      </c>
      <c r="K222" s="937">
        <v>0.9824</v>
      </c>
      <c r="L222" s="937">
        <v>0.9824</v>
      </c>
      <c r="M222" s="937">
        <v>0.9824</v>
      </c>
    </row>
    <row r="223" spans="1:13">
      <c r="A223" s="934">
        <v>1.7</v>
      </c>
      <c r="B223" s="937">
        <v>1.098</v>
      </c>
      <c r="C223" s="937">
        <v>1.098</v>
      </c>
      <c r="D223" s="937">
        <v>1.1043</v>
      </c>
      <c r="E223" s="937">
        <v>1.1043</v>
      </c>
      <c r="F223" s="937">
        <v>1.1043</v>
      </c>
      <c r="G223" s="937">
        <v>1.1043</v>
      </c>
      <c r="H223" s="937">
        <v>1.1043</v>
      </c>
      <c r="I223" s="937">
        <v>0.9658</v>
      </c>
      <c r="J223" s="937">
        <v>0.9658</v>
      </c>
      <c r="K223" s="937">
        <v>0.9658</v>
      </c>
      <c r="L223" s="937">
        <v>0.9658</v>
      </c>
      <c r="M223" s="937">
        <v>0.9658</v>
      </c>
    </row>
    <row r="224" spans="1:13">
      <c r="A224" s="934">
        <v>1.8</v>
      </c>
      <c r="B224" s="937">
        <v>1.0836</v>
      </c>
      <c r="C224" s="937">
        <v>1.0836</v>
      </c>
      <c r="D224" s="937">
        <v>1.0888</v>
      </c>
      <c r="E224" s="937">
        <v>1.0888</v>
      </c>
      <c r="F224" s="937">
        <v>1.0888</v>
      </c>
      <c r="G224" s="937">
        <v>1.0888</v>
      </c>
      <c r="H224" s="937">
        <v>1.0888</v>
      </c>
      <c r="I224" s="937">
        <v>0.9503</v>
      </c>
      <c r="J224" s="937">
        <v>0.9503</v>
      </c>
      <c r="K224" s="937">
        <v>0.9503</v>
      </c>
      <c r="L224" s="937">
        <v>0.9503</v>
      </c>
      <c r="M224" s="937">
        <v>0.9503</v>
      </c>
    </row>
    <row r="225" spans="1:13">
      <c r="A225" s="934">
        <v>1.9</v>
      </c>
      <c r="B225" s="937">
        <v>1.0698</v>
      </c>
      <c r="C225" s="937">
        <v>1.0698</v>
      </c>
      <c r="D225" s="937">
        <v>1.0741</v>
      </c>
      <c r="E225" s="937">
        <v>1.0741</v>
      </c>
      <c r="F225" s="937">
        <v>1.0741</v>
      </c>
      <c r="G225" s="937">
        <v>1.0741</v>
      </c>
      <c r="H225" s="937">
        <v>1.0741</v>
      </c>
      <c r="I225" s="937">
        <v>0.9361</v>
      </c>
      <c r="J225" s="937">
        <v>0.9361</v>
      </c>
      <c r="K225" s="937">
        <v>0.9361</v>
      </c>
      <c r="L225" s="937">
        <v>0.9361</v>
      </c>
      <c r="M225" s="937">
        <v>0.9361</v>
      </c>
    </row>
    <row r="226" spans="1:13">
      <c r="A226" s="934">
        <v>2</v>
      </c>
      <c r="B226" s="937">
        <v>1.0568</v>
      </c>
      <c r="C226" s="937">
        <v>1.0568</v>
      </c>
      <c r="D226" s="937">
        <v>1.0601</v>
      </c>
      <c r="E226" s="937">
        <v>1.0601</v>
      </c>
      <c r="F226" s="937">
        <v>1.0601</v>
      </c>
      <c r="G226" s="937">
        <v>1.0601</v>
      </c>
      <c r="H226" s="937">
        <v>1.0601</v>
      </c>
      <c r="I226" s="937">
        <v>0.9224</v>
      </c>
      <c r="J226" s="937">
        <v>0.9224</v>
      </c>
      <c r="K226" s="937">
        <v>0.9224</v>
      </c>
      <c r="L226" s="937">
        <v>0.9224</v>
      </c>
      <c r="M226" s="937">
        <v>0.9224</v>
      </c>
    </row>
    <row r="227" spans="1:13">
      <c r="A227" s="938">
        <v>2.1</v>
      </c>
      <c r="B227" s="937">
        <v>1.0443</v>
      </c>
      <c r="C227" s="937">
        <v>1.0443</v>
      </c>
      <c r="D227" s="937">
        <v>1.0468</v>
      </c>
      <c r="E227" s="937">
        <v>1.0468</v>
      </c>
      <c r="F227" s="937">
        <v>1.0468</v>
      </c>
      <c r="G227" s="937">
        <v>1.0468</v>
      </c>
      <c r="H227" s="937">
        <v>1.0468</v>
      </c>
      <c r="I227" s="937">
        <v>0.9096</v>
      </c>
      <c r="J227" s="937">
        <v>0.9096</v>
      </c>
      <c r="K227" s="937">
        <v>0.9096</v>
      </c>
      <c r="L227" s="937">
        <v>0.9096</v>
      </c>
      <c r="M227" s="937">
        <v>0.9096</v>
      </c>
    </row>
    <row r="228" spans="1:13">
      <c r="A228" s="938">
        <v>2.2</v>
      </c>
      <c r="B228" s="937">
        <v>1.0325</v>
      </c>
      <c r="C228" s="937">
        <v>1.0325</v>
      </c>
      <c r="D228" s="937">
        <v>1.0342</v>
      </c>
      <c r="E228" s="937">
        <v>1.0342</v>
      </c>
      <c r="F228" s="937">
        <v>1.0342</v>
      </c>
      <c r="G228" s="937">
        <v>1.0342</v>
      </c>
      <c r="H228" s="937">
        <v>1.0342</v>
      </c>
      <c r="I228" s="937">
        <v>0.8975</v>
      </c>
      <c r="J228" s="937">
        <v>0.8975</v>
      </c>
      <c r="K228" s="937">
        <v>0.8975</v>
      </c>
      <c r="L228" s="937">
        <v>0.8975</v>
      </c>
      <c r="M228" s="937">
        <v>0.8975</v>
      </c>
    </row>
    <row r="229" spans="1:13">
      <c r="A229" s="938">
        <v>2.3</v>
      </c>
      <c r="B229" s="937">
        <v>1.021</v>
      </c>
      <c r="C229" s="937">
        <v>1.021</v>
      </c>
      <c r="D229" s="937">
        <v>1.0222</v>
      </c>
      <c r="E229" s="937">
        <v>1.0222</v>
      </c>
      <c r="F229" s="937">
        <v>1.0222</v>
      </c>
      <c r="G229" s="937">
        <v>1.0222</v>
      </c>
      <c r="H229" s="937">
        <v>1.0222</v>
      </c>
      <c r="I229" s="937">
        <v>0.8862</v>
      </c>
      <c r="J229" s="937">
        <v>0.8862</v>
      </c>
      <c r="K229" s="937">
        <v>0.8862</v>
      </c>
      <c r="L229" s="937">
        <v>0.8862</v>
      </c>
      <c r="M229" s="937">
        <v>0.8862</v>
      </c>
    </row>
    <row r="230" spans="1:13">
      <c r="A230" s="938">
        <v>2.4</v>
      </c>
      <c r="B230" s="937">
        <v>1.0102</v>
      </c>
      <c r="C230" s="937">
        <v>1.0102</v>
      </c>
      <c r="D230" s="937">
        <v>1.0108</v>
      </c>
      <c r="E230" s="937">
        <v>1.0108</v>
      </c>
      <c r="F230" s="937">
        <v>1.0108</v>
      </c>
      <c r="G230" s="937">
        <v>1.0108</v>
      </c>
      <c r="H230" s="937">
        <v>1.0108</v>
      </c>
      <c r="I230" s="937">
        <v>0.8753</v>
      </c>
      <c r="J230" s="937">
        <v>0.8753</v>
      </c>
      <c r="K230" s="937">
        <v>0.8753</v>
      </c>
      <c r="L230" s="937">
        <v>0.8753</v>
      </c>
      <c r="M230" s="937">
        <v>0.8753</v>
      </c>
    </row>
    <row r="231" spans="1:13">
      <c r="A231" s="938">
        <v>2.5</v>
      </c>
      <c r="B231" s="937">
        <v>1</v>
      </c>
      <c r="C231" s="937">
        <v>1</v>
      </c>
      <c r="D231" s="937">
        <v>1</v>
      </c>
      <c r="E231" s="937">
        <v>1</v>
      </c>
      <c r="F231" s="937">
        <v>1</v>
      </c>
      <c r="G231" s="937">
        <v>1</v>
      </c>
      <c r="H231" s="937">
        <v>1</v>
      </c>
      <c r="I231" s="937">
        <v>0.8651</v>
      </c>
      <c r="J231" s="937">
        <v>0.8651</v>
      </c>
      <c r="K231" s="937">
        <v>0.8651</v>
      </c>
      <c r="L231" s="937">
        <v>0.8651</v>
      </c>
      <c r="M231" s="937">
        <v>0.8651</v>
      </c>
    </row>
    <row r="232" spans="1:13">
      <c r="A232" s="938">
        <v>2.6</v>
      </c>
      <c r="B232" s="937">
        <v>0.9903</v>
      </c>
      <c r="C232" s="937">
        <v>0.9903</v>
      </c>
      <c r="D232" s="937">
        <v>0.9897</v>
      </c>
      <c r="E232" s="937">
        <v>0.9897</v>
      </c>
      <c r="F232" s="937">
        <v>0.9897</v>
      </c>
      <c r="G232" s="937">
        <v>0.9897</v>
      </c>
      <c r="H232" s="937">
        <v>0.9897</v>
      </c>
      <c r="I232" s="937">
        <v>0.8553</v>
      </c>
      <c r="J232" s="937">
        <v>0.8553</v>
      </c>
      <c r="K232" s="937">
        <v>0.8553</v>
      </c>
      <c r="L232" s="937">
        <v>0.8553</v>
      </c>
      <c r="M232" s="937">
        <v>0.8553</v>
      </c>
    </row>
    <row r="233" spans="1:13">
      <c r="A233" s="938">
        <v>2.7</v>
      </c>
      <c r="B233" s="937">
        <v>0.9811</v>
      </c>
      <c r="C233" s="937">
        <v>0.9811</v>
      </c>
      <c r="D233" s="937">
        <v>0.9799</v>
      </c>
      <c r="E233" s="937">
        <v>0.9799</v>
      </c>
      <c r="F233" s="937">
        <v>0.9799</v>
      </c>
      <c r="G233" s="937">
        <v>0.9799</v>
      </c>
      <c r="H233" s="937">
        <v>0.9799</v>
      </c>
      <c r="I233" s="937">
        <v>0.846</v>
      </c>
      <c r="J233" s="937">
        <v>0.846</v>
      </c>
      <c r="K233" s="937">
        <v>0.846</v>
      </c>
      <c r="L233" s="937">
        <v>0.846</v>
      </c>
      <c r="M233" s="937">
        <v>0.846</v>
      </c>
    </row>
    <row r="234" spans="1:13">
      <c r="A234" s="938">
        <v>2.8</v>
      </c>
      <c r="B234" s="937">
        <v>0.9724</v>
      </c>
      <c r="C234" s="937">
        <v>0.9724</v>
      </c>
      <c r="D234" s="937">
        <v>0.9706</v>
      </c>
      <c r="E234" s="937">
        <v>0.9706</v>
      </c>
      <c r="F234" s="937">
        <v>0.9706</v>
      </c>
      <c r="G234" s="937">
        <v>0.9706</v>
      </c>
      <c r="H234" s="937">
        <v>0.9706</v>
      </c>
      <c r="I234" s="937">
        <v>0.8371</v>
      </c>
      <c r="J234" s="937">
        <v>0.8371</v>
      </c>
      <c r="K234" s="937">
        <v>0.8371</v>
      </c>
      <c r="L234" s="937">
        <v>0.8371</v>
      </c>
      <c r="M234" s="937">
        <v>0.8371</v>
      </c>
    </row>
    <row r="235" spans="1:13">
      <c r="A235" s="938">
        <v>2.9</v>
      </c>
      <c r="B235" s="937">
        <v>0.9642</v>
      </c>
      <c r="C235" s="937">
        <v>0.9642</v>
      </c>
      <c r="D235" s="937">
        <v>0.9618</v>
      </c>
      <c r="E235" s="937">
        <v>0.9618</v>
      </c>
      <c r="F235" s="937">
        <v>0.9618</v>
      </c>
      <c r="G235" s="937">
        <v>0.9618</v>
      </c>
      <c r="H235" s="937">
        <v>0.9618</v>
      </c>
      <c r="I235" s="937">
        <v>0.8285</v>
      </c>
      <c r="J235" s="937">
        <v>0.8285</v>
      </c>
      <c r="K235" s="937">
        <v>0.8285</v>
      </c>
      <c r="L235" s="937">
        <v>0.8285</v>
      </c>
      <c r="M235" s="937">
        <v>0.8285</v>
      </c>
    </row>
    <row r="236" spans="1:13">
      <c r="A236" s="938">
        <v>3</v>
      </c>
      <c r="B236" s="937">
        <v>0.9564</v>
      </c>
      <c r="C236" s="937">
        <v>0.9564</v>
      </c>
      <c r="D236" s="937">
        <v>0.9534</v>
      </c>
      <c r="E236" s="937">
        <v>0.9534</v>
      </c>
      <c r="F236" s="937">
        <v>0.9534</v>
      </c>
      <c r="G236" s="937">
        <v>0.9534</v>
      </c>
      <c r="H236" s="937">
        <v>0.9534</v>
      </c>
      <c r="I236" s="937">
        <v>0.8204</v>
      </c>
      <c r="J236" s="937">
        <v>0.8204</v>
      </c>
      <c r="K236" s="937">
        <v>0.8204</v>
      </c>
      <c r="L236" s="937">
        <v>0.8204</v>
      </c>
      <c r="M236" s="937">
        <v>0.8204</v>
      </c>
    </row>
    <row r="237" spans="1:13">
      <c r="A237" s="938">
        <v>3.1</v>
      </c>
      <c r="B237" s="937">
        <v>0.949</v>
      </c>
      <c r="C237" s="937">
        <v>0.949</v>
      </c>
      <c r="D237" s="937">
        <v>0.9455</v>
      </c>
      <c r="E237" s="937">
        <v>0.9455</v>
      </c>
      <c r="F237" s="937">
        <v>0.9455</v>
      </c>
      <c r="G237" s="937">
        <v>0.9455</v>
      </c>
      <c r="H237" s="937">
        <v>0.9455</v>
      </c>
      <c r="I237" s="937">
        <v>0.8126</v>
      </c>
      <c r="J237" s="937">
        <v>0.8126</v>
      </c>
      <c r="K237" s="937">
        <v>0.8126</v>
      </c>
      <c r="L237" s="937">
        <v>0.8126</v>
      </c>
      <c r="M237" s="937">
        <v>0.8126</v>
      </c>
    </row>
    <row r="238" spans="1:13">
      <c r="A238" s="938">
        <v>3.2</v>
      </c>
      <c r="B238" s="937">
        <v>0.942</v>
      </c>
      <c r="C238" s="937">
        <v>0.942</v>
      </c>
      <c r="D238" s="937">
        <v>0.9379</v>
      </c>
      <c r="E238" s="937">
        <v>0.9379</v>
      </c>
      <c r="F238" s="937">
        <v>0.9379</v>
      </c>
      <c r="G238" s="937">
        <v>0.9379</v>
      </c>
      <c r="H238" s="937">
        <v>0.9379</v>
      </c>
      <c r="I238" s="937">
        <v>0.8053</v>
      </c>
      <c r="J238" s="937">
        <v>0.8053</v>
      </c>
      <c r="K238" s="937">
        <v>0.8053</v>
      </c>
      <c r="L238" s="937">
        <v>0.8053</v>
      </c>
      <c r="M238" s="937">
        <v>0.8053</v>
      </c>
    </row>
    <row r="239" spans="1:13">
      <c r="A239" s="938">
        <v>3.3</v>
      </c>
      <c r="B239" s="937">
        <v>0.9354</v>
      </c>
      <c r="C239" s="937">
        <v>0.9354</v>
      </c>
      <c r="D239" s="937">
        <v>0.9307</v>
      </c>
      <c r="E239" s="937">
        <v>0.9307</v>
      </c>
      <c r="F239" s="937">
        <v>0.9307</v>
      </c>
      <c r="G239" s="937">
        <v>0.9307</v>
      </c>
      <c r="H239" s="937">
        <v>0.9307</v>
      </c>
      <c r="I239" s="937">
        <v>0.7982</v>
      </c>
      <c r="J239" s="937">
        <v>0.7982</v>
      </c>
      <c r="K239" s="937">
        <v>0.7982</v>
      </c>
      <c r="L239" s="937">
        <v>0.7982</v>
      </c>
      <c r="M239" s="937">
        <v>0.7982</v>
      </c>
    </row>
    <row r="240" spans="1:13">
      <c r="A240" s="938">
        <v>3.4</v>
      </c>
      <c r="B240" s="937">
        <v>0.9292</v>
      </c>
      <c r="C240" s="937">
        <v>0.9292</v>
      </c>
      <c r="D240" s="937">
        <v>0.9239</v>
      </c>
      <c r="E240" s="937">
        <v>0.9239</v>
      </c>
      <c r="F240" s="937">
        <v>0.9239</v>
      </c>
      <c r="G240" s="937">
        <v>0.9239</v>
      </c>
      <c r="H240" s="937">
        <v>0.9239</v>
      </c>
      <c r="I240" s="937">
        <v>0.7914</v>
      </c>
      <c r="J240" s="937">
        <v>0.7914</v>
      </c>
      <c r="K240" s="937">
        <v>0.7914</v>
      </c>
      <c r="L240" s="937">
        <v>0.7914</v>
      </c>
      <c r="M240" s="937">
        <v>0.7914</v>
      </c>
    </row>
    <row r="241" spans="1:13">
      <c r="A241" s="938">
        <v>3.5</v>
      </c>
      <c r="B241" s="937">
        <v>0.9234</v>
      </c>
      <c r="C241" s="937">
        <v>0.9234</v>
      </c>
      <c r="D241" s="937">
        <v>0.9175</v>
      </c>
      <c r="E241" s="937">
        <v>0.9175</v>
      </c>
      <c r="F241" s="937">
        <v>0.9175</v>
      </c>
      <c r="G241" s="937">
        <v>0.9175</v>
      </c>
      <c r="H241" s="937">
        <v>0.9175</v>
      </c>
      <c r="I241" s="937">
        <v>0.7849</v>
      </c>
      <c r="J241" s="937">
        <v>0.7849</v>
      </c>
      <c r="K241" s="937">
        <v>0.7849</v>
      </c>
      <c r="L241" s="937">
        <v>0.7849</v>
      </c>
      <c r="M241" s="937">
        <v>0.7849</v>
      </c>
    </row>
    <row r="242" spans="1:13">
      <c r="A242" s="938">
        <v>3.6</v>
      </c>
      <c r="B242" s="937">
        <v>0.9179</v>
      </c>
      <c r="C242" s="937">
        <v>0.9179</v>
      </c>
      <c r="D242" s="937">
        <v>0.9114</v>
      </c>
      <c r="E242" s="937">
        <v>0.9114</v>
      </c>
      <c r="F242" s="937">
        <v>0.9114</v>
      </c>
      <c r="G242" s="937">
        <v>0.9114</v>
      </c>
      <c r="H242" s="937">
        <v>0.9114</v>
      </c>
      <c r="I242" s="937">
        <v>0.7788</v>
      </c>
      <c r="J242" s="937">
        <v>0.7788</v>
      </c>
      <c r="K242" s="937">
        <v>0.7788</v>
      </c>
      <c r="L242" s="937">
        <v>0.7788</v>
      </c>
      <c r="M242" s="937">
        <v>0.7788</v>
      </c>
    </row>
    <row r="243" spans="1:13">
      <c r="A243" s="938">
        <v>3.7</v>
      </c>
      <c r="B243" s="937">
        <v>0.9127</v>
      </c>
      <c r="C243" s="937">
        <v>0.9127</v>
      </c>
      <c r="D243" s="937">
        <v>0.9056</v>
      </c>
      <c r="E243" s="937">
        <v>0.9056</v>
      </c>
      <c r="F243" s="937">
        <v>0.9056</v>
      </c>
      <c r="G243" s="937">
        <v>0.9056</v>
      </c>
      <c r="H243" s="937">
        <v>0.9056</v>
      </c>
      <c r="I243" s="937">
        <v>0.773</v>
      </c>
      <c r="J243" s="937">
        <v>0.773</v>
      </c>
      <c r="K243" s="937">
        <v>0.773</v>
      </c>
      <c r="L243" s="937">
        <v>0.773</v>
      </c>
      <c r="M243" s="937">
        <v>0.773</v>
      </c>
    </row>
    <row r="244" spans="1:13">
      <c r="A244" s="938">
        <v>3.8</v>
      </c>
      <c r="B244" s="937">
        <v>0.9078</v>
      </c>
      <c r="C244" s="937">
        <v>0.9078</v>
      </c>
      <c r="D244" s="937">
        <v>0.9001</v>
      </c>
      <c r="E244" s="937">
        <v>0.9001</v>
      </c>
      <c r="F244" s="937">
        <v>0.9001</v>
      </c>
      <c r="G244" s="937">
        <v>0.9001</v>
      </c>
      <c r="H244" s="937">
        <v>0.9001</v>
      </c>
      <c r="I244" s="937">
        <v>0.7674</v>
      </c>
      <c r="J244" s="937">
        <v>0.7674</v>
      </c>
      <c r="K244" s="937">
        <v>0.7674</v>
      </c>
      <c r="L244" s="937">
        <v>0.7674</v>
      </c>
      <c r="M244" s="937">
        <v>0.7674</v>
      </c>
    </row>
    <row r="245" spans="1:13">
      <c r="A245" s="938">
        <v>3.9</v>
      </c>
      <c r="B245" s="937">
        <v>0.9032</v>
      </c>
      <c r="C245" s="937">
        <v>0.9032</v>
      </c>
      <c r="D245" s="937">
        <v>0.8949</v>
      </c>
      <c r="E245" s="937">
        <v>0.8949</v>
      </c>
      <c r="F245" s="937">
        <v>0.8949</v>
      </c>
      <c r="G245" s="937">
        <v>0.8949</v>
      </c>
      <c r="H245" s="937">
        <v>0.8949</v>
      </c>
      <c r="I245" s="937">
        <v>0.7621</v>
      </c>
      <c r="J245" s="937">
        <v>0.7621</v>
      </c>
      <c r="K245" s="937">
        <v>0.7621</v>
      </c>
      <c r="L245" s="937">
        <v>0.7621</v>
      </c>
      <c r="M245" s="937">
        <v>0.7621</v>
      </c>
    </row>
    <row r="246" spans="1:13">
      <c r="A246" s="938">
        <v>4</v>
      </c>
      <c r="B246" s="937">
        <v>0.8989</v>
      </c>
      <c r="C246" s="937">
        <v>0.8989</v>
      </c>
      <c r="D246" s="937">
        <v>0.89</v>
      </c>
      <c r="E246" s="937">
        <v>0.89</v>
      </c>
      <c r="F246" s="937">
        <v>0.89</v>
      </c>
      <c r="G246" s="937">
        <v>0.89</v>
      </c>
      <c r="H246" s="937">
        <v>0.89</v>
      </c>
      <c r="I246" s="937">
        <v>0.7571</v>
      </c>
      <c r="J246" s="937">
        <v>0.7571</v>
      </c>
      <c r="K246" s="937">
        <v>0.7571</v>
      </c>
      <c r="L246" s="937">
        <v>0.7571</v>
      </c>
      <c r="M246" s="937">
        <v>0.7571</v>
      </c>
    </row>
    <row r="247" spans="1:13">
      <c r="A247" s="938">
        <v>4.1</v>
      </c>
      <c r="B247" s="937">
        <v>0.8948</v>
      </c>
      <c r="C247" s="937">
        <v>0.8948</v>
      </c>
      <c r="D247" s="937">
        <v>0.8854</v>
      </c>
      <c r="E247" s="937">
        <v>0.8854</v>
      </c>
      <c r="F247" s="937">
        <v>0.8854</v>
      </c>
      <c r="G247" s="937">
        <v>0.8854</v>
      </c>
      <c r="H247" s="937">
        <v>0.8854</v>
      </c>
      <c r="I247" s="937">
        <v>0.7523</v>
      </c>
      <c r="J247" s="937">
        <v>0.7523</v>
      </c>
      <c r="K247" s="937">
        <v>0.7523</v>
      </c>
      <c r="L247" s="937">
        <v>0.7523</v>
      </c>
      <c r="M247" s="937">
        <v>0.7523</v>
      </c>
    </row>
    <row r="248" spans="1:13">
      <c r="A248" s="938">
        <v>4.2</v>
      </c>
      <c r="B248" s="937">
        <v>0.891</v>
      </c>
      <c r="C248" s="937">
        <v>0.891</v>
      </c>
      <c r="D248" s="937">
        <v>0.8811</v>
      </c>
      <c r="E248" s="937">
        <v>0.8811</v>
      </c>
      <c r="F248" s="937">
        <v>0.8811</v>
      </c>
      <c r="G248" s="937">
        <v>0.8811</v>
      </c>
      <c r="H248" s="937">
        <v>0.8811</v>
      </c>
      <c r="I248" s="937">
        <v>0.7478</v>
      </c>
      <c r="J248" s="937">
        <v>0.7478</v>
      </c>
      <c r="K248" s="937">
        <v>0.7478</v>
      </c>
      <c r="L248" s="937">
        <v>0.7478</v>
      </c>
      <c r="M248" s="937">
        <v>0.7478</v>
      </c>
    </row>
    <row r="249" spans="1:13">
      <c r="A249" s="938">
        <v>4.3</v>
      </c>
      <c r="B249" s="937">
        <v>0.8874</v>
      </c>
      <c r="C249" s="937">
        <v>0.8874</v>
      </c>
      <c r="D249" s="937">
        <v>0.877</v>
      </c>
      <c r="E249" s="937">
        <v>0.877</v>
      </c>
      <c r="F249" s="937">
        <v>0.877</v>
      </c>
      <c r="G249" s="937">
        <v>0.877</v>
      </c>
      <c r="H249" s="937">
        <v>0.877</v>
      </c>
      <c r="I249" s="937">
        <v>0.7433</v>
      </c>
      <c r="J249" s="937">
        <v>0.7433</v>
      </c>
      <c r="K249" s="937">
        <v>0.7433</v>
      </c>
      <c r="L249" s="937">
        <v>0.7433</v>
      </c>
      <c r="M249" s="937">
        <v>0.7433</v>
      </c>
    </row>
    <row r="250" spans="1:13">
      <c r="A250" s="938">
        <v>4.4</v>
      </c>
      <c r="B250" s="937">
        <v>0.884</v>
      </c>
      <c r="C250" s="937">
        <v>0.884</v>
      </c>
      <c r="D250" s="937">
        <v>0.8731</v>
      </c>
      <c r="E250" s="937">
        <v>0.8731</v>
      </c>
      <c r="F250" s="937">
        <v>0.8731</v>
      </c>
      <c r="G250" s="937">
        <v>0.8731</v>
      </c>
      <c r="H250" s="937">
        <v>0.8731</v>
      </c>
      <c r="I250" s="937">
        <v>0.7391</v>
      </c>
      <c r="J250" s="937">
        <v>0.7391</v>
      </c>
      <c r="K250" s="937">
        <v>0.7391</v>
      </c>
      <c r="L250" s="937">
        <v>0.7391</v>
      </c>
      <c r="M250" s="937">
        <v>0.7391</v>
      </c>
    </row>
    <row r="251" spans="1:13">
      <c r="A251" s="938">
        <v>4.5</v>
      </c>
      <c r="B251" s="937">
        <v>0.8808</v>
      </c>
      <c r="C251" s="937">
        <v>0.8808</v>
      </c>
      <c r="D251" s="937">
        <v>0.8694</v>
      </c>
      <c r="E251" s="937">
        <v>0.8694</v>
      </c>
      <c r="F251" s="937">
        <v>0.8694</v>
      </c>
      <c r="G251" s="937">
        <v>0.8694</v>
      </c>
      <c r="H251" s="937">
        <v>0.8694</v>
      </c>
      <c r="I251" s="937">
        <v>0.735</v>
      </c>
      <c r="J251" s="937">
        <v>0.735</v>
      </c>
      <c r="K251" s="937">
        <v>0.735</v>
      </c>
      <c r="L251" s="937">
        <v>0.735</v>
      </c>
      <c r="M251" s="937">
        <v>0.735</v>
      </c>
    </row>
    <row r="252" spans="1:13">
      <c r="A252" s="938">
        <v>4.6</v>
      </c>
      <c r="B252" s="937">
        <v>0.8778</v>
      </c>
      <c r="C252" s="937">
        <v>0.8778</v>
      </c>
      <c r="D252" s="937">
        <v>0.8659</v>
      </c>
      <c r="E252" s="937">
        <v>0.8659</v>
      </c>
      <c r="F252" s="937">
        <v>0.8659</v>
      </c>
      <c r="G252" s="937">
        <v>0.8659</v>
      </c>
      <c r="H252" s="937">
        <v>0.8659</v>
      </c>
      <c r="I252" s="937">
        <v>0.7311</v>
      </c>
      <c r="J252" s="937">
        <v>0.7311</v>
      </c>
      <c r="K252" s="937">
        <v>0.7311</v>
      </c>
      <c r="L252" s="937">
        <v>0.7311</v>
      </c>
      <c r="M252" s="937">
        <v>0.7311</v>
      </c>
    </row>
    <row r="253" spans="1:13">
      <c r="A253" s="938">
        <v>4.7</v>
      </c>
      <c r="B253" s="937">
        <v>0.875</v>
      </c>
      <c r="C253" s="937">
        <v>0.875</v>
      </c>
      <c r="D253" s="937">
        <v>0.8626</v>
      </c>
      <c r="E253" s="937">
        <v>0.8626</v>
      </c>
      <c r="F253" s="937">
        <v>0.8626</v>
      </c>
      <c r="G253" s="937">
        <v>0.8626</v>
      </c>
      <c r="H253" s="937">
        <v>0.8626</v>
      </c>
      <c r="I253" s="937">
        <v>0.7275</v>
      </c>
      <c r="J253" s="937">
        <v>0.7275</v>
      </c>
      <c r="K253" s="937">
        <v>0.7275</v>
      </c>
      <c r="L253" s="937">
        <v>0.7275</v>
      </c>
      <c r="M253" s="937">
        <v>0.7275</v>
      </c>
    </row>
    <row r="254" spans="1:13">
      <c r="A254" s="938">
        <v>4.8</v>
      </c>
      <c r="B254" s="937">
        <v>0.8723</v>
      </c>
      <c r="C254" s="937">
        <v>0.8723</v>
      </c>
      <c r="D254" s="937">
        <v>0.8595</v>
      </c>
      <c r="E254" s="937">
        <v>0.8595</v>
      </c>
      <c r="F254" s="937">
        <v>0.8595</v>
      </c>
      <c r="G254" s="937">
        <v>0.8595</v>
      </c>
      <c r="H254" s="937">
        <v>0.8595</v>
      </c>
      <c r="I254" s="937">
        <v>0.724</v>
      </c>
      <c r="J254" s="937">
        <v>0.724</v>
      </c>
      <c r="K254" s="937">
        <v>0.724</v>
      </c>
      <c r="L254" s="937">
        <v>0.724</v>
      </c>
      <c r="M254" s="937">
        <v>0.724</v>
      </c>
    </row>
    <row r="255" spans="1:13">
      <c r="A255" s="938">
        <v>4.9</v>
      </c>
      <c r="B255" s="937">
        <v>0.8698</v>
      </c>
      <c r="C255" s="937">
        <v>0.8698</v>
      </c>
      <c r="D255" s="937">
        <v>0.8566</v>
      </c>
      <c r="E255" s="937">
        <v>0.8566</v>
      </c>
      <c r="F255" s="937">
        <v>0.8566</v>
      </c>
      <c r="G255" s="937">
        <v>0.8566</v>
      </c>
      <c r="H255" s="937">
        <v>0.8566</v>
      </c>
      <c r="I255" s="937">
        <v>0.7208</v>
      </c>
      <c r="J255" s="937">
        <v>0.7208</v>
      </c>
      <c r="K255" s="937">
        <v>0.7208</v>
      </c>
      <c r="L255" s="937">
        <v>0.7208</v>
      </c>
      <c r="M255" s="937">
        <v>0.7208</v>
      </c>
    </row>
    <row r="256" spans="1:13">
      <c r="A256" s="938">
        <v>5</v>
      </c>
      <c r="B256" s="937">
        <v>0.8674</v>
      </c>
      <c r="C256" s="937">
        <v>0.8674</v>
      </c>
      <c r="D256" s="937">
        <v>0.8538</v>
      </c>
      <c r="E256" s="937">
        <v>0.8538</v>
      </c>
      <c r="F256" s="937">
        <v>0.8538</v>
      </c>
      <c r="G256" s="937">
        <v>0.8538</v>
      </c>
      <c r="H256" s="937">
        <v>0.8538</v>
      </c>
      <c r="I256" s="937">
        <v>0.7176</v>
      </c>
      <c r="J256" s="937">
        <v>0.7176</v>
      </c>
      <c r="K256" s="937">
        <v>0.7176</v>
      </c>
      <c r="L256" s="937">
        <v>0.7176</v>
      </c>
      <c r="M256" s="937">
        <v>0.7176</v>
      </c>
    </row>
    <row r="257" spans="1:13">
      <c r="A257" s="934">
        <v>5.1</v>
      </c>
      <c r="B257" s="937">
        <v>0.8652</v>
      </c>
      <c r="C257" s="937">
        <v>0.8652</v>
      </c>
      <c r="D257" s="937">
        <v>0.8511</v>
      </c>
      <c r="E257" s="937">
        <v>0.8511</v>
      </c>
      <c r="F257" s="937">
        <v>0.8511</v>
      </c>
      <c r="G257" s="937">
        <v>0.8511</v>
      </c>
      <c r="H257" s="937">
        <v>0.8511</v>
      </c>
      <c r="I257" s="937">
        <v>0.7147</v>
      </c>
      <c r="J257" s="937">
        <v>0.7147</v>
      </c>
      <c r="K257" s="937">
        <v>0.7147</v>
      </c>
      <c r="L257" s="937">
        <v>0.7147</v>
      </c>
      <c r="M257" s="937">
        <v>0.7147</v>
      </c>
    </row>
    <row r="258" spans="1:13">
      <c r="A258" s="934">
        <v>5.2</v>
      </c>
      <c r="B258" s="937">
        <v>0.8631</v>
      </c>
      <c r="C258" s="937">
        <v>0.8631</v>
      </c>
      <c r="D258" s="937">
        <v>0.8486</v>
      </c>
      <c r="E258" s="937">
        <v>0.8486</v>
      </c>
      <c r="F258" s="937">
        <v>0.8486</v>
      </c>
      <c r="G258" s="937">
        <v>0.8486</v>
      </c>
      <c r="H258" s="937">
        <v>0.8486</v>
      </c>
      <c r="I258" s="937">
        <v>0.7119</v>
      </c>
      <c r="J258" s="937">
        <v>0.7119</v>
      </c>
      <c r="K258" s="937">
        <v>0.7119</v>
      </c>
      <c r="L258" s="937">
        <v>0.7119</v>
      </c>
      <c r="M258" s="937">
        <v>0.7119</v>
      </c>
    </row>
    <row r="259" spans="1:13">
      <c r="A259" s="934">
        <v>5.3</v>
      </c>
      <c r="B259" s="937">
        <v>0.8612</v>
      </c>
      <c r="C259" s="937">
        <v>0.8612</v>
      </c>
      <c r="D259" s="937">
        <v>0.8462</v>
      </c>
      <c r="E259" s="937">
        <v>0.8462</v>
      </c>
      <c r="F259" s="937">
        <v>0.8462</v>
      </c>
      <c r="G259" s="937">
        <v>0.8462</v>
      </c>
      <c r="H259" s="937">
        <v>0.8462</v>
      </c>
      <c r="I259" s="937">
        <v>0.7091</v>
      </c>
      <c r="J259" s="937">
        <v>0.7091</v>
      </c>
      <c r="K259" s="937">
        <v>0.7091</v>
      </c>
      <c r="L259" s="937">
        <v>0.7091</v>
      </c>
      <c r="M259" s="937">
        <v>0.7091</v>
      </c>
    </row>
    <row r="260" spans="1:13">
      <c r="A260" s="934">
        <v>5.4</v>
      </c>
      <c r="B260" s="937">
        <v>0.8594</v>
      </c>
      <c r="C260" s="937">
        <v>0.8594</v>
      </c>
      <c r="D260" s="937">
        <v>0.8439</v>
      </c>
      <c r="E260" s="937">
        <v>0.8439</v>
      </c>
      <c r="F260" s="937">
        <v>0.8439</v>
      </c>
      <c r="G260" s="937">
        <v>0.8439</v>
      </c>
      <c r="H260" s="937">
        <v>0.8439</v>
      </c>
      <c r="I260" s="937">
        <v>0.7065</v>
      </c>
      <c r="J260" s="937">
        <v>0.7065</v>
      </c>
      <c r="K260" s="937">
        <v>0.7065</v>
      </c>
      <c r="L260" s="937">
        <v>0.7065</v>
      </c>
      <c r="M260" s="937">
        <v>0.7065</v>
      </c>
    </row>
    <row r="261" spans="1:13">
      <c r="A261" s="934">
        <v>5.5</v>
      </c>
      <c r="B261" s="937">
        <v>0.8577</v>
      </c>
      <c r="C261" s="937">
        <v>0.8577</v>
      </c>
      <c r="D261" s="937">
        <v>0.8418</v>
      </c>
      <c r="E261" s="937">
        <v>0.8418</v>
      </c>
      <c r="F261" s="937">
        <v>0.8418</v>
      </c>
      <c r="G261" s="937">
        <v>0.8418</v>
      </c>
      <c r="H261" s="937">
        <v>0.8418</v>
      </c>
      <c r="I261" s="937">
        <v>0.704</v>
      </c>
      <c r="J261" s="937">
        <v>0.704</v>
      </c>
      <c r="K261" s="937">
        <v>0.704</v>
      </c>
      <c r="L261" s="937">
        <v>0.704</v>
      </c>
      <c r="M261" s="937">
        <v>0.704</v>
      </c>
    </row>
    <row r="262" spans="1:13">
      <c r="A262" s="934">
        <v>5.6</v>
      </c>
      <c r="B262" s="937">
        <v>0.856</v>
      </c>
      <c r="C262" s="937">
        <v>0.856</v>
      </c>
      <c r="D262" s="937">
        <v>0.8398</v>
      </c>
      <c r="E262" s="937">
        <v>0.8398</v>
      </c>
      <c r="F262" s="937">
        <v>0.8398</v>
      </c>
      <c r="G262" s="937">
        <v>0.8398</v>
      </c>
      <c r="H262" s="937">
        <v>0.8398</v>
      </c>
      <c r="I262" s="937">
        <v>0.7016</v>
      </c>
      <c r="J262" s="937">
        <v>0.7016</v>
      </c>
      <c r="K262" s="937">
        <v>0.7016</v>
      </c>
      <c r="L262" s="937">
        <v>0.7016</v>
      </c>
      <c r="M262" s="937">
        <v>0.7016</v>
      </c>
    </row>
    <row r="263" spans="1:13">
      <c r="A263" s="938">
        <v>5.7</v>
      </c>
      <c r="B263" s="937">
        <v>0.8544</v>
      </c>
      <c r="C263" s="937">
        <v>0.8544</v>
      </c>
      <c r="D263" s="937">
        <v>0.8379</v>
      </c>
      <c r="E263" s="937">
        <v>0.8379</v>
      </c>
      <c r="F263" s="937">
        <v>0.8379</v>
      </c>
      <c r="G263" s="937">
        <v>0.8379</v>
      </c>
      <c r="H263" s="937">
        <v>0.8379</v>
      </c>
      <c r="I263" s="937">
        <v>0.6994</v>
      </c>
      <c r="J263" s="937">
        <v>0.6994</v>
      </c>
      <c r="K263" s="937">
        <v>0.6994</v>
      </c>
      <c r="L263" s="937">
        <v>0.6994</v>
      </c>
      <c r="M263" s="937">
        <v>0.6994</v>
      </c>
    </row>
    <row r="264" spans="1:13">
      <c r="A264" s="934">
        <v>5.8</v>
      </c>
      <c r="B264" s="937">
        <v>0.8529</v>
      </c>
      <c r="C264" s="937">
        <v>0.8529</v>
      </c>
      <c r="D264" s="937">
        <v>0.836</v>
      </c>
      <c r="E264" s="937">
        <v>0.836</v>
      </c>
      <c r="F264" s="937">
        <v>0.836</v>
      </c>
      <c r="G264" s="937">
        <v>0.836</v>
      </c>
      <c r="H264" s="937">
        <v>0.836</v>
      </c>
      <c r="I264" s="937">
        <v>0.6972</v>
      </c>
      <c r="J264" s="937">
        <v>0.6972</v>
      </c>
      <c r="K264" s="937">
        <v>0.6972</v>
      </c>
      <c r="L264" s="937">
        <v>0.6972</v>
      </c>
      <c r="M264" s="937">
        <v>0.6972</v>
      </c>
    </row>
    <row r="265" spans="1:13">
      <c r="A265" s="934">
        <v>5.9</v>
      </c>
      <c r="B265" s="937">
        <v>0.8515</v>
      </c>
      <c r="C265" s="937">
        <v>0.8515</v>
      </c>
      <c r="D265" s="937">
        <v>0.8343</v>
      </c>
      <c r="E265" s="937">
        <v>0.8343</v>
      </c>
      <c r="F265" s="937">
        <v>0.8343</v>
      </c>
      <c r="G265" s="937">
        <v>0.8343</v>
      </c>
      <c r="H265" s="937">
        <v>0.8343</v>
      </c>
      <c r="I265" s="937">
        <v>0.6952</v>
      </c>
      <c r="J265" s="937">
        <v>0.6952</v>
      </c>
      <c r="K265" s="937">
        <v>0.6952</v>
      </c>
      <c r="L265" s="937">
        <v>0.6952</v>
      </c>
      <c r="M265" s="937">
        <v>0.6952</v>
      </c>
    </row>
    <row r="266" spans="1:13">
      <c r="A266" s="934">
        <v>6</v>
      </c>
      <c r="B266" s="937">
        <v>0.8502</v>
      </c>
      <c r="C266" s="937">
        <v>0.8502</v>
      </c>
      <c r="D266" s="937">
        <v>0.8327</v>
      </c>
      <c r="E266" s="937">
        <v>0.8327</v>
      </c>
      <c r="F266" s="937">
        <v>0.8327</v>
      </c>
      <c r="G266" s="937">
        <v>0.8327</v>
      </c>
      <c r="H266" s="937">
        <v>0.8327</v>
      </c>
      <c r="I266" s="937">
        <v>0.6932</v>
      </c>
      <c r="J266" s="937">
        <v>0.6932</v>
      </c>
      <c r="K266" s="937">
        <v>0.6932</v>
      </c>
      <c r="L266" s="937">
        <v>0.6932</v>
      </c>
      <c r="M266" s="937">
        <v>0.6932</v>
      </c>
    </row>
    <row r="267" spans="1:13">
      <c r="A267" s="934">
        <v>6.1</v>
      </c>
      <c r="B267" s="937">
        <v>0.849</v>
      </c>
      <c r="C267" s="937">
        <v>0.849</v>
      </c>
      <c r="D267" s="937">
        <v>0.8311</v>
      </c>
      <c r="E267" s="937">
        <v>0.8311</v>
      </c>
      <c r="F267" s="937">
        <v>0.8311</v>
      </c>
      <c r="G267" s="937">
        <v>0.8311</v>
      </c>
      <c r="H267" s="937">
        <v>0.8311</v>
      </c>
      <c r="I267" s="937">
        <v>0.6913</v>
      </c>
      <c r="J267" s="937">
        <v>0.6913</v>
      </c>
      <c r="K267" s="937">
        <v>0.6913</v>
      </c>
      <c r="L267" s="937">
        <v>0.6913</v>
      </c>
      <c r="M267" s="937">
        <v>0.6913</v>
      </c>
    </row>
    <row r="268" spans="1:13">
      <c r="A268" s="934">
        <v>6.2</v>
      </c>
      <c r="B268" s="937">
        <v>0.8478</v>
      </c>
      <c r="C268" s="937">
        <v>0.8478</v>
      </c>
      <c r="D268" s="937">
        <v>0.8296</v>
      </c>
      <c r="E268" s="937">
        <v>0.8296</v>
      </c>
      <c r="F268" s="937">
        <v>0.8296</v>
      </c>
      <c r="G268" s="937">
        <v>0.8296</v>
      </c>
      <c r="H268" s="937">
        <v>0.8296</v>
      </c>
      <c r="I268" s="937">
        <v>0.6894</v>
      </c>
      <c r="J268" s="937">
        <v>0.6894</v>
      </c>
      <c r="K268" s="937">
        <v>0.6894</v>
      </c>
      <c r="L268" s="937">
        <v>0.6894</v>
      </c>
      <c r="M268" s="937">
        <v>0.6894</v>
      </c>
    </row>
    <row r="269" spans="1:13">
      <c r="A269" s="934">
        <v>6.3</v>
      </c>
      <c r="B269" s="937">
        <v>0.8467</v>
      </c>
      <c r="C269" s="937">
        <v>0.8467</v>
      </c>
      <c r="D269" s="937">
        <v>0.8282</v>
      </c>
      <c r="E269" s="937">
        <v>0.8282</v>
      </c>
      <c r="F269" s="937">
        <v>0.8282</v>
      </c>
      <c r="G269" s="937">
        <v>0.8282</v>
      </c>
      <c r="H269" s="937">
        <v>0.8282</v>
      </c>
      <c r="I269" s="937">
        <v>0.6877</v>
      </c>
      <c r="J269" s="937">
        <v>0.6877</v>
      </c>
      <c r="K269" s="937">
        <v>0.6877</v>
      </c>
      <c r="L269" s="937">
        <v>0.6877</v>
      </c>
      <c r="M269" s="937">
        <v>0.6877</v>
      </c>
    </row>
    <row r="270" spans="1:13">
      <c r="A270" s="934">
        <v>6.4</v>
      </c>
      <c r="B270" s="937">
        <v>0.8457</v>
      </c>
      <c r="C270" s="937">
        <v>0.8457</v>
      </c>
      <c r="D270" s="937">
        <v>0.8269</v>
      </c>
      <c r="E270" s="937">
        <v>0.8269</v>
      </c>
      <c r="F270" s="937">
        <v>0.8269</v>
      </c>
      <c r="G270" s="937">
        <v>0.8269</v>
      </c>
      <c r="H270" s="937">
        <v>0.8269</v>
      </c>
      <c r="I270" s="937">
        <v>0.6861</v>
      </c>
      <c r="J270" s="937">
        <v>0.6861</v>
      </c>
      <c r="K270" s="937">
        <v>0.6861</v>
      </c>
      <c r="L270" s="937">
        <v>0.6861</v>
      </c>
      <c r="M270" s="937">
        <v>0.6861</v>
      </c>
    </row>
    <row r="271" spans="1:13">
      <c r="A271" s="934">
        <v>6.5</v>
      </c>
      <c r="B271" s="937">
        <v>0.8447</v>
      </c>
      <c r="C271" s="937">
        <v>0.8447</v>
      </c>
      <c r="D271" s="937">
        <v>0.8257</v>
      </c>
      <c r="E271" s="937">
        <v>0.8257</v>
      </c>
      <c r="F271" s="937">
        <v>0.8257</v>
      </c>
      <c r="G271" s="937">
        <v>0.8257</v>
      </c>
      <c r="H271" s="937">
        <v>0.8257</v>
      </c>
      <c r="I271" s="937">
        <v>0.6844</v>
      </c>
      <c r="J271" s="937">
        <v>0.6844</v>
      </c>
      <c r="K271" s="937">
        <v>0.6844</v>
      </c>
      <c r="L271" s="937">
        <v>0.6844</v>
      </c>
      <c r="M271" s="937">
        <v>0.6844</v>
      </c>
    </row>
    <row r="272" spans="1:13">
      <c r="A272" s="934">
        <v>6.6</v>
      </c>
      <c r="B272" s="937">
        <v>0.8437</v>
      </c>
      <c r="C272" s="937">
        <v>0.8437</v>
      </c>
      <c r="D272" s="937">
        <v>0.8245</v>
      </c>
      <c r="E272" s="937">
        <v>0.8245</v>
      </c>
      <c r="F272" s="937">
        <v>0.8245</v>
      </c>
      <c r="G272" s="937">
        <v>0.8245</v>
      </c>
      <c r="H272" s="937">
        <v>0.8245</v>
      </c>
      <c r="I272" s="937">
        <v>0.6829</v>
      </c>
      <c r="J272" s="937">
        <v>0.6829</v>
      </c>
      <c r="K272" s="937">
        <v>0.6829</v>
      </c>
      <c r="L272" s="937">
        <v>0.6829</v>
      </c>
      <c r="M272" s="937">
        <v>0.6829</v>
      </c>
    </row>
    <row r="273" spans="1:13">
      <c r="A273" s="934">
        <v>6.7</v>
      </c>
      <c r="B273" s="937">
        <v>0.8427</v>
      </c>
      <c r="C273" s="937">
        <v>0.8427</v>
      </c>
      <c r="D273" s="937">
        <v>0.8233</v>
      </c>
      <c r="E273" s="937">
        <v>0.8233</v>
      </c>
      <c r="F273" s="937">
        <v>0.8233</v>
      </c>
      <c r="G273" s="937">
        <v>0.8233</v>
      </c>
      <c r="H273" s="937">
        <v>0.8233</v>
      </c>
      <c r="I273" s="937">
        <v>0.6813</v>
      </c>
      <c r="J273" s="937">
        <v>0.6813</v>
      </c>
      <c r="K273" s="937">
        <v>0.6813</v>
      </c>
      <c r="L273" s="937">
        <v>0.6813</v>
      </c>
      <c r="M273" s="937">
        <v>0.6813</v>
      </c>
    </row>
    <row r="274" spans="1:13">
      <c r="A274" s="934">
        <v>6.8</v>
      </c>
      <c r="B274" s="937">
        <v>0.8418</v>
      </c>
      <c r="C274" s="937">
        <v>0.8418</v>
      </c>
      <c r="D274" s="937">
        <v>0.8221</v>
      </c>
      <c r="E274" s="937">
        <v>0.8221</v>
      </c>
      <c r="F274" s="937">
        <v>0.8221</v>
      </c>
      <c r="G274" s="937">
        <v>0.8221</v>
      </c>
      <c r="H274" s="937">
        <v>0.8221</v>
      </c>
      <c r="I274" s="937">
        <v>0.6798</v>
      </c>
      <c r="J274" s="937">
        <v>0.6798</v>
      </c>
      <c r="K274" s="937">
        <v>0.6798</v>
      </c>
      <c r="L274" s="937">
        <v>0.6798</v>
      </c>
      <c r="M274" s="937">
        <v>0.6798</v>
      </c>
    </row>
    <row r="275" spans="1:13">
      <c r="A275" s="934">
        <v>6.9</v>
      </c>
      <c r="B275" s="937">
        <v>0.8409</v>
      </c>
      <c r="C275" s="937">
        <v>0.8409</v>
      </c>
      <c r="D275" s="937">
        <v>0.821</v>
      </c>
      <c r="E275" s="937">
        <v>0.821</v>
      </c>
      <c r="F275" s="937">
        <v>0.821</v>
      </c>
      <c r="G275" s="937">
        <v>0.821</v>
      </c>
      <c r="H275" s="937">
        <v>0.821</v>
      </c>
      <c r="I275" s="937">
        <v>0.6785</v>
      </c>
      <c r="J275" s="937">
        <v>0.6785</v>
      </c>
      <c r="K275" s="937">
        <v>0.6785</v>
      </c>
      <c r="L275" s="937">
        <v>0.6785</v>
      </c>
      <c r="M275" s="937">
        <v>0.6785</v>
      </c>
    </row>
    <row r="276" spans="1:13">
      <c r="A276" s="934">
        <v>7</v>
      </c>
      <c r="B276" s="937">
        <v>0.8401</v>
      </c>
      <c r="C276" s="937">
        <v>0.8401</v>
      </c>
      <c r="D276" s="937">
        <v>0.8199</v>
      </c>
      <c r="E276" s="937">
        <v>0.8199</v>
      </c>
      <c r="F276" s="937">
        <v>0.8199</v>
      </c>
      <c r="G276" s="937">
        <v>0.8199</v>
      </c>
      <c r="H276" s="937">
        <v>0.8199</v>
      </c>
      <c r="I276" s="937">
        <v>0.6772</v>
      </c>
      <c r="J276" s="937">
        <v>0.6772</v>
      </c>
      <c r="K276" s="937">
        <v>0.6772</v>
      </c>
      <c r="L276" s="937">
        <v>0.6772</v>
      </c>
      <c r="M276" s="937">
        <v>0.6772</v>
      </c>
    </row>
    <row r="277" spans="1:13">
      <c r="A277" s="934">
        <v>7.1</v>
      </c>
      <c r="B277" s="937">
        <v>0.8393</v>
      </c>
      <c r="C277" s="937">
        <v>0.8393</v>
      </c>
      <c r="D277" s="937">
        <v>0.8189</v>
      </c>
      <c r="E277" s="937">
        <v>0.8189</v>
      </c>
      <c r="F277" s="937">
        <v>0.8189</v>
      </c>
      <c r="G277" s="937">
        <v>0.8189</v>
      </c>
      <c r="H277" s="937">
        <v>0.8189</v>
      </c>
      <c r="I277" s="937">
        <v>0.6759</v>
      </c>
      <c r="J277" s="937">
        <v>0.6759</v>
      </c>
      <c r="K277" s="937">
        <v>0.6759</v>
      </c>
      <c r="L277" s="937">
        <v>0.6759</v>
      </c>
      <c r="M277" s="937">
        <v>0.6759</v>
      </c>
    </row>
    <row r="278" spans="1:13">
      <c r="A278" s="934">
        <v>7.2</v>
      </c>
      <c r="B278" s="937">
        <v>0.8385</v>
      </c>
      <c r="C278" s="937">
        <v>0.8385</v>
      </c>
      <c r="D278" s="937">
        <v>0.8179</v>
      </c>
      <c r="E278" s="937">
        <v>0.8179</v>
      </c>
      <c r="F278" s="937">
        <v>0.8179</v>
      </c>
      <c r="G278" s="937">
        <v>0.8179</v>
      </c>
      <c r="H278" s="937">
        <v>0.8179</v>
      </c>
      <c r="I278" s="937">
        <v>0.6746</v>
      </c>
      <c r="J278" s="937">
        <v>0.6746</v>
      </c>
      <c r="K278" s="937">
        <v>0.6746</v>
      </c>
      <c r="L278" s="937">
        <v>0.6746</v>
      </c>
      <c r="M278" s="937">
        <v>0.6746</v>
      </c>
    </row>
    <row r="279" spans="1:13">
      <c r="A279" s="934">
        <v>7.3</v>
      </c>
      <c r="B279" s="937">
        <v>0.8377</v>
      </c>
      <c r="C279" s="937">
        <v>0.8377</v>
      </c>
      <c r="D279" s="937">
        <v>0.8169</v>
      </c>
      <c r="E279" s="937">
        <v>0.8169</v>
      </c>
      <c r="F279" s="937">
        <v>0.8169</v>
      </c>
      <c r="G279" s="937">
        <v>0.8169</v>
      </c>
      <c r="H279" s="937">
        <v>0.8169</v>
      </c>
      <c r="I279" s="937">
        <v>0.6734</v>
      </c>
      <c r="J279" s="937">
        <v>0.6734</v>
      </c>
      <c r="K279" s="937">
        <v>0.6734</v>
      </c>
      <c r="L279" s="937">
        <v>0.6734</v>
      </c>
      <c r="M279" s="937">
        <v>0.6734</v>
      </c>
    </row>
    <row r="280" spans="1:13">
      <c r="A280" s="934">
        <v>7.4</v>
      </c>
      <c r="B280" s="937">
        <v>0.837</v>
      </c>
      <c r="C280" s="937">
        <v>0.837</v>
      </c>
      <c r="D280" s="937">
        <v>0.816</v>
      </c>
      <c r="E280" s="937">
        <v>0.816</v>
      </c>
      <c r="F280" s="937">
        <v>0.816</v>
      </c>
      <c r="G280" s="937">
        <v>0.816</v>
      </c>
      <c r="H280" s="937">
        <v>0.816</v>
      </c>
      <c r="I280" s="937">
        <v>0.6721</v>
      </c>
      <c r="J280" s="937">
        <v>0.6721</v>
      </c>
      <c r="K280" s="937">
        <v>0.6721</v>
      </c>
      <c r="L280" s="937">
        <v>0.6721</v>
      </c>
      <c r="M280" s="937">
        <v>0.6721</v>
      </c>
    </row>
    <row r="281" spans="1:13">
      <c r="A281" s="934">
        <v>7.5</v>
      </c>
      <c r="B281" s="937">
        <v>0.8363</v>
      </c>
      <c r="C281" s="937">
        <v>0.8363</v>
      </c>
      <c r="D281" s="937">
        <v>0.8151</v>
      </c>
      <c r="E281" s="937">
        <v>0.8151</v>
      </c>
      <c r="F281" s="937">
        <v>0.8151</v>
      </c>
      <c r="G281" s="937">
        <v>0.8151</v>
      </c>
      <c r="H281" s="937">
        <v>0.8151</v>
      </c>
      <c r="I281" s="937">
        <v>0.6709</v>
      </c>
      <c r="J281" s="937">
        <v>0.6709</v>
      </c>
      <c r="K281" s="937">
        <v>0.6709</v>
      </c>
      <c r="L281" s="937">
        <v>0.6709</v>
      </c>
      <c r="M281" s="937">
        <v>0.6709</v>
      </c>
    </row>
    <row r="282" spans="1:13">
      <c r="A282" s="934">
        <v>7.6</v>
      </c>
      <c r="B282" s="937">
        <v>0.8356</v>
      </c>
      <c r="C282" s="937">
        <v>0.8356</v>
      </c>
      <c r="D282" s="937">
        <v>0.8142</v>
      </c>
      <c r="E282" s="937">
        <v>0.8142</v>
      </c>
      <c r="F282" s="937">
        <v>0.8142</v>
      </c>
      <c r="G282" s="937">
        <v>0.8142</v>
      </c>
      <c r="H282" s="937">
        <v>0.8142</v>
      </c>
      <c r="I282" s="937">
        <v>0.6698</v>
      </c>
      <c r="J282" s="937">
        <v>0.6698</v>
      </c>
      <c r="K282" s="937">
        <v>0.6698</v>
      </c>
      <c r="L282" s="937">
        <v>0.6698</v>
      </c>
      <c r="M282" s="937">
        <v>0.6698</v>
      </c>
    </row>
    <row r="283" spans="1:13">
      <c r="A283" s="934">
        <v>7.7</v>
      </c>
      <c r="B283" s="937">
        <v>0.8349</v>
      </c>
      <c r="C283" s="937">
        <v>0.8349</v>
      </c>
      <c r="D283" s="937">
        <v>0.8133</v>
      </c>
      <c r="E283" s="937">
        <v>0.8133</v>
      </c>
      <c r="F283" s="937">
        <v>0.8133</v>
      </c>
      <c r="G283" s="937">
        <v>0.8133</v>
      </c>
      <c r="H283" s="937">
        <v>0.8133</v>
      </c>
      <c r="I283" s="937">
        <v>0.6687</v>
      </c>
      <c r="J283" s="937">
        <v>0.6687</v>
      </c>
      <c r="K283" s="937">
        <v>0.6687</v>
      </c>
      <c r="L283" s="937">
        <v>0.6687</v>
      </c>
      <c r="M283" s="937">
        <v>0.6687</v>
      </c>
    </row>
    <row r="284" spans="1:13">
      <c r="A284" s="934">
        <v>7.8</v>
      </c>
      <c r="B284" s="937">
        <v>0.8342</v>
      </c>
      <c r="C284" s="937">
        <v>0.8342</v>
      </c>
      <c r="D284" s="937">
        <v>0.8124</v>
      </c>
      <c r="E284" s="937">
        <v>0.8124</v>
      </c>
      <c r="F284" s="937">
        <v>0.8124</v>
      </c>
      <c r="G284" s="937">
        <v>0.8124</v>
      </c>
      <c r="H284" s="937">
        <v>0.8124</v>
      </c>
      <c r="I284" s="937">
        <v>0.6676</v>
      </c>
      <c r="J284" s="937">
        <v>0.6676</v>
      </c>
      <c r="K284" s="937">
        <v>0.6676</v>
      </c>
      <c r="L284" s="937">
        <v>0.6676</v>
      </c>
      <c r="M284" s="937">
        <v>0.6676</v>
      </c>
    </row>
    <row r="285" spans="1:13">
      <c r="A285" s="934">
        <v>7.9</v>
      </c>
      <c r="B285" s="937">
        <v>0.8335</v>
      </c>
      <c r="C285" s="937">
        <v>0.8335</v>
      </c>
      <c r="D285" s="937">
        <v>0.8116</v>
      </c>
      <c r="E285" s="937">
        <v>0.8116</v>
      </c>
      <c r="F285" s="937">
        <v>0.8116</v>
      </c>
      <c r="G285" s="937">
        <v>0.8116</v>
      </c>
      <c r="H285" s="937">
        <v>0.8116</v>
      </c>
      <c r="I285" s="937">
        <v>0.6665</v>
      </c>
      <c r="J285" s="937">
        <v>0.6665</v>
      </c>
      <c r="K285" s="937">
        <v>0.6665</v>
      </c>
      <c r="L285" s="937">
        <v>0.6665</v>
      </c>
      <c r="M285" s="937">
        <v>0.6665</v>
      </c>
    </row>
    <row r="286" spans="1:13">
      <c r="A286" s="934">
        <v>8</v>
      </c>
      <c r="B286" s="937">
        <v>0.8328</v>
      </c>
      <c r="C286" s="937">
        <v>0.8328</v>
      </c>
      <c r="D286" s="937">
        <v>0.8108</v>
      </c>
      <c r="E286" s="937">
        <v>0.8108</v>
      </c>
      <c r="F286" s="937">
        <v>0.8108</v>
      </c>
      <c r="G286" s="937">
        <v>0.8108</v>
      </c>
      <c r="H286" s="937">
        <v>0.8108</v>
      </c>
      <c r="I286" s="937">
        <v>0.6655</v>
      </c>
      <c r="J286" s="937">
        <v>0.6655</v>
      </c>
      <c r="K286" s="937">
        <v>0.6655</v>
      </c>
      <c r="L286" s="937">
        <v>0.6655</v>
      </c>
      <c r="M286" s="937">
        <v>0.6655</v>
      </c>
    </row>
    <row r="287" spans="1:13">
      <c r="A287" s="934">
        <v>8.1</v>
      </c>
      <c r="B287" s="937">
        <v>0.8322</v>
      </c>
      <c r="C287" s="937">
        <v>0.8322</v>
      </c>
      <c r="D287" s="937">
        <v>0.81</v>
      </c>
      <c r="E287" s="937">
        <v>0.81</v>
      </c>
      <c r="F287" s="937">
        <v>0.81</v>
      </c>
      <c r="G287" s="937">
        <v>0.81</v>
      </c>
      <c r="H287" s="937">
        <v>0.81</v>
      </c>
      <c r="I287" s="937">
        <v>0.6644</v>
      </c>
      <c r="J287" s="937">
        <v>0.6644</v>
      </c>
      <c r="K287" s="937">
        <v>0.6644</v>
      </c>
      <c r="L287" s="937">
        <v>0.6644</v>
      </c>
      <c r="M287" s="937">
        <v>0.6644</v>
      </c>
    </row>
    <row r="288" spans="1:13">
      <c r="A288" s="934">
        <v>8.2</v>
      </c>
      <c r="B288" s="937">
        <v>0.8316</v>
      </c>
      <c r="C288" s="937">
        <v>0.8316</v>
      </c>
      <c r="D288" s="937">
        <v>0.8092</v>
      </c>
      <c r="E288" s="937">
        <v>0.8092</v>
      </c>
      <c r="F288" s="937">
        <v>0.8092</v>
      </c>
      <c r="G288" s="937">
        <v>0.8092</v>
      </c>
      <c r="H288" s="937">
        <v>0.8092</v>
      </c>
      <c r="I288" s="937">
        <v>0.6634</v>
      </c>
      <c r="J288" s="937">
        <v>0.6634</v>
      </c>
      <c r="K288" s="937">
        <v>0.6634</v>
      </c>
      <c r="L288" s="937">
        <v>0.6634</v>
      </c>
      <c r="M288" s="937">
        <v>0.6634</v>
      </c>
    </row>
    <row r="289" spans="1:13">
      <c r="A289" s="934">
        <v>8.3</v>
      </c>
      <c r="B289" s="937">
        <v>0.831</v>
      </c>
      <c r="C289" s="937">
        <v>0.831</v>
      </c>
      <c r="D289" s="937">
        <v>0.8084</v>
      </c>
      <c r="E289" s="937">
        <v>0.8084</v>
      </c>
      <c r="F289" s="937">
        <v>0.8084</v>
      </c>
      <c r="G289" s="937">
        <v>0.8084</v>
      </c>
      <c r="H289" s="937">
        <v>0.8084</v>
      </c>
      <c r="I289" s="937">
        <v>0.6624</v>
      </c>
      <c r="J289" s="937">
        <v>0.6624</v>
      </c>
      <c r="K289" s="937">
        <v>0.6624</v>
      </c>
      <c r="L289" s="937">
        <v>0.6624</v>
      </c>
      <c r="M289" s="937">
        <v>0.6624</v>
      </c>
    </row>
    <row r="290" spans="1:13">
      <c r="A290" s="934">
        <v>8.4</v>
      </c>
      <c r="B290" s="937">
        <v>0.8304</v>
      </c>
      <c r="C290" s="937">
        <v>0.8304</v>
      </c>
      <c r="D290" s="937">
        <v>0.8076</v>
      </c>
      <c r="E290" s="937">
        <v>0.8076</v>
      </c>
      <c r="F290" s="937">
        <v>0.8076</v>
      </c>
      <c r="G290" s="937">
        <v>0.8076</v>
      </c>
      <c r="H290" s="937">
        <v>0.8076</v>
      </c>
      <c r="I290" s="937">
        <v>0.6614</v>
      </c>
      <c r="J290" s="937">
        <v>0.6614</v>
      </c>
      <c r="K290" s="937">
        <v>0.6614</v>
      </c>
      <c r="L290" s="937">
        <v>0.6614</v>
      </c>
      <c r="M290" s="937">
        <v>0.6614</v>
      </c>
    </row>
    <row r="291" spans="1:13">
      <c r="A291" s="934">
        <v>8.5</v>
      </c>
      <c r="B291" s="937">
        <v>0.8298</v>
      </c>
      <c r="C291" s="937">
        <v>0.8298</v>
      </c>
      <c r="D291" s="937">
        <v>0.8068</v>
      </c>
      <c r="E291" s="937">
        <v>0.8068</v>
      </c>
      <c r="F291" s="937">
        <v>0.8068</v>
      </c>
      <c r="G291" s="937">
        <v>0.8068</v>
      </c>
      <c r="H291" s="937">
        <v>0.8068</v>
      </c>
      <c r="I291" s="937">
        <v>0.6605</v>
      </c>
      <c r="J291" s="937">
        <v>0.6605</v>
      </c>
      <c r="K291" s="937">
        <v>0.6605</v>
      </c>
      <c r="L291" s="937">
        <v>0.6605</v>
      </c>
      <c r="M291" s="937">
        <v>0.6605</v>
      </c>
    </row>
    <row r="292" spans="1:13">
      <c r="A292" s="934">
        <v>8.6</v>
      </c>
      <c r="B292" s="937">
        <v>0.8292</v>
      </c>
      <c r="C292" s="937">
        <v>0.8292</v>
      </c>
      <c r="D292" s="937">
        <v>0.806</v>
      </c>
      <c r="E292" s="937">
        <v>0.806</v>
      </c>
      <c r="F292" s="937">
        <v>0.806</v>
      </c>
      <c r="G292" s="937">
        <v>0.806</v>
      </c>
      <c r="H292" s="937">
        <v>0.806</v>
      </c>
      <c r="I292" s="937">
        <v>0.6595</v>
      </c>
      <c r="J292" s="937">
        <v>0.6595</v>
      </c>
      <c r="K292" s="937">
        <v>0.6595</v>
      </c>
      <c r="L292" s="937">
        <v>0.6595</v>
      </c>
      <c r="M292" s="937">
        <v>0.6595</v>
      </c>
    </row>
    <row r="293" spans="1:13">
      <c r="A293" s="934">
        <v>8.7</v>
      </c>
      <c r="B293" s="937">
        <v>0.8286</v>
      </c>
      <c r="C293" s="937">
        <v>0.8286</v>
      </c>
      <c r="D293" s="937">
        <v>0.8052</v>
      </c>
      <c r="E293" s="937">
        <v>0.8052</v>
      </c>
      <c r="F293" s="937">
        <v>0.8052</v>
      </c>
      <c r="G293" s="937">
        <v>0.8052</v>
      </c>
      <c r="H293" s="937">
        <v>0.8052</v>
      </c>
      <c r="I293" s="937">
        <v>0.6586</v>
      </c>
      <c r="J293" s="937">
        <v>0.6586</v>
      </c>
      <c r="K293" s="937">
        <v>0.6586</v>
      </c>
      <c r="L293" s="937">
        <v>0.6586</v>
      </c>
      <c r="M293" s="937">
        <v>0.6586</v>
      </c>
    </row>
    <row r="294" spans="1:13">
      <c r="A294" s="934">
        <v>8.8</v>
      </c>
      <c r="B294" s="937">
        <v>0.828</v>
      </c>
      <c r="C294" s="937">
        <v>0.828</v>
      </c>
      <c r="D294" s="937">
        <v>0.8044</v>
      </c>
      <c r="E294" s="937">
        <v>0.8044</v>
      </c>
      <c r="F294" s="937">
        <v>0.8044</v>
      </c>
      <c r="G294" s="937">
        <v>0.8044</v>
      </c>
      <c r="H294" s="937">
        <v>0.8044</v>
      </c>
      <c r="I294" s="937">
        <v>0.6576</v>
      </c>
      <c r="J294" s="937">
        <v>0.6576</v>
      </c>
      <c r="K294" s="937">
        <v>0.6576</v>
      </c>
      <c r="L294" s="937">
        <v>0.6576</v>
      </c>
      <c r="M294" s="937">
        <v>0.6576</v>
      </c>
    </row>
    <row r="295" spans="1:13">
      <c r="A295" s="934">
        <v>8.9</v>
      </c>
      <c r="B295" s="937">
        <v>0.8274</v>
      </c>
      <c r="C295" s="937">
        <v>0.8274</v>
      </c>
      <c r="D295" s="937">
        <v>0.8036</v>
      </c>
      <c r="E295" s="937">
        <v>0.8036</v>
      </c>
      <c r="F295" s="937">
        <v>0.8036</v>
      </c>
      <c r="G295" s="937">
        <v>0.8036</v>
      </c>
      <c r="H295" s="937">
        <v>0.8036</v>
      </c>
      <c r="I295" s="937">
        <v>0.6567</v>
      </c>
      <c r="J295" s="937">
        <v>0.6567</v>
      </c>
      <c r="K295" s="937">
        <v>0.6567</v>
      </c>
      <c r="L295" s="937">
        <v>0.6567</v>
      </c>
      <c r="M295" s="937">
        <v>0.6567</v>
      </c>
    </row>
    <row r="296" spans="1:13">
      <c r="A296" s="938">
        <v>9</v>
      </c>
      <c r="B296" s="937">
        <v>0.8268</v>
      </c>
      <c r="C296" s="937">
        <v>0.8268</v>
      </c>
      <c r="D296" s="937">
        <v>0.8028</v>
      </c>
      <c r="E296" s="937">
        <v>0.8028</v>
      </c>
      <c r="F296" s="937">
        <v>0.8028</v>
      </c>
      <c r="G296" s="937">
        <v>0.8028</v>
      </c>
      <c r="H296" s="937">
        <v>0.8028</v>
      </c>
      <c r="I296" s="937">
        <v>0.6557</v>
      </c>
      <c r="J296" s="937">
        <v>0.6557</v>
      </c>
      <c r="K296" s="937">
        <v>0.6557</v>
      </c>
      <c r="L296" s="937">
        <v>0.6557</v>
      </c>
      <c r="M296" s="937">
        <v>0.6557</v>
      </c>
    </row>
    <row r="297" spans="1:13">
      <c r="A297" s="938">
        <v>9.1</v>
      </c>
      <c r="B297" s="937">
        <v>0.8262</v>
      </c>
      <c r="C297" s="937">
        <v>0.8262</v>
      </c>
      <c r="D297" s="937">
        <v>0.802</v>
      </c>
      <c r="E297" s="937">
        <v>0.802</v>
      </c>
      <c r="F297" s="937">
        <v>0.802</v>
      </c>
      <c r="G297" s="937">
        <v>0.802</v>
      </c>
      <c r="H297" s="937">
        <v>0.802</v>
      </c>
      <c r="I297" s="937">
        <v>0.6548</v>
      </c>
      <c r="J297" s="937">
        <v>0.6548</v>
      </c>
      <c r="K297" s="937">
        <v>0.6548</v>
      </c>
      <c r="L297" s="937">
        <v>0.6548</v>
      </c>
      <c r="M297" s="937">
        <v>0.6548</v>
      </c>
    </row>
    <row r="298" spans="1:13">
      <c r="A298" s="938">
        <v>9.2</v>
      </c>
      <c r="B298" s="937">
        <v>0.8256</v>
      </c>
      <c r="C298" s="937">
        <v>0.8256</v>
      </c>
      <c r="D298" s="937">
        <v>0.8012</v>
      </c>
      <c r="E298" s="937">
        <v>0.8012</v>
      </c>
      <c r="F298" s="937">
        <v>0.8012</v>
      </c>
      <c r="G298" s="937">
        <v>0.8012</v>
      </c>
      <c r="H298" s="937">
        <v>0.8012</v>
      </c>
      <c r="I298" s="937">
        <v>0.6538</v>
      </c>
      <c r="J298" s="937">
        <v>0.6538</v>
      </c>
      <c r="K298" s="937">
        <v>0.6538</v>
      </c>
      <c r="L298" s="937">
        <v>0.6538</v>
      </c>
      <c r="M298" s="937">
        <v>0.6538</v>
      </c>
    </row>
    <row r="299" spans="1:13">
      <c r="A299" s="938">
        <v>9.3</v>
      </c>
      <c r="B299" s="937">
        <v>0.825</v>
      </c>
      <c r="C299" s="937">
        <v>0.825</v>
      </c>
      <c r="D299" s="937">
        <v>0.8004</v>
      </c>
      <c r="E299" s="937">
        <v>0.8004</v>
      </c>
      <c r="F299" s="937">
        <v>0.8004</v>
      </c>
      <c r="G299" s="937">
        <v>0.8004</v>
      </c>
      <c r="H299" s="937">
        <v>0.8004</v>
      </c>
      <c r="I299" s="937">
        <v>0.6529</v>
      </c>
      <c r="J299" s="937">
        <v>0.6529</v>
      </c>
      <c r="K299" s="937">
        <v>0.6529</v>
      </c>
      <c r="L299" s="937">
        <v>0.6529</v>
      </c>
      <c r="M299" s="937">
        <v>0.6529</v>
      </c>
    </row>
    <row r="300" spans="1:13">
      <c r="A300" s="938">
        <v>9.4</v>
      </c>
      <c r="B300" s="937">
        <v>0.8244</v>
      </c>
      <c r="C300" s="937">
        <v>0.8244</v>
      </c>
      <c r="D300" s="937">
        <v>0.7996</v>
      </c>
      <c r="E300" s="937">
        <v>0.7996</v>
      </c>
      <c r="F300" s="937">
        <v>0.7996</v>
      </c>
      <c r="G300" s="937">
        <v>0.7996</v>
      </c>
      <c r="H300" s="937">
        <v>0.7996</v>
      </c>
      <c r="I300" s="937">
        <v>0.6519</v>
      </c>
      <c r="J300" s="937">
        <v>0.6519</v>
      </c>
      <c r="K300" s="937">
        <v>0.6519</v>
      </c>
      <c r="L300" s="937">
        <v>0.6519</v>
      </c>
      <c r="M300" s="937">
        <v>0.6519</v>
      </c>
    </row>
    <row r="301" spans="1:13">
      <c r="A301" s="938">
        <v>9.5</v>
      </c>
      <c r="B301" s="937">
        <v>0.8238</v>
      </c>
      <c r="C301" s="937">
        <v>0.8238</v>
      </c>
      <c r="D301" s="937">
        <v>0.7988</v>
      </c>
      <c r="E301" s="937">
        <v>0.7988</v>
      </c>
      <c r="F301" s="937">
        <v>0.7988</v>
      </c>
      <c r="G301" s="937">
        <v>0.7988</v>
      </c>
      <c r="H301" s="937">
        <v>0.7988</v>
      </c>
      <c r="I301" s="937">
        <v>0.651</v>
      </c>
      <c r="J301" s="937">
        <v>0.651</v>
      </c>
      <c r="K301" s="937">
        <v>0.651</v>
      </c>
      <c r="L301" s="937">
        <v>0.651</v>
      </c>
      <c r="M301" s="937">
        <v>0.651</v>
      </c>
    </row>
    <row r="302" spans="1:13">
      <c r="A302" s="938">
        <v>9.6</v>
      </c>
      <c r="B302" s="937">
        <v>0.8232</v>
      </c>
      <c r="C302" s="937">
        <v>0.8232</v>
      </c>
      <c r="D302" s="937">
        <v>0.798</v>
      </c>
      <c r="E302" s="937">
        <v>0.798</v>
      </c>
      <c r="F302" s="937">
        <v>0.798</v>
      </c>
      <c r="G302" s="937">
        <v>0.798</v>
      </c>
      <c r="H302" s="937">
        <v>0.798</v>
      </c>
      <c r="I302" s="937">
        <v>0.65</v>
      </c>
      <c r="J302" s="937">
        <v>0.65</v>
      </c>
      <c r="K302" s="937">
        <v>0.65</v>
      </c>
      <c r="L302" s="937">
        <v>0.65</v>
      </c>
      <c r="M302" s="937">
        <v>0.65</v>
      </c>
    </row>
    <row r="303" spans="1:13">
      <c r="A303" s="938">
        <v>9.7</v>
      </c>
      <c r="B303" s="937">
        <v>0.8226</v>
      </c>
      <c r="C303" s="937">
        <v>0.8226</v>
      </c>
      <c r="D303" s="937">
        <v>0.7972</v>
      </c>
      <c r="E303" s="937">
        <v>0.7972</v>
      </c>
      <c r="F303" s="937">
        <v>0.7972</v>
      </c>
      <c r="G303" s="937">
        <v>0.7972</v>
      </c>
      <c r="H303" s="937">
        <v>0.7972</v>
      </c>
      <c r="I303" s="937">
        <v>0.649</v>
      </c>
      <c r="J303" s="937">
        <v>0.649</v>
      </c>
      <c r="K303" s="937">
        <v>0.649</v>
      </c>
      <c r="L303" s="937">
        <v>0.649</v>
      </c>
      <c r="M303" s="937">
        <v>0.649</v>
      </c>
    </row>
    <row r="304" spans="1:13">
      <c r="A304" s="938">
        <v>9.8</v>
      </c>
      <c r="B304" s="937">
        <v>0.822</v>
      </c>
      <c r="C304" s="937">
        <v>0.822</v>
      </c>
      <c r="D304" s="937">
        <v>0.7964</v>
      </c>
      <c r="E304" s="937">
        <v>0.7964</v>
      </c>
      <c r="F304" s="937">
        <v>0.7964</v>
      </c>
      <c r="G304" s="937">
        <v>0.7964</v>
      </c>
      <c r="H304" s="937">
        <v>0.7964</v>
      </c>
      <c r="I304" s="937">
        <v>0.6481</v>
      </c>
      <c r="J304" s="937">
        <v>0.6481</v>
      </c>
      <c r="K304" s="937">
        <v>0.6481</v>
      </c>
      <c r="L304" s="937">
        <v>0.6481</v>
      </c>
      <c r="M304" s="937">
        <v>0.6481</v>
      </c>
    </row>
    <row r="305" spans="1:13">
      <c r="A305" s="938">
        <v>9.9</v>
      </c>
      <c r="B305" s="937">
        <v>0.8214</v>
      </c>
      <c r="C305" s="937">
        <v>0.8214</v>
      </c>
      <c r="D305" s="937">
        <v>0.7956</v>
      </c>
      <c r="E305" s="937">
        <v>0.7956</v>
      </c>
      <c r="F305" s="937">
        <v>0.7956</v>
      </c>
      <c r="G305" s="937">
        <v>0.7956</v>
      </c>
      <c r="H305" s="937">
        <v>0.7956</v>
      </c>
      <c r="I305" s="937">
        <v>0.6471</v>
      </c>
      <c r="J305" s="937">
        <v>0.6471</v>
      </c>
      <c r="K305" s="937">
        <v>0.6471</v>
      </c>
      <c r="L305" s="937">
        <v>0.6471</v>
      </c>
      <c r="M305" s="937">
        <v>0.6471</v>
      </c>
    </row>
    <row r="306" spans="1:13">
      <c r="A306" s="938">
        <v>10</v>
      </c>
      <c r="B306" s="937">
        <v>0.8208</v>
      </c>
      <c r="C306" s="937">
        <v>0.8208</v>
      </c>
      <c r="D306" s="937">
        <v>0.7948</v>
      </c>
      <c r="E306" s="937">
        <v>0.7948</v>
      </c>
      <c r="F306" s="937">
        <v>0.7948</v>
      </c>
      <c r="G306" s="937">
        <v>0.7948</v>
      </c>
      <c r="H306" s="937">
        <v>0.7948</v>
      </c>
      <c r="I306" s="937">
        <v>0.6462</v>
      </c>
      <c r="J306" s="937">
        <v>0.6462</v>
      </c>
      <c r="K306" s="937">
        <v>0.6462</v>
      </c>
      <c r="L306" s="937">
        <v>0.6462</v>
      </c>
      <c r="M306" s="937">
        <v>0.6462</v>
      </c>
    </row>
    <row r="307" ht="15.6" spans="1:13">
      <c r="A307" s="932" t="s">
        <v>2042</v>
      </c>
      <c r="B307" s="933"/>
      <c r="C307" s="933"/>
      <c r="D307" s="933"/>
      <c r="E307" s="933"/>
      <c r="F307" s="933"/>
      <c r="G307" s="933"/>
      <c r="H307" s="933"/>
      <c r="I307" s="933"/>
      <c r="J307" s="933"/>
      <c r="K307" s="933"/>
      <c r="L307" s="933"/>
      <c r="M307" s="933"/>
    </row>
    <row r="308" spans="1:13">
      <c r="A308" s="934" t="s">
        <v>2039</v>
      </c>
      <c r="B308" s="935" t="s">
        <v>230</v>
      </c>
      <c r="C308" s="935" t="s">
        <v>241</v>
      </c>
      <c r="D308" s="935" t="s">
        <v>251</v>
      </c>
      <c r="E308" s="935" t="s">
        <v>259</v>
      </c>
      <c r="F308" s="935" t="s">
        <v>267</v>
      </c>
      <c r="G308" s="935" t="s">
        <v>273</v>
      </c>
      <c r="H308" s="936" t="s">
        <v>278</v>
      </c>
      <c r="I308" s="936" t="s">
        <v>283</v>
      </c>
      <c r="J308" s="939" t="s">
        <v>286</v>
      </c>
      <c r="K308" s="939" t="s">
        <v>289</v>
      </c>
      <c r="L308" s="939" t="s">
        <v>292</v>
      </c>
      <c r="M308" s="939" t="s">
        <v>295</v>
      </c>
    </row>
    <row r="309" spans="1:13">
      <c r="A309" s="934">
        <v>0.1</v>
      </c>
      <c r="B309" s="937">
        <v>11.506</v>
      </c>
      <c r="C309" s="937">
        <v>11.506</v>
      </c>
      <c r="D309" s="937">
        <v>12.015</v>
      </c>
      <c r="E309" s="937">
        <v>12.015</v>
      </c>
      <c r="F309" s="937">
        <v>12.015</v>
      </c>
      <c r="G309" s="937">
        <v>11.118</v>
      </c>
      <c r="H309" s="937">
        <v>11.118</v>
      </c>
      <c r="I309" s="937">
        <v>10</v>
      </c>
      <c r="J309" s="937">
        <v>10</v>
      </c>
      <c r="K309" s="937">
        <v>10</v>
      </c>
      <c r="L309" s="937">
        <v>10</v>
      </c>
      <c r="M309" s="937">
        <v>10</v>
      </c>
    </row>
    <row r="310" spans="1:13">
      <c r="A310" s="934">
        <v>0.2</v>
      </c>
      <c r="B310" s="937">
        <v>5.753</v>
      </c>
      <c r="C310" s="937">
        <v>5.753</v>
      </c>
      <c r="D310" s="937">
        <v>6.0075</v>
      </c>
      <c r="E310" s="937">
        <v>6.0075</v>
      </c>
      <c r="F310" s="937">
        <v>6.0075</v>
      </c>
      <c r="G310" s="937">
        <v>5.559</v>
      </c>
      <c r="H310" s="937">
        <v>5.559</v>
      </c>
      <c r="I310" s="937">
        <v>5</v>
      </c>
      <c r="J310" s="937">
        <v>5</v>
      </c>
      <c r="K310" s="937">
        <v>5</v>
      </c>
      <c r="L310" s="937">
        <v>5</v>
      </c>
      <c r="M310" s="937">
        <v>5</v>
      </c>
    </row>
    <row r="311" spans="1:13">
      <c r="A311" s="934">
        <v>0.3</v>
      </c>
      <c r="B311" s="937">
        <v>3.8353</v>
      </c>
      <c r="C311" s="937">
        <v>3.8353</v>
      </c>
      <c r="D311" s="937">
        <v>4.005</v>
      </c>
      <c r="E311" s="937">
        <v>4.005</v>
      </c>
      <c r="F311" s="937">
        <v>4.005</v>
      </c>
      <c r="G311" s="937">
        <v>3.706</v>
      </c>
      <c r="H311" s="937">
        <v>3.706</v>
      </c>
      <c r="I311" s="937">
        <v>3.3333</v>
      </c>
      <c r="J311" s="937">
        <v>3.3333</v>
      </c>
      <c r="K311" s="937">
        <v>3.3333</v>
      </c>
      <c r="L311" s="937">
        <v>3.3333</v>
      </c>
      <c r="M311" s="937">
        <v>3.3333</v>
      </c>
    </row>
    <row r="312" spans="1:13">
      <c r="A312" s="934">
        <v>0.4</v>
      </c>
      <c r="B312" s="937">
        <v>2.8765</v>
      </c>
      <c r="C312" s="937">
        <v>2.8765</v>
      </c>
      <c r="D312" s="937">
        <v>3.0038</v>
      </c>
      <c r="E312" s="937">
        <v>3.0038</v>
      </c>
      <c r="F312" s="937">
        <v>3.0038</v>
      </c>
      <c r="G312" s="937">
        <v>2.7795</v>
      </c>
      <c r="H312" s="937">
        <v>2.7795</v>
      </c>
      <c r="I312" s="937">
        <v>2.5</v>
      </c>
      <c r="J312" s="937">
        <v>2.5</v>
      </c>
      <c r="K312" s="937">
        <v>2.5</v>
      </c>
      <c r="L312" s="937">
        <v>2.5</v>
      </c>
      <c r="M312" s="937">
        <v>2.5</v>
      </c>
    </row>
    <row r="313" spans="1:13">
      <c r="A313" s="934">
        <v>0.5</v>
      </c>
      <c r="B313" s="937">
        <v>2.3012</v>
      </c>
      <c r="C313" s="937">
        <v>2.3012</v>
      </c>
      <c r="D313" s="937">
        <v>2.403</v>
      </c>
      <c r="E313" s="937">
        <v>2.403</v>
      </c>
      <c r="F313" s="937">
        <v>2.403</v>
      </c>
      <c r="G313" s="937">
        <v>2.2236</v>
      </c>
      <c r="H313" s="937">
        <v>2.2236</v>
      </c>
      <c r="I313" s="937">
        <v>2</v>
      </c>
      <c r="J313" s="937">
        <v>2</v>
      </c>
      <c r="K313" s="937">
        <v>2</v>
      </c>
      <c r="L313" s="937">
        <v>2</v>
      </c>
      <c r="M313" s="937">
        <v>2</v>
      </c>
    </row>
    <row r="314" spans="1:13">
      <c r="A314" s="934">
        <v>0.6</v>
      </c>
      <c r="B314" s="937">
        <v>1.9177</v>
      </c>
      <c r="C314" s="937">
        <v>1.9177</v>
      </c>
      <c r="D314" s="937">
        <v>2.0025</v>
      </c>
      <c r="E314" s="937">
        <v>2.0025</v>
      </c>
      <c r="F314" s="937">
        <v>2.0025</v>
      </c>
      <c r="G314" s="937">
        <v>1.853</v>
      </c>
      <c r="H314" s="937">
        <v>1.853</v>
      </c>
      <c r="I314" s="937">
        <v>1.6667</v>
      </c>
      <c r="J314" s="937">
        <v>1.6667</v>
      </c>
      <c r="K314" s="937">
        <v>1.6667</v>
      </c>
      <c r="L314" s="937">
        <v>1.6667</v>
      </c>
      <c r="M314" s="937">
        <v>1.6667</v>
      </c>
    </row>
    <row r="315" spans="1:13">
      <c r="A315" s="934">
        <v>0.7</v>
      </c>
      <c r="B315" s="937">
        <v>1.6437</v>
      </c>
      <c r="C315" s="937">
        <v>1.6437</v>
      </c>
      <c r="D315" s="937">
        <v>1.7164</v>
      </c>
      <c r="E315" s="937">
        <v>1.7164</v>
      </c>
      <c r="F315" s="937">
        <v>1.7164</v>
      </c>
      <c r="G315" s="937">
        <v>1.5883</v>
      </c>
      <c r="H315" s="937">
        <v>1.5883</v>
      </c>
      <c r="I315" s="937">
        <v>1.4286</v>
      </c>
      <c r="J315" s="937">
        <v>1.4286</v>
      </c>
      <c r="K315" s="937">
        <v>1.4286</v>
      </c>
      <c r="L315" s="937">
        <v>1.4286</v>
      </c>
      <c r="M315" s="937">
        <v>1.4286</v>
      </c>
    </row>
    <row r="316" spans="1:13">
      <c r="A316" s="934">
        <v>0.8</v>
      </c>
      <c r="B316" s="937">
        <v>1.4383</v>
      </c>
      <c r="C316" s="937">
        <v>1.4383</v>
      </c>
      <c r="D316" s="937">
        <v>1.5019</v>
      </c>
      <c r="E316" s="937">
        <v>1.5019</v>
      </c>
      <c r="F316" s="937">
        <v>1.5019</v>
      </c>
      <c r="G316" s="937">
        <v>1.3898</v>
      </c>
      <c r="H316" s="937">
        <v>1.3898</v>
      </c>
      <c r="I316" s="937">
        <v>1.25</v>
      </c>
      <c r="J316" s="937">
        <v>1.25</v>
      </c>
      <c r="K316" s="937">
        <v>1.25</v>
      </c>
      <c r="L316" s="937">
        <v>1.25</v>
      </c>
      <c r="M316" s="937">
        <v>1.25</v>
      </c>
    </row>
    <row r="317" spans="1:13">
      <c r="A317" s="934">
        <v>0.9</v>
      </c>
      <c r="B317" s="937">
        <v>1.2784</v>
      </c>
      <c r="C317" s="937">
        <v>1.2784</v>
      </c>
      <c r="D317" s="937">
        <v>1.335</v>
      </c>
      <c r="E317" s="937">
        <v>1.335</v>
      </c>
      <c r="F317" s="937">
        <v>1.335</v>
      </c>
      <c r="G317" s="937">
        <v>1.2353</v>
      </c>
      <c r="H317" s="937">
        <v>1.2353</v>
      </c>
      <c r="I317" s="937">
        <v>1.1111</v>
      </c>
      <c r="J317" s="937">
        <v>1.1111</v>
      </c>
      <c r="K317" s="937">
        <v>1.1111</v>
      </c>
      <c r="L317" s="937">
        <v>1.1111</v>
      </c>
      <c r="M317" s="937">
        <v>1.1111</v>
      </c>
    </row>
    <row r="318" spans="1:13">
      <c r="A318" s="934">
        <v>1</v>
      </c>
      <c r="B318" s="937">
        <v>1.1506</v>
      </c>
      <c r="C318" s="937">
        <v>1.1506</v>
      </c>
      <c r="D318" s="937">
        <v>1.2015</v>
      </c>
      <c r="E318" s="937">
        <v>1.2015</v>
      </c>
      <c r="F318" s="937">
        <v>1.2015</v>
      </c>
      <c r="G318" s="937">
        <v>1.1118</v>
      </c>
      <c r="H318" s="937">
        <v>1.1118</v>
      </c>
      <c r="I318" s="937">
        <v>1</v>
      </c>
      <c r="J318" s="937">
        <v>1</v>
      </c>
      <c r="K318" s="937">
        <v>1</v>
      </c>
      <c r="L318" s="937">
        <v>1</v>
      </c>
      <c r="M318" s="937">
        <v>1</v>
      </c>
    </row>
    <row r="319" spans="1:13">
      <c r="A319" s="934">
        <v>1.1</v>
      </c>
      <c r="B319" s="937">
        <v>1.1159</v>
      </c>
      <c r="C319" s="937">
        <v>1.1159</v>
      </c>
      <c r="D319" s="937">
        <v>1.1441</v>
      </c>
      <c r="E319" s="937">
        <v>1.1441</v>
      </c>
      <c r="F319" s="937">
        <v>1.1441</v>
      </c>
      <c r="G319" s="937">
        <v>1.0493</v>
      </c>
      <c r="H319" s="937">
        <v>1.0493</v>
      </c>
      <c r="I319" s="937">
        <v>0.9373</v>
      </c>
      <c r="J319" s="937">
        <v>0.9373</v>
      </c>
      <c r="K319" s="937">
        <v>0.9373</v>
      </c>
      <c r="L319" s="937">
        <v>0.9373</v>
      </c>
      <c r="M319" s="937">
        <v>0.9373</v>
      </c>
    </row>
    <row r="320" spans="1:13">
      <c r="A320" s="934">
        <v>1.2</v>
      </c>
      <c r="B320" s="937">
        <v>1.0837</v>
      </c>
      <c r="C320" s="937">
        <v>1.0837</v>
      </c>
      <c r="D320" s="937">
        <v>1.0973</v>
      </c>
      <c r="E320" s="937">
        <v>1.0973</v>
      </c>
      <c r="F320" s="937">
        <v>1.0973</v>
      </c>
      <c r="G320" s="937">
        <v>1</v>
      </c>
      <c r="H320" s="937">
        <v>1</v>
      </c>
      <c r="I320" s="937">
        <v>0.8889</v>
      </c>
      <c r="J320" s="937">
        <v>0.8889</v>
      </c>
      <c r="K320" s="937">
        <v>0.8889</v>
      </c>
      <c r="L320" s="937">
        <v>0.8889</v>
      </c>
      <c r="M320" s="937">
        <v>0.8889</v>
      </c>
    </row>
    <row r="321" spans="1:13">
      <c r="A321" s="934">
        <v>1.3</v>
      </c>
      <c r="B321" s="937">
        <v>1.0538</v>
      </c>
      <c r="C321" s="937">
        <v>1.0538</v>
      </c>
      <c r="D321" s="937">
        <v>1.059</v>
      </c>
      <c r="E321" s="937">
        <v>1.059</v>
      </c>
      <c r="F321" s="937">
        <v>1.059</v>
      </c>
      <c r="G321" s="937">
        <v>0.9614</v>
      </c>
      <c r="H321" s="937">
        <v>0.9614</v>
      </c>
      <c r="I321" s="937">
        <v>0.8521</v>
      </c>
      <c r="J321" s="937">
        <v>0.8521</v>
      </c>
      <c r="K321" s="937">
        <v>0.8521</v>
      </c>
      <c r="L321" s="937">
        <v>0.8521</v>
      </c>
      <c r="M321" s="937">
        <v>0.8521</v>
      </c>
    </row>
    <row r="322" spans="1:13">
      <c r="A322" s="934">
        <v>1.4</v>
      </c>
      <c r="B322" s="937">
        <v>1.026</v>
      </c>
      <c r="C322" s="937">
        <v>1.026</v>
      </c>
      <c r="D322" s="937">
        <v>1.0272</v>
      </c>
      <c r="E322" s="937">
        <v>1.0272</v>
      </c>
      <c r="F322" s="937">
        <v>1.0272</v>
      </c>
      <c r="G322" s="937">
        <v>0.9308</v>
      </c>
      <c r="H322" s="937">
        <v>0.9308</v>
      </c>
      <c r="I322" s="937">
        <v>0.8238</v>
      </c>
      <c r="J322" s="937">
        <v>0.8238</v>
      </c>
      <c r="K322" s="937">
        <v>0.8238</v>
      </c>
      <c r="L322" s="937">
        <v>0.8238</v>
      </c>
      <c r="M322" s="937">
        <v>0.8238</v>
      </c>
    </row>
    <row r="323" spans="1:13">
      <c r="A323" s="934">
        <v>1.5</v>
      </c>
      <c r="B323" s="937">
        <v>1</v>
      </c>
      <c r="C323" s="937">
        <v>1</v>
      </c>
      <c r="D323" s="937">
        <v>1</v>
      </c>
      <c r="E323" s="937">
        <v>1</v>
      </c>
      <c r="F323" s="937">
        <v>1</v>
      </c>
      <c r="G323" s="937">
        <v>0.9056</v>
      </c>
      <c r="H323" s="937">
        <v>0.9056</v>
      </c>
      <c r="I323" s="937">
        <v>0.8011</v>
      </c>
      <c r="J323" s="937">
        <v>0.8011</v>
      </c>
      <c r="K323" s="937">
        <v>0.8011</v>
      </c>
      <c r="L323" s="937">
        <v>0.8011</v>
      </c>
      <c r="M323" s="937">
        <v>0.8011</v>
      </c>
    </row>
    <row r="324" spans="1:13">
      <c r="A324" s="934">
        <v>1.6</v>
      </c>
      <c r="B324" s="937">
        <v>0.9757</v>
      </c>
      <c r="C324" s="937">
        <v>0.9757</v>
      </c>
      <c r="D324" s="937">
        <v>0.9752</v>
      </c>
      <c r="E324" s="937">
        <v>0.9752</v>
      </c>
      <c r="F324" s="937">
        <v>0.9752</v>
      </c>
      <c r="G324" s="937">
        <v>0.8831</v>
      </c>
      <c r="H324" s="937">
        <v>0.8831</v>
      </c>
      <c r="I324" s="937">
        <v>0.781</v>
      </c>
      <c r="J324" s="937">
        <v>0.781</v>
      </c>
      <c r="K324" s="937">
        <v>0.781</v>
      </c>
      <c r="L324" s="937">
        <v>0.781</v>
      </c>
      <c r="M324" s="937">
        <v>0.781</v>
      </c>
    </row>
    <row r="325" spans="1:13">
      <c r="A325" s="934">
        <v>1.7</v>
      </c>
      <c r="B325" s="937">
        <v>0.9529</v>
      </c>
      <c r="C325" s="937">
        <v>0.9529</v>
      </c>
      <c r="D325" s="937">
        <v>0.9519</v>
      </c>
      <c r="E325" s="937">
        <v>0.9519</v>
      </c>
      <c r="F325" s="937">
        <v>0.9519</v>
      </c>
      <c r="G325" s="937">
        <v>0.8618</v>
      </c>
      <c r="H325" s="937">
        <v>0.8618</v>
      </c>
      <c r="I325" s="937">
        <v>0.7621</v>
      </c>
      <c r="J325" s="937">
        <v>0.7621</v>
      </c>
      <c r="K325" s="937">
        <v>0.7621</v>
      </c>
      <c r="L325" s="937">
        <v>0.7621</v>
      </c>
      <c r="M325" s="937">
        <v>0.7621</v>
      </c>
    </row>
    <row r="326" spans="1:13">
      <c r="A326" s="934">
        <v>1.8</v>
      </c>
      <c r="B326" s="937">
        <v>0.9315</v>
      </c>
      <c r="C326" s="937">
        <v>0.9315</v>
      </c>
      <c r="D326" s="937">
        <v>0.93</v>
      </c>
      <c r="E326" s="937">
        <v>0.93</v>
      </c>
      <c r="F326" s="937">
        <v>0.93</v>
      </c>
      <c r="G326" s="937">
        <v>0.8418</v>
      </c>
      <c r="H326" s="937">
        <v>0.8418</v>
      </c>
      <c r="I326" s="937">
        <v>0.7442</v>
      </c>
      <c r="J326" s="937">
        <v>0.7442</v>
      </c>
      <c r="K326" s="937">
        <v>0.7442</v>
      </c>
      <c r="L326" s="937">
        <v>0.7442</v>
      </c>
      <c r="M326" s="937">
        <v>0.7442</v>
      </c>
    </row>
    <row r="327" spans="1:13">
      <c r="A327" s="934">
        <v>1.9</v>
      </c>
      <c r="B327" s="937">
        <v>0.9114</v>
      </c>
      <c r="C327" s="937">
        <v>0.9114</v>
      </c>
      <c r="D327" s="937">
        <v>0.9094</v>
      </c>
      <c r="E327" s="937">
        <v>0.9094</v>
      </c>
      <c r="F327" s="937">
        <v>0.9094</v>
      </c>
      <c r="G327" s="937">
        <v>0.8229</v>
      </c>
      <c r="H327" s="937">
        <v>0.8229</v>
      </c>
      <c r="I327" s="937">
        <v>0.7274</v>
      </c>
      <c r="J327" s="937">
        <v>0.7274</v>
      </c>
      <c r="K327" s="937">
        <v>0.7274</v>
      </c>
      <c r="L327" s="937">
        <v>0.7274</v>
      </c>
      <c r="M327" s="937">
        <v>0.7274</v>
      </c>
    </row>
    <row r="328" spans="1:13">
      <c r="A328" s="934">
        <v>2</v>
      </c>
      <c r="B328" s="937">
        <v>0.8927</v>
      </c>
      <c r="C328" s="937">
        <v>0.8927</v>
      </c>
      <c r="D328" s="937">
        <v>0.8901</v>
      </c>
      <c r="E328" s="937">
        <v>0.8901</v>
      </c>
      <c r="F328" s="937">
        <v>0.8901</v>
      </c>
      <c r="G328" s="937">
        <v>0.8053</v>
      </c>
      <c r="H328" s="937">
        <v>0.8053</v>
      </c>
      <c r="I328" s="937">
        <v>0.7116</v>
      </c>
      <c r="J328" s="937">
        <v>0.7116</v>
      </c>
      <c r="K328" s="937">
        <v>0.7116</v>
      </c>
      <c r="L328" s="937">
        <v>0.7116</v>
      </c>
      <c r="M328" s="937">
        <v>0.7116</v>
      </c>
    </row>
    <row r="329" spans="1:13">
      <c r="A329" s="938">
        <v>2.1</v>
      </c>
      <c r="B329" s="937">
        <v>0.8752</v>
      </c>
      <c r="C329" s="937">
        <v>0.8752</v>
      </c>
      <c r="D329" s="937">
        <v>0.872</v>
      </c>
      <c r="E329" s="937">
        <v>0.872</v>
      </c>
      <c r="F329" s="937">
        <v>0.872</v>
      </c>
      <c r="G329" s="937">
        <v>0.7887</v>
      </c>
      <c r="H329" s="937">
        <v>0.7887</v>
      </c>
      <c r="I329" s="937">
        <v>0.6967</v>
      </c>
      <c r="J329" s="937">
        <v>0.6967</v>
      </c>
      <c r="K329" s="937">
        <v>0.6967</v>
      </c>
      <c r="L329" s="937">
        <v>0.6967</v>
      </c>
      <c r="M329" s="937">
        <v>0.6967</v>
      </c>
    </row>
    <row r="330" spans="1:13">
      <c r="A330" s="938">
        <v>2.2</v>
      </c>
      <c r="B330" s="937">
        <v>0.8588</v>
      </c>
      <c r="C330" s="937">
        <v>0.8588</v>
      </c>
      <c r="D330" s="937">
        <v>0.855</v>
      </c>
      <c r="E330" s="937">
        <v>0.855</v>
      </c>
      <c r="F330" s="937">
        <v>0.855</v>
      </c>
      <c r="G330" s="937">
        <v>0.773</v>
      </c>
      <c r="H330" s="937">
        <v>0.773</v>
      </c>
      <c r="I330" s="937">
        <v>0.6827</v>
      </c>
      <c r="J330" s="937">
        <v>0.6827</v>
      </c>
      <c r="K330" s="937">
        <v>0.6827</v>
      </c>
      <c r="L330" s="937">
        <v>0.6827</v>
      </c>
      <c r="M330" s="937">
        <v>0.6827</v>
      </c>
    </row>
    <row r="331" spans="1:13">
      <c r="A331" s="938">
        <v>2.3</v>
      </c>
      <c r="B331" s="937">
        <v>0.8436</v>
      </c>
      <c r="C331" s="937">
        <v>0.8436</v>
      </c>
      <c r="D331" s="937">
        <v>0.839</v>
      </c>
      <c r="E331" s="937">
        <v>0.839</v>
      </c>
      <c r="F331" s="937">
        <v>0.839</v>
      </c>
      <c r="G331" s="937">
        <v>0.7584</v>
      </c>
      <c r="H331" s="937">
        <v>0.7584</v>
      </c>
      <c r="I331" s="937">
        <v>0.6695</v>
      </c>
      <c r="J331" s="937">
        <v>0.6695</v>
      </c>
      <c r="K331" s="937">
        <v>0.6695</v>
      </c>
      <c r="L331" s="937">
        <v>0.6695</v>
      </c>
      <c r="M331" s="937">
        <v>0.6695</v>
      </c>
    </row>
    <row r="332" spans="1:13">
      <c r="A332" s="938">
        <v>2.4</v>
      </c>
      <c r="B332" s="937">
        <v>0.8294</v>
      </c>
      <c r="C332" s="937">
        <v>0.8294</v>
      </c>
      <c r="D332" s="937">
        <v>0.8241</v>
      </c>
      <c r="E332" s="937">
        <v>0.8241</v>
      </c>
      <c r="F332" s="937">
        <v>0.8241</v>
      </c>
      <c r="G332" s="937">
        <v>0.7446</v>
      </c>
      <c r="H332" s="937">
        <v>0.7446</v>
      </c>
      <c r="I332" s="937">
        <v>0.6571</v>
      </c>
      <c r="J332" s="937">
        <v>0.6571</v>
      </c>
      <c r="K332" s="937">
        <v>0.6571</v>
      </c>
      <c r="L332" s="937">
        <v>0.6571</v>
      </c>
      <c r="M332" s="937">
        <v>0.6571</v>
      </c>
    </row>
    <row r="333" spans="1:13">
      <c r="A333" s="938">
        <v>2.5</v>
      </c>
      <c r="B333" s="937">
        <v>0.8162</v>
      </c>
      <c r="C333" s="937">
        <v>0.8162</v>
      </c>
      <c r="D333" s="937">
        <v>0.8102</v>
      </c>
      <c r="E333" s="937">
        <v>0.8102</v>
      </c>
      <c r="F333" s="937">
        <v>0.8102</v>
      </c>
      <c r="G333" s="937">
        <v>0.7318</v>
      </c>
      <c r="H333" s="937">
        <v>0.7318</v>
      </c>
      <c r="I333" s="937">
        <v>0.6455</v>
      </c>
      <c r="J333" s="937">
        <v>0.6455</v>
      </c>
      <c r="K333" s="937">
        <v>0.6455</v>
      </c>
      <c r="L333" s="937">
        <v>0.6455</v>
      </c>
      <c r="M333" s="937">
        <v>0.6455</v>
      </c>
    </row>
    <row r="334" spans="1:13">
      <c r="A334" s="938">
        <v>2.6</v>
      </c>
      <c r="B334" s="937">
        <v>0.8039</v>
      </c>
      <c r="C334" s="937">
        <v>0.8039</v>
      </c>
      <c r="D334" s="937">
        <v>0.7971</v>
      </c>
      <c r="E334" s="937">
        <v>0.7971</v>
      </c>
      <c r="F334" s="937">
        <v>0.7971</v>
      </c>
      <c r="G334" s="937">
        <v>0.7197</v>
      </c>
      <c r="H334" s="937">
        <v>0.7197</v>
      </c>
      <c r="I334" s="937">
        <v>0.6346</v>
      </c>
      <c r="J334" s="937">
        <v>0.6346</v>
      </c>
      <c r="K334" s="937">
        <v>0.6346</v>
      </c>
      <c r="L334" s="937">
        <v>0.6346</v>
      </c>
      <c r="M334" s="937">
        <v>0.6346</v>
      </c>
    </row>
    <row r="335" spans="1:13">
      <c r="A335" s="938">
        <v>2.7</v>
      </c>
      <c r="B335" s="937">
        <v>0.7925</v>
      </c>
      <c r="C335" s="937">
        <v>0.7925</v>
      </c>
      <c r="D335" s="937">
        <v>0.7849</v>
      </c>
      <c r="E335" s="937">
        <v>0.7849</v>
      </c>
      <c r="F335" s="937">
        <v>0.7849</v>
      </c>
      <c r="G335" s="937">
        <v>0.7084</v>
      </c>
      <c r="H335" s="937">
        <v>0.7084</v>
      </c>
      <c r="I335" s="937">
        <v>0.6244</v>
      </c>
      <c r="J335" s="937">
        <v>0.6244</v>
      </c>
      <c r="K335" s="937">
        <v>0.6244</v>
      </c>
      <c r="L335" s="937">
        <v>0.6244</v>
      </c>
      <c r="M335" s="937">
        <v>0.6244</v>
      </c>
    </row>
    <row r="336" spans="1:13">
      <c r="A336" s="938">
        <v>2.8</v>
      </c>
      <c r="B336" s="937">
        <v>0.7819</v>
      </c>
      <c r="C336" s="937">
        <v>0.7819</v>
      </c>
      <c r="D336" s="937">
        <v>0.7736</v>
      </c>
      <c r="E336" s="937">
        <v>0.7736</v>
      </c>
      <c r="F336" s="937">
        <v>0.7736</v>
      </c>
      <c r="G336" s="937">
        <v>0.6979</v>
      </c>
      <c r="H336" s="937">
        <v>0.6979</v>
      </c>
      <c r="I336" s="937">
        <v>0.6148</v>
      </c>
      <c r="J336" s="937">
        <v>0.6148</v>
      </c>
      <c r="K336" s="937">
        <v>0.6148</v>
      </c>
      <c r="L336" s="937">
        <v>0.6148</v>
      </c>
      <c r="M336" s="937">
        <v>0.6148</v>
      </c>
    </row>
    <row r="337" spans="1:13">
      <c r="A337" s="938">
        <v>2.9</v>
      </c>
      <c r="B337" s="937">
        <v>0.7721</v>
      </c>
      <c r="C337" s="937">
        <v>0.7721</v>
      </c>
      <c r="D337" s="937">
        <v>0.763</v>
      </c>
      <c r="E337" s="937">
        <v>0.763</v>
      </c>
      <c r="F337" s="937">
        <v>0.763</v>
      </c>
      <c r="G337" s="937">
        <v>0.688</v>
      </c>
      <c r="H337" s="937">
        <v>0.688</v>
      </c>
      <c r="I337" s="937">
        <v>0.6059</v>
      </c>
      <c r="J337" s="937">
        <v>0.6059</v>
      </c>
      <c r="K337" s="937">
        <v>0.6059</v>
      </c>
      <c r="L337" s="937">
        <v>0.6059</v>
      </c>
      <c r="M337" s="937">
        <v>0.6059</v>
      </c>
    </row>
    <row r="338" spans="1:13">
      <c r="A338" s="938">
        <v>3</v>
      </c>
      <c r="B338" s="937">
        <v>0.7631</v>
      </c>
      <c r="C338" s="937">
        <v>0.7631</v>
      </c>
      <c r="D338" s="937">
        <v>0.7531</v>
      </c>
      <c r="E338" s="937">
        <v>0.7531</v>
      </c>
      <c r="F338" s="937">
        <v>0.7531</v>
      </c>
      <c r="G338" s="937">
        <v>0.6788</v>
      </c>
      <c r="H338" s="937">
        <v>0.6788</v>
      </c>
      <c r="I338" s="937">
        <v>0.5975</v>
      </c>
      <c r="J338" s="937">
        <v>0.5975</v>
      </c>
      <c r="K338" s="937">
        <v>0.5975</v>
      </c>
      <c r="L338" s="937">
        <v>0.5975</v>
      </c>
      <c r="M338" s="937">
        <v>0.5975</v>
      </c>
    </row>
    <row r="339" spans="1:13">
      <c r="A339" s="938">
        <v>3.1</v>
      </c>
      <c r="B339" s="937">
        <v>0.7547</v>
      </c>
      <c r="C339" s="937">
        <v>0.7547</v>
      </c>
      <c r="D339" s="937">
        <v>0.744</v>
      </c>
      <c r="E339" s="937">
        <v>0.744</v>
      </c>
      <c r="F339" s="937">
        <v>0.744</v>
      </c>
      <c r="G339" s="937">
        <v>0.6702</v>
      </c>
      <c r="H339" s="937">
        <v>0.6702</v>
      </c>
      <c r="I339" s="937">
        <v>0.5897</v>
      </c>
      <c r="J339" s="937">
        <v>0.5897</v>
      </c>
      <c r="K339" s="937">
        <v>0.5897</v>
      </c>
      <c r="L339" s="937">
        <v>0.5897</v>
      </c>
      <c r="M339" s="937">
        <v>0.5897</v>
      </c>
    </row>
    <row r="340" spans="1:13">
      <c r="A340" s="938">
        <v>3.2</v>
      </c>
      <c r="B340" s="937">
        <v>0.747</v>
      </c>
      <c r="C340" s="937">
        <v>0.747</v>
      </c>
      <c r="D340" s="937">
        <v>0.7354</v>
      </c>
      <c r="E340" s="937">
        <v>0.7354</v>
      </c>
      <c r="F340" s="937">
        <v>0.7354</v>
      </c>
      <c r="G340" s="937">
        <v>0.6622</v>
      </c>
      <c r="H340" s="937">
        <v>0.6622</v>
      </c>
      <c r="I340" s="937">
        <v>0.5823</v>
      </c>
      <c r="J340" s="937">
        <v>0.5823</v>
      </c>
      <c r="K340" s="937">
        <v>0.5823</v>
      </c>
      <c r="L340" s="937">
        <v>0.5823</v>
      </c>
      <c r="M340" s="937">
        <v>0.5823</v>
      </c>
    </row>
    <row r="341" spans="1:13">
      <c r="A341" s="938">
        <v>3.3</v>
      </c>
      <c r="B341" s="937">
        <v>0.7399</v>
      </c>
      <c r="C341" s="937">
        <v>0.7399</v>
      </c>
      <c r="D341" s="937">
        <v>0.7275</v>
      </c>
      <c r="E341" s="937">
        <v>0.7275</v>
      </c>
      <c r="F341" s="937">
        <v>0.7275</v>
      </c>
      <c r="G341" s="937">
        <v>0.6548</v>
      </c>
      <c r="H341" s="937">
        <v>0.6548</v>
      </c>
      <c r="I341" s="937">
        <v>0.5754</v>
      </c>
      <c r="J341" s="937">
        <v>0.5754</v>
      </c>
      <c r="K341" s="937">
        <v>0.5754</v>
      </c>
      <c r="L341" s="937">
        <v>0.5754</v>
      </c>
      <c r="M341" s="937">
        <v>0.5754</v>
      </c>
    </row>
    <row r="342" spans="1:13">
      <c r="A342" s="938">
        <v>3.4</v>
      </c>
      <c r="B342" s="937">
        <v>0.7334</v>
      </c>
      <c r="C342" s="937">
        <v>0.7334</v>
      </c>
      <c r="D342" s="937">
        <v>0.7201</v>
      </c>
      <c r="E342" s="937">
        <v>0.7201</v>
      </c>
      <c r="F342" s="937">
        <v>0.7201</v>
      </c>
      <c r="G342" s="937">
        <v>0.6478</v>
      </c>
      <c r="H342" s="937">
        <v>0.6478</v>
      </c>
      <c r="I342" s="937">
        <v>0.569</v>
      </c>
      <c r="J342" s="937">
        <v>0.569</v>
      </c>
      <c r="K342" s="937">
        <v>0.569</v>
      </c>
      <c r="L342" s="937">
        <v>0.569</v>
      </c>
      <c r="M342" s="937">
        <v>0.569</v>
      </c>
    </row>
    <row r="343" spans="1:13">
      <c r="A343" s="938">
        <v>3.5</v>
      </c>
      <c r="B343" s="937">
        <v>0.7274</v>
      </c>
      <c r="C343" s="937">
        <v>0.7274</v>
      </c>
      <c r="D343" s="937">
        <v>0.7133</v>
      </c>
      <c r="E343" s="937">
        <v>0.7133</v>
      </c>
      <c r="F343" s="937">
        <v>0.7133</v>
      </c>
      <c r="G343" s="937">
        <v>0.6413</v>
      </c>
      <c r="H343" s="937">
        <v>0.6413</v>
      </c>
      <c r="I343" s="937">
        <v>0.5631</v>
      </c>
      <c r="J343" s="937">
        <v>0.5631</v>
      </c>
      <c r="K343" s="937">
        <v>0.5631</v>
      </c>
      <c r="L343" s="937">
        <v>0.5631</v>
      </c>
      <c r="M343" s="937">
        <v>0.5631</v>
      </c>
    </row>
    <row r="344" spans="1:13">
      <c r="A344" s="938">
        <v>3.6</v>
      </c>
      <c r="B344" s="937">
        <v>0.7219</v>
      </c>
      <c r="C344" s="937">
        <v>0.7219</v>
      </c>
      <c r="D344" s="937">
        <v>0.707</v>
      </c>
      <c r="E344" s="937">
        <v>0.707</v>
      </c>
      <c r="F344" s="937">
        <v>0.707</v>
      </c>
      <c r="G344" s="937">
        <v>0.6353</v>
      </c>
      <c r="H344" s="937">
        <v>0.6353</v>
      </c>
      <c r="I344" s="937">
        <v>0.5575</v>
      </c>
      <c r="J344" s="937">
        <v>0.5575</v>
      </c>
      <c r="K344" s="937">
        <v>0.5575</v>
      </c>
      <c r="L344" s="937">
        <v>0.5575</v>
      </c>
      <c r="M344" s="937">
        <v>0.5575</v>
      </c>
    </row>
    <row r="345" spans="1:13">
      <c r="A345" s="938">
        <v>3.7</v>
      </c>
      <c r="B345" s="937">
        <v>0.7168</v>
      </c>
      <c r="C345" s="937">
        <v>0.7168</v>
      </c>
      <c r="D345" s="937">
        <v>0.7011</v>
      </c>
      <c r="E345" s="937">
        <v>0.7011</v>
      </c>
      <c r="F345" s="937">
        <v>0.7011</v>
      </c>
      <c r="G345" s="937">
        <v>0.6297</v>
      </c>
      <c r="H345" s="937">
        <v>0.6297</v>
      </c>
      <c r="I345" s="937">
        <v>0.5523</v>
      </c>
      <c r="J345" s="937">
        <v>0.5523</v>
      </c>
      <c r="K345" s="937">
        <v>0.5523</v>
      </c>
      <c r="L345" s="937">
        <v>0.5523</v>
      </c>
      <c r="M345" s="937">
        <v>0.5523</v>
      </c>
    </row>
    <row r="346" spans="1:13">
      <c r="A346" s="938">
        <v>3.8</v>
      </c>
      <c r="B346" s="937">
        <v>0.7122</v>
      </c>
      <c r="C346" s="937">
        <v>0.7122</v>
      </c>
      <c r="D346" s="937">
        <v>0.6956</v>
      </c>
      <c r="E346" s="937">
        <v>0.6956</v>
      </c>
      <c r="F346" s="937">
        <v>0.6956</v>
      </c>
      <c r="G346" s="937">
        <v>0.6244</v>
      </c>
      <c r="H346" s="937">
        <v>0.6244</v>
      </c>
      <c r="I346" s="937">
        <v>0.5474</v>
      </c>
      <c r="J346" s="937">
        <v>0.5474</v>
      </c>
      <c r="K346" s="937">
        <v>0.5474</v>
      </c>
      <c r="L346" s="937">
        <v>0.5474</v>
      </c>
      <c r="M346" s="937">
        <v>0.5474</v>
      </c>
    </row>
    <row r="347" spans="1:13">
      <c r="A347" s="938">
        <v>3.9</v>
      </c>
      <c r="B347" s="937">
        <v>0.708</v>
      </c>
      <c r="C347" s="937">
        <v>0.708</v>
      </c>
      <c r="D347" s="937">
        <v>0.6906</v>
      </c>
      <c r="E347" s="937">
        <v>0.6906</v>
      </c>
      <c r="F347" s="937">
        <v>0.6906</v>
      </c>
      <c r="G347" s="937">
        <v>0.6195</v>
      </c>
      <c r="H347" s="937">
        <v>0.6195</v>
      </c>
      <c r="I347" s="937">
        <v>0.5428</v>
      </c>
      <c r="J347" s="937">
        <v>0.5428</v>
      </c>
      <c r="K347" s="937">
        <v>0.5428</v>
      </c>
      <c r="L347" s="937">
        <v>0.5428</v>
      </c>
      <c r="M347" s="937">
        <v>0.5428</v>
      </c>
    </row>
    <row r="348" spans="1:13">
      <c r="A348" s="938">
        <v>4</v>
      </c>
      <c r="B348" s="937">
        <v>0.7041</v>
      </c>
      <c r="C348" s="937">
        <v>0.7041</v>
      </c>
      <c r="D348" s="937">
        <v>0.6859</v>
      </c>
      <c r="E348" s="937">
        <v>0.6859</v>
      </c>
      <c r="F348" s="937">
        <v>0.6859</v>
      </c>
      <c r="G348" s="937">
        <v>0.615</v>
      </c>
      <c r="H348" s="937">
        <v>0.615</v>
      </c>
      <c r="I348" s="937">
        <v>0.5386</v>
      </c>
      <c r="J348" s="937">
        <v>0.5386</v>
      </c>
      <c r="K348" s="937">
        <v>0.5386</v>
      </c>
      <c r="L348" s="937">
        <v>0.5386</v>
      </c>
      <c r="M348" s="937">
        <v>0.5386</v>
      </c>
    </row>
    <row r="349" spans="1:13">
      <c r="A349" s="938">
        <v>4.1</v>
      </c>
      <c r="B349" s="937">
        <v>0.7006</v>
      </c>
      <c r="C349" s="937">
        <v>0.7006</v>
      </c>
      <c r="D349" s="937">
        <v>0.6816</v>
      </c>
      <c r="E349" s="937">
        <v>0.6816</v>
      </c>
      <c r="F349" s="937">
        <v>0.6816</v>
      </c>
      <c r="G349" s="937">
        <v>0.6108</v>
      </c>
      <c r="H349" s="937">
        <v>0.6108</v>
      </c>
      <c r="I349" s="937">
        <v>0.5346</v>
      </c>
      <c r="J349" s="937">
        <v>0.5346</v>
      </c>
      <c r="K349" s="937">
        <v>0.5346</v>
      </c>
      <c r="L349" s="937">
        <v>0.5346</v>
      </c>
      <c r="M349" s="937">
        <v>0.5346</v>
      </c>
    </row>
    <row r="350" spans="1:13">
      <c r="A350" s="938">
        <v>4.2</v>
      </c>
      <c r="B350" s="937">
        <v>0.6974</v>
      </c>
      <c r="C350" s="937">
        <v>0.6974</v>
      </c>
      <c r="D350" s="937">
        <v>0.6776</v>
      </c>
      <c r="E350" s="937">
        <v>0.6776</v>
      </c>
      <c r="F350" s="937">
        <v>0.6776</v>
      </c>
      <c r="G350" s="937">
        <v>0.607</v>
      </c>
      <c r="H350" s="937">
        <v>0.607</v>
      </c>
      <c r="I350" s="937">
        <v>0.5309</v>
      </c>
      <c r="J350" s="937">
        <v>0.5309</v>
      </c>
      <c r="K350" s="937">
        <v>0.5309</v>
      </c>
      <c r="L350" s="937">
        <v>0.5309</v>
      </c>
      <c r="M350" s="937">
        <v>0.5309</v>
      </c>
    </row>
    <row r="351" spans="1:13">
      <c r="A351" s="938">
        <v>4.3</v>
      </c>
      <c r="B351" s="937">
        <v>0.6945</v>
      </c>
      <c r="C351" s="937">
        <v>0.6945</v>
      </c>
      <c r="D351" s="937">
        <v>0.6739</v>
      </c>
      <c r="E351" s="937">
        <v>0.6739</v>
      </c>
      <c r="F351" s="937">
        <v>0.6739</v>
      </c>
      <c r="G351" s="937">
        <v>0.6033</v>
      </c>
      <c r="H351" s="937">
        <v>0.6033</v>
      </c>
      <c r="I351" s="937">
        <v>0.5274</v>
      </c>
      <c r="J351" s="937">
        <v>0.5274</v>
      </c>
      <c r="K351" s="937">
        <v>0.5274</v>
      </c>
      <c r="L351" s="937">
        <v>0.5274</v>
      </c>
      <c r="M351" s="937">
        <v>0.5274</v>
      </c>
    </row>
    <row r="352" spans="1:13">
      <c r="A352" s="938">
        <v>4.4</v>
      </c>
      <c r="B352" s="937">
        <v>0.6918</v>
      </c>
      <c r="C352" s="937">
        <v>0.6918</v>
      </c>
      <c r="D352" s="937">
        <v>0.6705</v>
      </c>
      <c r="E352" s="937">
        <v>0.6705</v>
      </c>
      <c r="F352" s="937">
        <v>0.6705</v>
      </c>
      <c r="G352" s="937">
        <v>0.5999</v>
      </c>
      <c r="H352" s="937">
        <v>0.5999</v>
      </c>
      <c r="I352" s="937">
        <v>0.5242</v>
      </c>
      <c r="J352" s="937">
        <v>0.5242</v>
      </c>
      <c r="K352" s="937">
        <v>0.5242</v>
      </c>
      <c r="L352" s="937">
        <v>0.5242</v>
      </c>
      <c r="M352" s="937">
        <v>0.5242</v>
      </c>
    </row>
    <row r="353" spans="1:13">
      <c r="A353" s="938">
        <v>4.5</v>
      </c>
      <c r="B353" s="937">
        <v>0.6894</v>
      </c>
      <c r="C353" s="937">
        <v>0.6894</v>
      </c>
      <c r="D353" s="937">
        <v>0.6673</v>
      </c>
      <c r="E353" s="937">
        <v>0.6673</v>
      </c>
      <c r="F353" s="937">
        <v>0.6673</v>
      </c>
      <c r="G353" s="937">
        <v>0.5967</v>
      </c>
      <c r="H353" s="937">
        <v>0.5967</v>
      </c>
      <c r="I353" s="937">
        <v>0.5211</v>
      </c>
      <c r="J353" s="937">
        <v>0.5211</v>
      </c>
      <c r="K353" s="937">
        <v>0.5211</v>
      </c>
      <c r="L353" s="937">
        <v>0.5211</v>
      </c>
      <c r="M353" s="937">
        <v>0.5211</v>
      </c>
    </row>
    <row r="354" spans="1:13">
      <c r="A354" s="938">
        <v>4.6</v>
      </c>
      <c r="B354" s="937">
        <v>0.6872</v>
      </c>
      <c r="C354" s="937">
        <v>0.6872</v>
      </c>
      <c r="D354" s="937">
        <v>0.6643</v>
      </c>
      <c r="E354" s="937">
        <v>0.6643</v>
      </c>
      <c r="F354" s="937">
        <v>0.6643</v>
      </c>
      <c r="G354" s="937">
        <v>0.5938</v>
      </c>
      <c r="H354" s="937">
        <v>0.5938</v>
      </c>
      <c r="I354" s="937">
        <v>0.5182</v>
      </c>
      <c r="J354" s="937">
        <v>0.5182</v>
      </c>
      <c r="K354" s="937">
        <v>0.5182</v>
      </c>
      <c r="L354" s="937">
        <v>0.5182</v>
      </c>
      <c r="M354" s="937">
        <v>0.5182</v>
      </c>
    </row>
    <row r="355" spans="1:13">
      <c r="A355" s="938">
        <v>4.7</v>
      </c>
      <c r="B355" s="937">
        <v>0.6852</v>
      </c>
      <c r="C355" s="937">
        <v>0.6852</v>
      </c>
      <c r="D355" s="937">
        <v>0.6615</v>
      </c>
      <c r="E355" s="937">
        <v>0.6615</v>
      </c>
      <c r="F355" s="937">
        <v>0.6615</v>
      </c>
      <c r="G355" s="937">
        <v>0.5911</v>
      </c>
      <c r="H355" s="937">
        <v>0.5911</v>
      </c>
      <c r="I355" s="937">
        <v>0.5156</v>
      </c>
      <c r="J355" s="937">
        <v>0.5156</v>
      </c>
      <c r="K355" s="937">
        <v>0.5156</v>
      </c>
      <c r="L355" s="937">
        <v>0.5156</v>
      </c>
      <c r="M355" s="937">
        <v>0.5156</v>
      </c>
    </row>
    <row r="356" spans="1:13">
      <c r="A356" s="938">
        <v>4.8</v>
      </c>
      <c r="B356" s="937">
        <v>0.6834</v>
      </c>
      <c r="C356" s="937">
        <v>0.6834</v>
      </c>
      <c r="D356" s="937">
        <v>0.659</v>
      </c>
      <c r="E356" s="937">
        <v>0.659</v>
      </c>
      <c r="F356" s="937">
        <v>0.659</v>
      </c>
      <c r="G356" s="937">
        <v>0.5885</v>
      </c>
      <c r="H356" s="937">
        <v>0.5885</v>
      </c>
      <c r="I356" s="937">
        <v>0.513</v>
      </c>
      <c r="J356" s="937">
        <v>0.513</v>
      </c>
      <c r="K356" s="937">
        <v>0.513</v>
      </c>
      <c r="L356" s="937">
        <v>0.513</v>
      </c>
      <c r="M356" s="937">
        <v>0.513</v>
      </c>
    </row>
    <row r="357" spans="1:13">
      <c r="A357" s="938">
        <v>4.9</v>
      </c>
      <c r="B357" s="937">
        <v>0.6818</v>
      </c>
      <c r="C357" s="937">
        <v>0.6818</v>
      </c>
      <c r="D357" s="937">
        <v>0.6566</v>
      </c>
      <c r="E357" s="937">
        <v>0.6566</v>
      </c>
      <c r="F357" s="937">
        <v>0.6566</v>
      </c>
      <c r="G357" s="937">
        <v>0.586</v>
      </c>
      <c r="H357" s="937">
        <v>0.586</v>
      </c>
      <c r="I357" s="937">
        <v>0.5106</v>
      </c>
      <c r="J357" s="937">
        <v>0.5106</v>
      </c>
      <c r="K357" s="937">
        <v>0.5106</v>
      </c>
      <c r="L357" s="937">
        <v>0.5106</v>
      </c>
      <c r="M357" s="937">
        <v>0.5106</v>
      </c>
    </row>
    <row r="358" spans="1:13">
      <c r="A358" s="938">
        <v>5</v>
      </c>
      <c r="B358" s="937">
        <v>0.6803</v>
      </c>
      <c r="C358" s="937">
        <v>0.6803</v>
      </c>
      <c r="D358" s="937">
        <v>0.6544</v>
      </c>
      <c r="E358" s="937">
        <v>0.6544</v>
      </c>
      <c r="F358" s="937">
        <v>0.6544</v>
      </c>
      <c r="G358" s="937">
        <v>0.5838</v>
      </c>
      <c r="H358" s="937">
        <v>0.5838</v>
      </c>
      <c r="I358" s="937">
        <v>0.5084</v>
      </c>
      <c r="J358" s="937">
        <v>0.5084</v>
      </c>
      <c r="K358" s="937">
        <v>0.5084</v>
      </c>
      <c r="L358" s="937">
        <v>0.5084</v>
      </c>
      <c r="M358" s="937">
        <v>0.5084</v>
      </c>
    </row>
    <row r="359" spans="1:13">
      <c r="A359" s="934">
        <v>5.1</v>
      </c>
      <c r="B359" s="937">
        <v>0.6789</v>
      </c>
      <c r="C359" s="937">
        <v>0.6789</v>
      </c>
      <c r="D359" s="937">
        <v>0.6523</v>
      </c>
      <c r="E359" s="937">
        <v>0.6523</v>
      </c>
      <c r="F359" s="937">
        <v>0.6523</v>
      </c>
      <c r="G359" s="937">
        <v>0.5816</v>
      </c>
      <c r="H359" s="937">
        <v>0.5816</v>
      </c>
      <c r="I359" s="937">
        <v>0.5063</v>
      </c>
      <c r="J359" s="937">
        <v>0.5063</v>
      </c>
      <c r="K359" s="937">
        <v>0.5063</v>
      </c>
      <c r="L359" s="937">
        <v>0.5063</v>
      </c>
      <c r="M359" s="937">
        <v>0.5063</v>
      </c>
    </row>
    <row r="360" spans="1:13">
      <c r="A360" s="934">
        <v>5.2</v>
      </c>
      <c r="B360" s="937">
        <v>0.6775</v>
      </c>
      <c r="C360" s="937">
        <v>0.6775</v>
      </c>
      <c r="D360" s="937">
        <v>0.6503</v>
      </c>
      <c r="E360" s="937">
        <v>0.6503</v>
      </c>
      <c r="F360" s="937">
        <v>0.6503</v>
      </c>
      <c r="G360" s="937">
        <v>0.5795</v>
      </c>
      <c r="H360" s="937">
        <v>0.5795</v>
      </c>
      <c r="I360" s="937">
        <v>0.5042</v>
      </c>
      <c r="J360" s="937">
        <v>0.5042</v>
      </c>
      <c r="K360" s="937">
        <v>0.5042</v>
      </c>
      <c r="L360" s="937">
        <v>0.5042</v>
      </c>
      <c r="M360" s="937">
        <v>0.5042</v>
      </c>
    </row>
    <row r="361" spans="1:13">
      <c r="A361" s="934">
        <v>5.3</v>
      </c>
      <c r="B361" s="937">
        <v>0.6762</v>
      </c>
      <c r="C361" s="937">
        <v>0.6762</v>
      </c>
      <c r="D361" s="937">
        <v>0.6484</v>
      </c>
      <c r="E361" s="937">
        <v>0.6484</v>
      </c>
      <c r="F361" s="937">
        <v>0.6484</v>
      </c>
      <c r="G361" s="937">
        <v>0.5776</v>
      </c>
      <c r="H361" s="937">
        <v>0.5776</v>
      </c>
      <c r="I361" s="937">
        <v>0.5023</v>
      </c>
      <c r="J361" s="937">
        <v>0.5023</v>
      </c>
      <c r="K361" s="937">
        <v>0.5023</v>
      </c>
      <c r="L361" s="937">
        <v>0.5023</v>
      </c>
      <c r="M361" s="937">
        <v>0.5023</v>
      </c>
    </row>
    <row r="362" spans="1:13">
      <c r="A362" s="934">
        <v>5.4</v>
      </c>
      <c r="B362" s="937">
        <v>0.675</v>
      </c>
      <c r="C362" s="937">
        <v>0.675</v>
      </c>
      <c r="D362" s="937">
        <v>0.6467</v>
      </c>
      <c r="E362" s="937">
        <v>0.6467</v>
      </c>
      <c r="F362" s="937">
        <v>0.6467</v>
      </c>
      <c r="G362" s="937">
        <v>0.5758</v>
      </c>
      <c r="H362" s="937">
        <v>0.5758</v>
      </c>
      <c r="I362" s="937">
        <v>0.5004</v>
      </c>
      <c r="J362" s="937">
        <v>0.5004</v>
      </c>
      <c r="K362" s="937">
        <v>0.5004</v>
      </c>
      <c r="L362" s="937">
        <v>0.5004</v>
      </c>
      <c r="M362" s="937">
        <v>0.5004</v>
      </c>
    </row>
    <row r="363" spans="1:13">
      <c r="A363" s="934">
        <v>5.5</v>
      </c>
      <c r="B363" s="937">
        <v>0.6738</v>
      </c>
      <c r="C363" s="937">
        <v>0.6738</v>
      </c>
      <c r="D363" s="937">
        <v>0.645</v>
      </c>
      <c r="E363" s="937">
        <v>0.645</v>
      </c>
      <c r="F363" s="937">
        <v>0.645</v>
      </c>
      <c r="G363" s="937">
        <v>0.574</v>
      </c>
      <c r="H363" s="937">
        <v>0.574</v>
      </c>
      <c r="I363" s="937">
        <v>0.4987</v>
      </c>
      <c r="J363" s="937">
        <v>0.4987</v>
      </c>
      <c r="K363" s="937">
        <v>0.4987</v>
      </c>
      <c r="L363" s="937">
        <v>0.4987</v>
      </c>
      <c r="M363" s="937">
        <v>0.4987</v>
      </c>
    </row>
    <row r="364" spans="1:13">
      <c r="A364" s="934">
        <v>5.6</v>
      </c>
      <c r="B364" s="937">
        <v>0.6726</v>
      </c>
      <c r="C364" s="937">
        <v>0.6726</v>
      </c>
      <c r="D364" s="937">
        <v>0.6434</v>
      </c>
      <c r="E364" s="937">
        <v>0.6434</v>
      </c>
      <c r="F364" s="937">
        <v>0.6434</v>
      </c>
      <c r="G364" s="937">
        <v>0.5724</v>
      </c>
      <c r="H364" s="937">
        <v>0.5724</v>
      </c>
      <c r="I364" s="937">
        <v>0.4969</v>
      </c>
      <c r="J364" s="937">
        <v>0.4969</v>
      </c>
      <c r="K364" s="937">
        <v>0.4969</v>
      </c>
      <c r="L364" s="937">
        <v>0.4969</v>
      </c>
      <c r="M364" s="937">
        <v>0.4969</v>
      </c>
    </row>
    <row r="365" spans="1:13">
      <c r="A365" s="938">
        <v>5.7</v>
      </c>
      <c r="B365" s="937">
        <v>0.6714</v>
      </c>
      <c r="C365" s="937">
        <v>0.6714</v>
      </c>
      <c r="D365" s="937">
        <v>0.6419</v>
      </c>
      <c r="E365" s="937">
        <v>0.6419</v>
      </c>
      <c r="F365" s="937">
        <v>0.6419</v>
      </c>
      <c r="G365" s="937">
        <v>0.5707</v>
      </c>
      <c r="H365" s="937">
        <v>0.5707</v>
      </c>
      <c r="I365" s="937">
        <v>0.4952</v>
      </c>
      <c r="J365" s="937">
        <v>0.4952</v>
      </c>
      <c r="K365" s="937">
        <v>0.4952</v>
      </c>
      <c r="L365" s="937">
        <v>0.4952</v>
      </c>
      <c r="M365" s="937">
        <v>0.4952</v>
      </c>
    </row>
    <row r="366" spans="1:13">
      <c r="A366" s="934">
        <v>5.8</v>
      </c>
      <c r="B366" s="937">
        <v>0.6702</v>
      </c>
      <c r="C366" s="937">
        <v>0.6702</v>
      </c>
      <c r="D366" s="937">
        <v>0.6404</v>
      </c>
      <c r="E366" s="937">
        <v>0.6404</v>
      </c>
      <c r="F366" s="937">
        <v>0.6404</v>
      </c>
      <c r="G366" s="937">
        <v>0.5691</v>
      </c>
      <c r="H366" s="937">
        <v>0.5691</v>
      </c>
      <c r="I366" s="937">
        <v>0.4936</v>
      </c>
      <c r="J366" s="937">
        <v>0.4936</v>
      </c>
      <c r="K366" s="937">
        <v>0.4936</v>
      </c>
      <c r="L366" s="937">
        <v>0.4936</v>
      </c>
      <c r="M366" s="937">
        <v>0.4936</v>
      </c>
    </row>
    <row r="367" spans="1:13">
      <c r="A367" s="934">
        <v>5.9</v>
      </c>
      <c r="B367" s="937">
        <v>0.6691</v>
      </c>
      <c r="C367" s="937">
        <v>0.6691</v>
      </c>
      <c r="D367" s="937">
        <v>0.6389</v>
      </c>
      <c r="E367" s="937">
        <v>0.6389</v>
      </c>
      <c r="F367" s="937">
        <v>0.6389</v>
      </c>
      <c r="G367" s="937">
        <v>0.5675</v>
      </c>
      <c r="H367" s="937">
        <v>0.5675</v>
      </c>
      <c r="I367" s="937">
        <v>0.4919</v>
      </c>
      <c r="J367" s="937">
        <v>0.4919</v>
      </c>
      <c r="K367" s="937">
        <v>0.4919</v>
      </c>
      <c r="L367" s="937">
        <v>0.4919</v>
      </c>
      <c r="M367" s="937">
        <v>0.4919</v>
      </c>
    </row>
    <row r="368" spans="1:13">
      <c r="A368" s="934">
        <v>6</v>
      </c>
      <c r="B368" s="937">
        <v>0.668</v>
      </c>
      <c r="C368" s="937">
        <v>0.668</v>
      </c>
      <c r="D368" s="937">
        <v>0.6374</v>
      </c>
      <c r="E368" s="937">
        <v>0.6374</v>
      </c>
      <c r="F368" s="937">
        <v>0.6374</v>
      </c>
      <c r="G368" s="937">
        <v>0.5659</v>
      </c>
      <c r="H368" s="937">
        <v>0.5659</v>
      </c>
      <c r="I368" s="937">
        <v>0.4902</v>
      </c>
      <c r="J368" s="937">
        <v>0.4902</v>
      </c>
      <c r="K368" s="937">
        <v>0.4902</v>
      </c>
      <c r="L368" s="937">
        <v>0.4902</v>
      </c>
      <c r="M368" s="937">
        <v>0.4902</v>
      </c>
    </row>
    <row r="369" spans="1:13">
      <c r="A369" s="934">
        <v>6.1</v>
      </c>
      <c r="B369" s="937">
        <v>0.6669</v>
      </c>
      <c r="C369" s="937">
        <v>0.6669</v>
      </c>
      <c r="D369" s="937">
        <v>0.6359</v>
      </c>
      <c r="E369" s="937">
        <v>0.6359</v>
      </c>
      <c r="F369" s="937">
        <v>0.6359</v>
      </c>
      <c r="G369" s="937">
        <v>0.5644</v>
      </c>
      <c r="H369" s="937">
        <v>0.5644</v>
      </c>
      <c r="I369" s="937">
        <v>0.4885</v>
      </c>
      <c r="J369" s="937">
        <v>0.4885</v>
      </c>
      <c r="K369" s="937">
        <v>0.4885</v>
      </c>
      <c r="L369" s="937">
        <v>0.4885</v>
      </c>
      <c r="M369" s="937">
        <v>0.4885</v>
      </c>
    </row>
    <row r="370" spans="1:13">
      <c r="A370" s="934">
        <v>6.2</v>
      </c>
      <c r="B370" s="937">
        <v>0.6658</v>
      </c>
      <c r="C370" s="937">
        <v>0.6658</v>
      </c>
      <c r="D370" s="937">
        <v>0.6344</v>
      </c>
      <c r="E370" s="937">
        <v>0.6344</v>
      </c>
      <c r="F370" s="937">
        <v>0.6344</v>
      </c>
      <c r="G370" s="937">
        <v>0.5629</v>
      </c>
      <c r="H370" s="937">
        <v>0.5629</v>
      </c>
      <c r="I370" s="937">
        <v>0.4868</v>
      </c>
      <c r="J370" s="937">
        <v>0.4868</v>
      </c>
      <c r="K370" s="937">
        <v>0.4868</v>
      </c>
      <c r="L370" s="937">
        <v>0.4868</v>
      </c>
      <c r="M370" s="937">
        <v>0.4868</v>
      </c>
    </row>
    <row r="371" spans="1:13">
      <c r="A371" s="934">
        <v>6.3</v>
      </c>
      <c r="B371" s="937">
        <v>0.6647</v>
      </c>
      <c r="C371" s="937">
        <v>0.6647</v>
      </c>
      <c r="D371" s="937">
        <v>0.6329</v>
      </c>
      <c r="E371" s="937">
        <v>0.6329</v>
      </c>
      <c r="F371" s="937">
        <v>0.6329</v>
      </c>
      <c r="G371" s="937">
        <v>0.5613</v>
      </c>
      <c r="H371" s="937">
        <v>0.5613</v>
      </c>
      <c r="I371" s="937">
        <v>0.4851</v>
      </c>
      <c r="J371" s="937">
        <v>0.4851</v>
      </c>
      <c r="K371" s="937">
        <v>0.4851</v>
      </c>
      <c r="L371" s="937">
        <v>0.4851</v>
      </c>
      <c r="M371" s="937">
        <v>0.4851</v>
      </c>
    </row>
    <row r="372" spans="1:13">
      <c r="A372" s="934">
        <v>6.4</v>
      </c>
      <c r="B372" s="937">
        <v>0.6636</v>
      </c>
      <c r="C372" s="937">
        <v>0.6636</v>
      </c>
      <c r="D372" s="937">
        <v>0.6314</v>
      </c>
      <c r="E372" s="937">
        <v>0.6314</v>
      </c>
      <c r="F372" s="937">
        <v>0.6314</v>
      </c>
      <c r="G372" s="937">
        <v>0.5598</v>
      </c>
      <c r="H372" s="937">
        <v>0.5598</v>
      </c>
      <c r="I372" s="937">
        <v>0.4835</v>
      </c>
      <c r="J372" s="937">
        <v>0.4835</v>
      </c>
      <c r="K372" s="937">
        <v>0.4835</v>
      </c>
      <c r="L372" s="937">
        <v>0.4835</v>
      </c>
      <c r="M372" s="937">
        <v>0.4835</v>
      </c>
    </row>
    <row r="373" spans="1:13">
      <c r="A373" s="934">
        <v>6.5</v>
      </c>
      <c r="B373" s="937">
        <v>0.6625</v>
      </c>
      <c r="C373" s="937">
        <v>0.6625</v>
      </c>
      <c r="D373" s="937">
        <v>0.63</v>
      </c>
      <c r="E373" s="937">
        <v>0.63</v>
      </c>
      <c r="F373" s="937">
        <v>0.63</v>
      </c>
      <c r="G373" s="937">
        <v>0.5582</v>
      </c>
      <c r="H373" s="937">
        <v>0.5582</v>
      </c>
      <c r="I373" s="937">
        <v>0.4819</v>
      </c>
      <c r="J373" s="937">
        <v>0.4819</v>
      </c>
      <c r="K373" s="937">
        <v>0.4819</v>
      </c>
      <c r="L373" s="937">
        <v>0.4819</v>
      </c>
      <c r="M373" s="937">
        <v>0.4819</v>
      </c>
    </row>
    <row r="374" spans="1:13">
      <c r="A374" s="934">
        <v>6.6</v>
      </c>
      <c r="B374" s="937">
        <v>0.6615</v>
      </c>
      <c r="C374" s="937">
        <v>0.6615</v>
      </c>
      <c r="D374" s="937">
        <v>0.6286</v>
      </c>
      <c r="E374" s="937">
        <v>0.6286</v>
      </c>
      <c r="F374" s="937">
        <v>0.6286</v>
      </c>
      <c r="G374" s="937">
        <v>0.5567</v>
      </c>
      <c r="H374" s="937">
        <v>0.5567</v>
      </c>
      <c r="I374" s="937">
        <v>0.4803</v>
      </c>
      <c r="J374" s="937">
        <v>0.4803</v>
      </c>
      <c r="K374" s="937">
        <v>0.4803</v>
      </c>
      <c r="L374" s="937">
        <v>0.4803</v>
      </c>
      <c r="M374" s="937">
        <v>0.4803</v>
      </c>
    </row>
    <row r="375" spans="1:13">
      <c r="A375" s="934">
        <v>6.7</v>
      </c>
      <c r="B375" s="937">
        <v>0.6605</v>
      </c>
      <c r="C375" s="937">
        <v>0.6605</v>
      </c>
      <c r="D375" s="937">
        <v>0.6272</v>
      </c>
      <c r="E375" s="937">
        <v>0.6272</v>
      </c>
      <c r="F375" s="937">
        <v>0.6272</v>
      </c>
      <c r="G375" s="937">
        <v>0.5552</v>
      </c>
      <c r="H375" s="937">
        <v>0.5552</v>
      </c>
      <c r="I375" s="937">
        <v>0.4787</v>
      </c>
      <c r="J375" s="937">
        <v>0.4787</v>
      </c>
      <c r="K375" s="937">
        <v>0.4787</v>
      </c>
      <c r="L375" s="937">
        <v>0.4787</v>
      </c>
      <c r="M375" s="937">
        <v>0.4787</v>
      </c>
    </row>
    <row r="376" spans="1:13">
      <c r="A376" s="934">
        <v>6.8</v>
      </c>
      <c r="B376" s="937">
        <v>0.6595</v>
      </c>
      <c r="C376" s="937">
        <v>0.6595</v>
      </c>
      <c r="D376" s="937">
        <v>0.6258</v>
      </c>
      <c r="E376" s="937">
        <v>0.6258</v>
      </c>
      <c r="F376" s="937">
        <v>0.6258</v>
      </c>
      <c r="G376" s="937">
        <v>0.5536</v>
      </c>
      <c r="H376" s="937">
        <v>0.5536</v>
      </c>
      <c r="I376" s="937">
        <v>0.4771</v>
      </c>
      <c r="J376" s="937">
        <v>0.4771</v>
      </c>
      <c r="K376" s="937">
        <v>0.4771</v>
      </c>
      <c r="L376" s="937">
        <v>0.4771</v>
      </c>
      <c r="M376" s="937">
        <v>0.4771</v>
      </c>
    </row>
    <row r="377" spans="1:13">
      <c r="A377" s="934">
        <v>6.9</v>
      </c>
      <c r="B377" s="937">
        <v>0.6585</v>
      </c>
      <c r="C377" s="937">
        <v>0.6585</v>
      </c>
      <c r="D377" s="937">
        <v>0.6244</v>
      </c>
      <c r="E377" s="937">
        <v>0.6244</v>
      </c>
      <c r="F377" s="937">
        <v>0.6244</v>
      </c>
      <c r="G377" s="937">
        <v>0.5522</v>
      </c>
      <c r="H377" s="937">
        <v>0.5522</v>
      </c>
      <c r="I377" s="937">
        <v>0.4755</v>
      </c>
      <c r="J377" s="937">
        <v>0.4755</v>
      </c>
      <c r="K377" s="937">
        <v>0.4755</v>
      </c>
      <c r="L377" s="937">
        <v>0.4755</v>
      </c>
      <c r="M377" s="937">
        <v>0.4755</v>
      </c>
    </row>
    <row r="378" spans="1:13">
      <c r="A378" s="934">
        <v>7</v>
      </c>
      <c r="B378" s="937">
        <v>0.6575</v>
      </c>
      <c r="C378" s="937">
        <v>0.6575</v>
      </c>
      <c r="D378" s="937">
        <v>0.623</v>
      </c>
      <c r="E378" s="937">
        <v>0.623</v>
      </c>
      <c r="F378" s="937">
        <v>0.623</v>
      </c>
      <c r="G378" s="937">
        <v>0.5507</v>
      </c>
      <c r="H378" s="937">
        <v>0.5507</v>
      </c>
      <c r="I378" s="937">
        <v>0.4739</v>
      </c>
      <c r="J378" s="937">
        <v>0.4739</v>
      </c>
      <c r="K378" s="937">
        <v>0.4739</v>
      </c>
      <c r="L378" s="937">
        <v>0.4739</v>
      </c>
      <c r="M378" s="937">
        <v>0.4739</v>
      </c>
    </row>
    <row r="379" spans="1:13">
      <c r="A379" s="934">
        <v>7.1</v>
      </c>
      <c r="B379" s="937">
        <v>0.6565</v>
      </c>
      <c r="C379" s="937">
        <v>0.6565</v>
      </c>
      <c r="D379" s="937">
        <v>0.6216</v>
      </c>
      <c r="E379" s="937">
        <v>0.6216</v>
      </c>
      <c r="F379" s="937">
        <v>0.6216</v>
      </c>
      <c r="G379" s="937">
        <v>0.5493</v>
      </c>
      <c r="H379" s="937">
        <v>0.5493</v>
      </c>
      <c r="I379" s="937">
        <v>0.4724</v>
      </c>
      <c r="J379" s="937">
        <v>0.4724</v>
      </c>
      <c r="K379" s="937">
        <v>0.4724</v>
      </c>
      <c r="L379" s="937">
        <v>0.4724</v>
      </c>
      <c r="M379" s="937">
        <v>0.4724</v>
      </c>
    </row>
    <row r="380" spans="1:13">
      <c r="A380" s="934">
        <v>7.2</v>
      </c>
      <c r="B380" s="937">
        <v>0.6555</v>
      </c>
      <c r="C380" s="937">
        <v>0.6555</v>
      </c>
      <c r="D380" s="937">
        <v>0.6202</v>
      </c>
      <c r="E380" s="937">
        <v>0.6202</v>
      </c>
      <c r="F380" s="937">
        <v>0.6202</v>
      </c>
      <c r="G380" s="937">
        <v>0.5478</v>
      </c>
      <c r="H380" s="937">
        <v>0.5478</v>
      </c>
      <c r="I380" s="937">
        <v>0.4709</v>
      </c>
      <c r="J380" s="937">
        <v>0.4709</v>
      </c>
      <c r="K380" s="937">
        <v>0.4709</v>
      </c>
      <c r="L380" s="937">
        <v>0.4709</v>
      </c>
      <c r="M380" s="937">
        <v>0.4709</v>
      </c>
    </row>
    <row r="381" spans="1:13">
      <c r="A381" s="934">
        <v>7.3</v>
      </c>
      <c r="B381" s="937">
        <v>0.6545</v>
      </c>
      <c r="C381" s="937">
        <v>0.6545</v>
      </c>
      <c r="D381" s="937">
        <v>0.6188</v>
      </c>
      <c r="E381" s="937">
        <v>0.6188</v>
      </c>
      <c r="F381" s="937">
        <v>0.6188</v>
      </c>
      <c r="G381" s="937">
        <v>0.5464</v>
      </c>
      <c r="H381" s="937">
        <v>0.5464</v>
      </c>
      <c r="I381" s="937">
        <v>0.4694</v>
      </c>
      <c r="J381" s="937">
        <v>0.4694</v>
      </c>
      <c r="K381" s="937">
        <v>0.4694</v>
      </c>
      <c r="L381" s="937">
        <v>0.4694</v>
      </c>
      <c r="M381" s="937">
        <v>0.4694</v>
      </c>
    </row>
    <row r="382" spans="1:13">
      <c r="A382" s="934">
        <v>7.4</v>
      </c>
      <c r="B382" s="937">
        <v>0.6535</v>
      </c>
      <c r="C382" s="937">
        <v>0.6535</v>
      </c>
      <c r="D382" s="937">
        <v>0.6175</v>
      </c>
      <c r="E382" s="937">
        <v>0.6175</v>
      </c>
      <c r="F382" s="937">
        <v>0.6175</v>
      </c>
      <c r="G382" s="937">
        <v>0.5449</v>
      </c>
      <c r="H382" s="937">
        <v>0.5449</v>
      </c>
      <c r="I382" s="937">
        <v>0.4678</v>
      </c>
      <c r="J382" s="937">
        <v>0.4678</v>
      </c>
      <c r="K382" s="937">
        <v>0.4678</v>
      </c>
      <c r="L382" s="937">
        <v>0.4678</v>
      </c>
      <c r="M382" s="937">
        <v>0.4678</v>
      </c>
    </row>
    <row r="383" spans="1:13">
      <c r="A383" s="934">
        <v>7.5</v>
      </c>
      <c r="B383" s="937">
        <v>0.6525</v>
      </c>
      <c r="C383" s="937">
        <v>0.6525</v>
      </c>
      <c r="D383" s="937">
        <v>0.6162</v>
      </c>
      <c r="E383" s="937">
        <v>0.6162</v>
      </c>
      <c r="F383" s="937">
        <v>0.6162</v>
      </c>
      <c r="G383" s="937">
        <v>0.5435</v>
      </c>
      <c r="H383" s="937">
        <v>0.5435</v>
      </c>
      <c r="I383" s="937">
        <v>0.4663</v>
      </c>
      <c r="J383" s="937">
        <v>0.4663</v>
      </c>
      <c r="K383" s="937">
        <v>0.4663</v>
      </c>
      <c r="L383" s="937">
        <v>0.4663</v>
      </c>
      <c r="M383" s="937">
        <v>0.4663</v>
      </c>
    </row>
    <row r="384" spans="1:13">
      <c r="A384" s="934">
        <v>7.6</v>
      </c>
      <c r="B384" s="937">
        <v>0.6515</v>
      </c>
      <c r="C384" s="937">
        <v>0.6515</v>
      </c>
      <c r="D384" s="937">
        <v>0.6149</v>
      </c>
      <c r="E384" s="937">
        <v>0.6149</v>
      </c>
      <c r="F384" s="937">
        <v>0.6149</v>
      </c>
      <c r="G384" s="937">
        <v>0.542</v>
      </c>
      <c r="H384" s="937">
        <v>0.542</v>
      </c>
      <c r="I384" s="937">
        <v>0.4648</v>
      </c>
      <c r="J384" s="937">
        <v>0.4648</v>
      </c>
      <c r="K384" s="937">
        <v>0.4648</v>
      </c>
      <c r="L384" s="937">
        <v>0.4648</v>
      </c>
      <c r="M384" s="937">
        <v>0.4648</v>
      </c>
    </row>
    <row r="385" spans="1:13">
      <c r="A385" s="934">
        <v>7.7</v>
      </c>
      <c r="B385" s="937">
        <v>0.6505</v>
      </c>
      <c r="C385" s="937">
        <v>0.6505</v>
      </c>
      <c r="D385" s="937">
        <v>0.6136</v>
      </c>
      <c r="E385" s="937">
        <v>0.6136</v>
      </c>
      <c r="F385" s="937">
        <v>0.6136</v>
      </c>
      <c r="G385" s="937">
        <v>0.5406</v>
      </c>
      <c r="H385" s="937">
        <v>0.5406</v>
      </c>
      <c r="I385" s="937">
        <v>0.4633</v>
      </c>
      <c r="J385" s="937">
        <v>0.4633</v>
      </c>
      <c r="K385" s="937">
        <v>0.4633</v>
      </c>
      <c r="L385" s="937">
        <v>0.4633</v>
      </c>
      <c r="M385" s="937">
        <v>0.4633</v>
      </c>
    </row>
    <row r="386" spans="1:13">
      <c r="A386" s="934">
        <v>7.8</v>
      </c>
      <c r="B386" s="937">
        <v>0.6495</v>
      </c>
      <c r="C386" s="937">
        <v>0.6495</v>
      </c>
      <c r="D386" s="937">
        <v>0.6123</v>
      </c>
      <c r="E386" s="937">
        <v>0.6123</v>
      </c>
      <c r="F386" s="937">
        <v>0.6123</v>
      </c>
      <c r="G386" s="937">
        <v>0.5391</v>
      </c>
      <c r="H386" s="937">
        <v>0.5391</v>
      </c>
      <c r="I386" s="937">
        <v>0.4617</v>
      </c>
      <c r="J386" s="937">
        <v>0.4617</v>
      </c>
      <c r="K386" s="937">
        <v>0.4617</v>
      </c>
      <c r="L386" s="937">
        <v>0.4617</v>
      </c>
      <c r="M386" s="937">
        <v>0.4617</v>
      </c>
    </row>
    <row r="387" spans="1:13">
      <c r="A387" s="934">
        <v>7.9</v>
      </c>
      <c r="B387" s="937">
        <v>0.6485</v>
      </c>
      <c r="C387" s="937">
        <v>0.6485</v>
      </c>
      <c r="D387" s="937">
        <v>0.611</v>
      </c>
      <c r="E387" s="937">
        <v>0.611</v>
      </c>
      <c r="F387" s="937">
        <v>0.611</v>
      </c>
      <c r="G387" s="937">
        <v>0.5377</v>
      </c>
      <c r="H387" s="937">
        <v>0.5377</v>
      </c>
      <c r="I387" s="937">
        <v>0.4602</v>
      </c>
      <c r="J387" s="937">
        <v>0.4602</v>
      </c>
      <c r="K387" s="937">
        <v>0.4602</v>
      </c>
      <c r="L387" s="937">
        <v>0.4602</v>
      </c>
      <c r="M387" s="937">
        <v>0.4602</v>
      </c>
    </row>
    <row r="388" spans="1:13">
      <c r="A388" s="934">
        <v>8</v>
      </c>
      <c r="B388" s="937">
        <v>0.6475</v>
      </c>
      <c r="C388" s="937">
        <v>0.6475</v>
      </c>
      <c r="D388" s="937">
        <v>0.6097</v>
      </c>
      <c r="E388" s="937">
        <v>0.6097</v>
      </c>
      <c r="F388" s="937">
        <v>0.6097</v>
      </c>
      <c r="G388" s="937">
        <v>0.5362</v>
      </c>
      <c r="H388" s="937">
        <v>0.5362</v>
      </c>
      <c r="I388" s="937">
        <v>0.4587</v>
      </c>
      <c r="J388" s="937">
        <v>0.4587</v>
      </c>
      <c r="K388" s="937">
        <v>0.4587</v>
      </c>
      <c r="L388" s="937">
        <v>0.4587</v>
      </c>
      <c r="M388" s="937">
        <v>0.4587</v>
      </c>
    </row>
    <row r="389" spans="1:13">
      <c r="A389" s="934">
        <v>8.1</v>
      </c>
      <c r="B389" s="937">
        <v>0.6465</v>
      </c>
      <c r="C389" s="937">
        <v>0.6465</v>
      </c>
      <c r="D389" s="937">
        <v>0.6084</v>
      </c>
      <c r="E389" s="937">
        <v>0.6084</v>
      </c>
      <c r="F389" s="937">
        <v>0.6084</v>
      </c>
      <c r="G389" s="937">
        <v>0.5348</v>
      </c>
      <c r="H389" s="937">
        <v>0.5348</v>
      </c>
      <c r="I389" s="937">
        <v>0.4572</v>
      </c>
      <c r="J389" s="937">
        <v>0.4572</v>
      </c>
      <c r="K389" s="937">
        <v>0.4572</v>
      </c>
      <c r="L389" s="937">
        <v>0.4572</v>
      </c>
      <c r="M389" s="937">
        <v>0.4572</v>
      </c>
    </row>
    <row r="390" spans="1:13">
      <c r="A390" s="934">
        <v>8.2</v>
      </c>
      <c r="B390" s="937">
        <v>0.6455</v>
      </c>
      <c r="C390" s="937">
        <v>0.6455</v>
      </c>
      <c r="D390" s="937">
        <v>0.6071</v>
      </c>
      <c r="E390" s="937">
        <v>0.6071</v>
      </c>
      <c r="F390" s="937">
        <v>0.6071</v>
      </c>
      <c r="G390" s="937">
        <v>0.5333</v>
      </c>
      <c r="H390" s="937">
        <v>0.5333</v>
      </c>
      <c r="I390" s="937">
        <v>0.4557</v>
      </c>
      <c r="J390" s="937">
        <v>0.4557</v>
      </c>
      <c r="K390" s="937">
        <v>0.4557</v>
      </c>
      <c r="L390" s="937">
        <v>0.4557</v>
      </c>
      <c r="M390" s="937">
        <v>0.4557</v>
      </c>
    </row>
    <row r="391" spans="1:13">
      <c r="A391" s="934">
        <v>8.3</v>
      </c>
      <c r="B391" s="937">
        <v>0.6445</v>
      </c>
      <c r="C391" s="937">
        <v>0.6445</v>
      </c>
      <c r="D391" s="937">
        <v>0.6058</v>
      </c>
      <c r="E391" s="937">
        <v>0.6058</v>
      </c>
      <c r="F391" s="937">
        <v>0.6058</v>
      </c>
      <c r="G391" s="937">
        <v>0.5319</v>
      </c>
      <c r="H391" s="937">
        <v>0.5319</v>
      </c>
      <c r="I391" s="937">
        <v>0.4543</v>
      </c>
      <c r="J391" s="937">
        <v>0.4543</v>
      </c>
      <c r="K391" s="937">
        <v>0.4543</v>
      </c>
      <c r="L391" s="937">
        <v>0.4543</v>
      </c>
      <c r="M391" s="937">
        <v>0.4543</v>
      </c>
    </row>
    <row r="392" spans="1:13">
      <c r="A392" s="934">
        <v>8.4</v>
      </c>
      <c r="B392" s="937">
        <v>0.6435</v>
      </c>
      <c r="C392" s="937">
        <v>0.6435</v>
      </c>
      <c r="D392" s="937">
        <v>0.6045</v>
      </c>
      <c r="E392" s="937">
        <v>0.6045</v>
      </c>
      <c r="F392" s="937">
        <v>0.6045</v>
      </c>
      <c r="G392" s="937">
        <v>0.5304</v>
      </c>
      <c r="H392" s="937">
        <v>0.5304</v>
      </c>
      <c r="I392" s="937">
        <v>0.4529</v>
      </c>
      <c r="J392" s="937">
        <v>0.4529</v>
      </c>
      <c r="K392" s="937">
        <v>0.4529</v>
      </c>
      <c r="L392" s="937">
        <v>0.4529</v>
      </c>
      <c r="M392" s="937">
        <v>0.4529</v>
      </c>
    </row>
    <row r="393" spans="1:13">
      <c r="A393" s="934">
        <v>8.5</v>
      </c>
      <c r="B393" s="937">
        <v>0.6425</v>
      </c>
      <c r="C393" s="937">
        <v>0.6425</v>
      </c>
      <c r="D393" s="937">
        <v>0.6032</v>
      </c>
      <c r="E393" s="937">
        <v>0.6032</v>
      </c>
      <c r="F393" s="937">
        <v>0.6032</v>
      </c>
      <c r="G393" s="937">
        <v>0.529</v>
      </c>
      <c r="H393" s="937">
        <v>0.529</v>
      </c>
      <c r="I393" s="937">
        <v>0.4514</v>
      </c>
      <c r="J393" s="937">
        <v>0.4514</v>
      </c>
      <c r="K393" s="937">
        <v>0.4514</v>
      </c>
      <c r="L393" s="937">
        <v>0.4514</v>
      </c>
      <c r="M393" s="937">
        <v>0.4514</v>
      </c>
    </row>
    <row r="394" spans="1:13">
      <c r="A394" s="934">
        <v>8.6</v>
      </c>
      <c r="B394" s="937">
        <v>0.6415</v>
      </c>
      <c r="C394" s="937">
        <v>0.6415</v>
      </c>
      <c r="D394" s="937">
        <v>0.6019</v>
      </c>
      <c r="E394" s="937">
        <v>0.6019</v>
      </c>
      <c r="F394" s="937">
        <v>0.6019</v>
      </c>
      <c r="G394" s="937">
        <v>0.5275</v>
      </c>
      <c r="H394" s="937">
        <v>0.5275</v>
      </c>
      <c r="I394" s="937">
        <v>0.45</v>
      </c>
      <c r="J394" s="937">
        <v>0.45</v>
      </c>
      <c r="K394" s="937">
        <v>0.45</v>
      </c>
      <c r="L394" s="937">
        <v>0.45</v>
      </c>
      <c r="M394" s="937">
        <v>0.45</v>
      </c>
    </row>
    <row r="395" spans="1:13">
      <c r="A395" s="934">
        <v>8.7</v>
      </c>
      <c r="B395" s="937">
        <v>0.6405</v>
      </c>
      <c r="C395" s="937">
        <v>0.6405</v>
      </c>
      <c r="D395" s="937">
        <v>0.6006</v>
      </c>
      <c r="E395" s="937">
        <v>0.6006</v>
      </c>
      <c r="F395" s="937">
        <v>0.6006</v>
      </c>
      <c r="G395" s="937">
        <v>0.5261</v>
      </c>
      <c r="H395" s="937">
        <v>0.5261</v>
      </c>
      <c r="I395" s="937">
        <v>0.4485</v>
      </c>
      <c r="J395" s="937">
        <v>0.4485</v>
      </c>
      <c r="K395" s="937">
        <v>0.4485</v>
      </c>
      <c r="L395" s="937">
        <v>0.4485</v>
      </c>
      <c r="M395" s="937">
        <v>0.4485</v>
      </c>
    </row>
    <row r="396" spans="1:13">
      <c r="A396" s="934">
        <v>8.8</v>
      </c>
      <c r="B396" s="937">
        <v>0.6395</v>
      </c>
      <c r="C396" s="937">
        <v>0.6395</v>
      </c>
      <c r="D396" s="937">
        <v>0.5993</v>
      </c>
      <c r="E396" s="937">
        <v>0.5993</v>
      </c>
      <c r="F396" s="937">
        <v>0.5993</v>
      </c>
      <c r="G396" s="937">
        <v>0.5246</v>
      </c>
      <c r="H396" s="937">
        <v>0.5246</v>
      </c>
      <c r="I396" s="937">
        <v>0.4471</v>
      </c>
      <c r="J396" s="937">
        <v>0.4471</v>
      </c>
      <c r="K396" s="937">
        <v>0.4471</v>
      </c>
      <c r="L396" s="937">
        <v>0.4471</v>
      </c>
      <c r="M396" s="937">
        <v>0.4471</v>
      </c>
    </row>
    <row r="397" spans="1:13">
      <c r="A397" s="934">
        <v>8.9</v>
      </c>
      <c r="B397" s="937">
        <v>0.6385</v>
      </c>
      <c r="C397" s="937">
        <v>0.6385</v>
      </c>
      <c r="D397" s="937">
        <v>0.598</v>
      </c>
      <c r="E397" s="937">
        <v>0.598</v>
      </c>
      <c r="F397" s="937">
        <v>0.598</v>
      </c>
      <c r="G397" s="937">
        <v>0.5232</v>
      </c>
      <c r="H397" s="937">
        <v>0.5232</v>
      </c>
      <c r="I397" s="937">
        <v>0.4456</v>
      </c>
      <c r="J397" s="937">
        <v>0.4456</v>
      </c>
      <c r="K397" s="937">
        <v>0.4456</v>
      </c>
      <c r="L397" s="937">
        <v>0.4456</v>
      </c>
      <c r="M397" s="937">
        <v>0.4456</v>
      </c>
    </row>
    <row r="398" spans="1:13">
      <c r="A398" s="938">
        <v>9</v>
      </c>
      <c r="B398" s="937">
        <v>0.6375</v>
      </c>
      <c r="C398" s="937">
        <v>0.6375</v>
      </c>
      <c r="D398" s="937">
        <v>0.5967</v>
      </c>
      <c r="E398" s="937">
        <v>0.5967</v>
      </c>
      <c r="F398" s="937">
        <v>0.5967</v>
      </c>
      <c r="G398" s="937">
        <v>0.5217</v>
      </c>
      <c r="H398" s="937">
        <v>0.5217</v>
      </c>
      <c r="I398" s="937">
        <v>0.4443</v>
      </c>
      <c r="J398" s="937">
        <v>0.4443</v>
      </c>
      <c r="K398" s="937">
        <v>0.4443</v>
      </c>
      <c r="L398" s="937">
        <v>0.4443</v>
      </c>
      <c r="M398" s="937">
        <v>0.4443</v>
      </c>
    </row>
    <row r="399" spans="1:13">
      <c r="A399" s="938">
        <v>9.1</v>
      </c>
      <c r="B399" s="937">
        <v>0.6365</v>
      </c>
      <c r="C399" s="937">
        <v>0.6365</v>
      </c>
      <c r="D399" s="937">
        <v>0.5954</v>
      </c>
      <c r="E399" s="937">
        <v>0.5954</v>
      </c>
      <c r="F399" s="937">
        <v>0.5954</v>
      </c>
      <c r="G399" s="937">
        <v>0.5203</v>
      </c>
      <c r="H399" s="937">
        <v>0.5203</v>
      </c>
      <c r="I399" s="937">
        <v>0.4429</v>
      </c>
      <c r="J399" s="937">
        <v>0.4429</v>
      </c>
      <c r="K399" s="937">
        <v>0.4429</v>
      </c>
      <c r="L399" s="937">
        <v>0.4429</v>
      </c>
      <c r="M399" s="937">
        <v>0.4429</v>
      </c>
    </row>
    <row r="400" spans="1:13">
      <c r="A400" s="938">
        <v>9.2</v>
      </c>
      <c r="B400" s="937">
        <v>0.6355</v>
      </c>
      <c r="C400" s="937">
        <v>0.6355</v>
      </c>
      <c r="D400" s="937">
        <v>0.5941</v>
      </c>
      <c r="E400" s="937">
        <v>0.5941</v>
      </c>
      <c r="F400" s="937">
        <v>0.5941</v>
      </c>
      <c r="G400" s="937">
        <v>0.5188</v>
      </c>
      <c r="H400" s="937">
        <v>0.5188</v>
      </c>
      <c r="I400" s="937">
        <v>0.4416</v>
      </c>
      <c r="J400" s="937">
        <v>0.4416</v>
      </c>
      <c r="K400" s="937">
        <v>0.4416</v>
      </c>
      <c r="L400" s="937">
        <v>0.4416</v>
      </c>
      <c r="M400" s="937">
        <v>0.4416</v>
      </c>
    </row>
    <row r="401" spans="1:13">
      <c r="A401" s="938">
        <v>9.3</v>
      </c>
      <c r="B401" s="937">
        <v>0.6345</v>
      </c>
      <c r="C401" s="937">
        <v>0.6345</v>
      </c>
      <c r="D401" s="937">
        <v>0.5928</v>
      </c>
      <c r="E401" s="937">
        <v>0.5928</v>
      </c>
      <c r="F401" s="937">
        <v>0.5928</v>
      </c>
      <c r="G401" s="937">
        <v>0.5174</v>
      </c>
      <c r="H401" s="937">
        <v>0.5174</v>
      </c>
      <c r="I401" s="937">
        <v>0.4402</v>
      </c>
      <c r="J401" s="937">
        <v>0.4402</v>
      </c>
      <c r="K401" s="937">
        <v>0.4402</v>
      </c>
      <c r="L401" s="937">
        <v>0.4402</v>
      </c>
      <c r="M401" s="937">
        <v>0.4402</v>
      </c>
    </row>
    <row r="402" spans="1:13">
      <c r="A402" s="938">
        <v>9.4</v>
      </c>
      <c r="B402" s="937">
        <v>0.6335</v>
      </c>
      <c r="C402" s="937">
        <v>0.6335</v>
      </c>
      <c r="D402" s="937">
        <v>0.5915</v>
      </c>
      <c r="E402" s="937">
        <v>0.5915</v>
      </c>
      <c r="F402" s="937">
        <v>0.5915</v>
      </c>
      <c r="G402" s="937">
        <v>0.516</v>
      </c>
      <c r="H402" s="937">
        <v>0.516</v>
      </c>
      <c r="I402" s="937">
        <v>0.4388</v>
      </c>
      <c r="J402" s="937">
        <v>0.4388</v>
      </c>
      <c r="K402" s="937">
        <v>0.4388</v>
      </c>
      <c r="L402" s="937">
        <v>0.4388</v>
      </c>
      <c r="M402" s="937">
        <v>0.4388</v>
      </c>
    </row>
    <row r="403" spans="1:13">
      <c r="A403" s="938">
        <v>9.5</v>
      </c>
      <c r="B403" s="937">
        <v>0.6325</v>
      </c>
      <c r="C403" s="937">
        <v>0.6325</v>
      </c>
      <c r="D403" s="937">
        <v>0.5903</v>
      </c>
      <c r="E403" s="937">
        <v>0.5903</v>
      </c>
      <c r="F403" s="937">
        <v>0.5903</v>
      </c>
      <c r="G403" s="937">
        <v>0.5147</v>
      </c>
      <c r="H403" s="937">
        <v>0.5147</v>
      </c>
      <c r="I403" s="937">
        <v>0.4375</v>
      </c>
      <c r="J403" s="937">
        <v>0.4375</v>
      </c>
      <c r="K403" s="937">
        <v>0.4375</v>
      </c>
      <c r="L403" s="937">
        <v>0.4375</v>
      </c>
      <c r="M403" s="937">
        <v>0.4375</v>
      </c>
    </row>
    <row r="404" spans="1:13">
      <c r="A404" s="938">
        <v>9.6</v>
      </c>
      <c r="B404" s="937">
        <v>0.6315</v>
      </c>
      <c r="C404" s="937">
        <v>0.6315</v>
      </c>
      <c r="D404" s="937">
        <v>0.5891</v>
      </c>
      <c r="E404" s="937">
        <v>0.5891</v>
      </c>
      <c r="F404" s="937">
        <v>0.5891</v>
      </c>
      <c r="G404" s="937">
        <v>0.5133</v>
      </c>
      <c r="H404" s="937">
        <v>0.5133</v>
      </c>
      <c r="I404" s="937">
        <v>0.4361</v>
      </c>
      <c r="J404" s="937">
        <v>0.4361</v>
      </c>
      <c r="K404" s="937">
        <v>0.4361</v>
      </c>
      <c r="L404" s="937">
        <v>0.4361</v>
      </c>
      <c r="M404" s="937">
        <v>0.4361</v>
      </c>
    </row>
    <row r="405" spans="1:13">
      <c r="A405" s="938">
        <v>9.7</v>
      </c>
      <c r="B405" s="937">
        <v>0.6305</v>
      </c>
      <c r="C405" s="937">
        <v>0.6305</v>
      </c>
      <c r="D405" s="937">
        <v>0.5879</v>
      </c>
      <c r="E405" s="937">
        <v>0.5879</v>
      </c>
      <c r="F405" s="937">
        <v>0.5879</v>
      </c>
      <c r="G405" s="937">
        <v>0.512</v>
      </c>
      <c r="H405" s="937">
        <v>0.512</v>
      </c>
      <c r="I405" s="937">
        <v>0.4348</v>
      </c>
      <c r="J405" s="937">
        <v>0.4348</v>
      </c>
      <c r="K405" s="937">
        <v>0.4348</v>
      </c>
      <c r="L405" s="937">
        <v>0.4348</v>
      </c>
      <c r="M405" s="937">
        <v>0.4348</v>
      </c>
    </row>
    <row r="406" spans="1:13">
      <c r="A406" s="938">
        <v>9.8</v>
      </c>
      <c r="B406" s="937">
        <v>0.6295</v>
      </c>
      <c r="C406" s="937">
        <v>0.6295</v>
      </c>
      <c r="D406" s="937">
        <v>0.5867</v>
      </c>
      <c r="E406" s="937">
        <v>0.5867</v>
      </c>
      <c r="F406" s="937">
        <v>0.5867</v>
      </c>
      <c r="G406" s="937">
        <v>0.5106</v>
      </c>
      <c r="H406" s="937">
        <v>0.5106</v>
      </c>
      <c r="I406" s="937">
        <v>0.4334</v>
      </c>
      <c r="J406" s="937">
        <v>0.4334</v>
      </c>
      <c r="K406" s="937">
        <v>0.4334</v>
      </c>
      <c r="L406" s="937">
        <v>0.4334</v>
      </c>
      <c r="M406" s="937">
        <v>0.4334</v>
      </c>
    </row>
    <row r="407" spans="1:13">
      <c r="A407" s="938">
        <v>9.9</v>
      </c>
      <c r="B407" s="937">
        <v>0.6285</v>
      </c>
      <c r="C407" s="937">
        <v>0.6285</v>
      </c>
      <c r="D407" s="937">
        <v>0.5855</v>
      </c>
      <c r="E407" s="937">
        <v>0.5855</v>
      </c>
      <c r="F407" s="937">
        <v>0.5855</v>
      </c>
      <c r="G407" s="937">
        <v>0.5092</v>
      </c>
      <c r="H407" s="937">
        <v>0.5092</v>
      </c>
      <c r="I407" s="937">
        <v>0.432</v>
      </c>
      <c r="J407" s="937">
        <v>0.432</v>
      </c>
      <c r="K407" s="937">
        <v>0.432</v>
      </c>
      <c r="L407" s="937">
        <v>0.432</v>
      </c>
      <c r="M407" s="937">
        <v>0.432</v>
      </c>
    </row>
    <row r="408" spans="1:13">
      <c r="A408" s="938">
        <v>10</v>
      </c>
      <c r="B408" s="937">
        <v>0.6275</v>
      </c>
      <c r="C408" s="937">
        <v>0.6275</v>
      </c>
      <c r="D408" s="937">
        <v>0.5843</v>
      </c>
      <c r="E408" s="937">
        <v>0.5843</v>
      </c>
      <c r="F408" s="937">
        <v>0.5843</v>
      </c>
      <c r="G408" s="937">
        <v>0.5079</v>
      </c>
      <c r="H408" s="937">
        <v>0.5079</v>
      </c>
      <c r="I408" s="937">
        <v>0.4307</v>
      </c>
      <c r="J408" s="937">
        <v>0.4307</v>
      </c>
      <c r="K408" s="937">
        <v>0.4307</v>
      </c>
      <c r="L408" s="937">
        <v>0.4307</v>
      </c>
      <c r="M408" s="937">
        <v>0.4307</v>
      </c>
    </row>
  </sheetData>
  <sheetProtection password="C66D" sheet="1" formatCells="0" formatColumns="0" formatRows="0" objects="1" scenarios="1"/>
  <pageMargins left="0.7" right="0.7" top="0.75" bottom="0.75" header="0.3" footer="0.3"/>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3.8"/>
  <cols>
    <col min="1" max="1" width="23.3333333333333" style="917" customWidth="1"/>
    <col min="2" max="2" width="12.4444444444444" style="917" customWidth="1"/>
    <col min="3" max="3" width="12.1111111111111" style="917" customWidth="1"/>
    <col min="4" max="4" width="14.1111111111111" style="917" customWidth="1"/>
    <col min="5" max="5" width="12.4444444444444" style="917" customWidth="1"/>
    <col min="6" max="16384" width="9" style="917"/>
  </cols>
  <sheetData>
    <row r="1" ht="20.4" spans="1:16">
      <c r="A1" s="918" t="s">
        <v>2043</v>
      </c>
      <c r="B1" s="919"/>
      <c r="C1" s="919"/>
      <c r="D1" s="919"/>
      <c r="E1" s="919"/>
      <c r="F1" s="920"/>
      <c r="G1" s="920"/>
      <c r="H1" s="920"/>
      <c r="I1" s="920"/>
      <c r="J1" s="920"/>
      <c r="K1" s="920"/>
      <c r="L1" s="920"/>
      <c r="M1" s="920"/>
      <c r="N1" s="920"/>
      <c r="O1" s="920"/>
      <c r="P1" s="920"/>
    </row>
    <row r="2" ht="15.6" spans="1:16">
      <c r="A2" s="921" t="s">
        <v>97</v>
      </c>
      <c r="B2" s="922" t="e">
        <f ca="1">SUMIF(B6:B13,"&lt;&gt;#ref!",B6:B13)</f>
        <v>#DIV/0!</v>
      </c>
      <c r="C2" s="921" t="s">
        <v>2044</v>
      </c>
      <c r="D2" s="921" t="s">
        <v>2045</v>
      </c>
      <c r="E2" s="923">
        <f ca="1">SUMIF(E6:E13,"&lt;&gt;#ref!",E6:E13)</f>
        <v>0</v>
      </c>
      <c r="F2" s="920"/>
      <c r="G2" s="920"/>
      <c r="H2" s="920"/>
      <c r="I2" s="920"/>
      <c r="J2" s="920"/>
      <c r="K2" s="920"/>
      <c r="L2" s="920"/>
      <c r="M2" s="920"/>
      <c r="N2" s="920"/>
      <c r="O2" s="920"/>
      <c r="P2" s="920"/>
    </row>
    <row r="3" ht="15.6" spans="1:16">
      <c r="A3" s="921" t="s">
        <v>2046</v>
      </c>
      <c r="B3" s="922" t="e">
        <f ca="1">ROUND(B2*10000/E2,0)</f>
        <v>#DIV/0!</v>
      </c>
      <c r="C3" s="921" t="s">
        <v>2047</v>
      </c>
      <c r="D3" s="920"/>
      <c r="E3" s="920"/>
      <c r="F3" s="920"/>
      <c r="G3" s="920"/>
      <c r="H3" s="920"/>
      <c r="I3" s="920"/>
      <c r="J3" s="920"/>
      <c r="K3" s="920"/>
      <c r="L3" s="920"/>
      <c r="M3" s="920"/>
      <c r="N3" s="920"/>
      <c r="O3" s="920"/>
      <c r="P3" s="920"/>
    </row>
    <row r="4" ht="15.6" spans="1:16">
      <c r="A4" s="924"/>
      <c r="B4" s="920"/>
      <c r="C4" s="920"/>
      <c r="D4" s="920"/>
      <c r="E4" s="920"/>
      <c r="F4" s="920"/>
      <c r="G4" s="920"/>
      <c r="H4" s="920"/>
      <c r="I4" s="920"/>
      <c r="J4" s="920"/>
      <c r="K4" s="920"/>
      <c r="L4" s="920"/>
      <c r="M4" s="920"/>
      <c r="N4" s="920"/>
      <c r="O4" s="920"/>
      <c r="P4" s="920"/>
    </row>
    <row r="5" ht="31.2" spans="1:16">
      <c r="A5" s="925" t="s">
        <v>2048</v>
      </c>
      <c r="B5" s="926" t="s">
        <v>2049</v>
      </c>
      <c r="C5" s="927"/>
      <c r="D5" s="920"/>
      <c r="E5" s="928" t="s">
        <v>2050</v>
      </c>
      <c r="F5" s="920"/>
      <c r="G5" s="920"/>
      <c r="H5" s="920"/>
      <c r="I5" s="920"/>
      <c r="J5" s="920"/>
      <c r="K5" s="920"/>
      <c r="L5" s="920"/>
      <c r="M5" s="920"/>
      <c r="N5" s="920"/>
      <c r="O5" s="920"/>
      <c r="P5" s="920"/>
    </row>
    <row r="6" ht="15.6" spans="1:16">
      <c r="A6" s="929" t="s">
        <v>2051</v>
      </c>
      <c r="B6" s="922" t="e">
        <f ca="1">SUMIF(INDIRECT("'"&amp;A6&amp;"'"&amp;"!A:A"),"总价",INDIRECT("'"&amp;A6&amp;"'"&amp;"!B:B"))</f>
        <v>#DIV/0!</v>
      </c>
      <c r="C6" s="921" t="s">
        <v>2044</v>
      </c>
      <c r="D6" s="920"/>
      <c r="E6" s="923">
        <f ca="1">SUMIF(INDIRECT("'"&amp;A6&amp;"'"&amp;"!C:C"),"建筑面积",INDIRECT("'"&amp;A6&amp;"'"&amp;"!D:D"))</f>
        <v>0</v>
      </c>
      <c r="F6" s="920"/>
      <c r="G6" s="920"/>
      <c r="H6" s="920"/>
      <c r="I6" s="920"/>
      <c r="J6" s="920"/>
      <c r="K6" s="920"/>
      <c r="L6" s="920"/>
      <c r="M6" s="920"/>
      <c r="N6" s="920"/>
      <c r="O6" s="920"/>
      <c r="P6" s="920"/>
    </row>
    <row r="7" ht="15.6" spans="1:16">
      <c r="A7" s="929"/>
      <c r="B7" s="922" t="e">
        <f ca="1">SUMIF(INDIRECT("'"&amp;A7&amp;"'"&amp;"!A:A"),"总价",INDIRECT("'"&amp;A7&amp;"'"&amp;"!B:B"))</f>
        <v>#REF!</v>
      </c>
      <c r="C7" s="921" t="s">
        <v>2044</v>
      </c>
      <c r="D7" s="920"/>
      <c r="E7" s="923" t="e">
        <f ca="1" t="shared" ref="E7:E13" si="0">SUMIF(INDIRECT("'"&amp;A7&amp;"'"&amp;"!C:C"),"建筑面积",INDIRECT("'"&amp;A7&amp;"'"&amp;"!D:D"))</f>
        <v>#REF!</v>
      </c>
      <c r="F7" s="920"/>
      <c r="G7" s="920"/>
      <c r="H7" s="920"/>
      <c r="I7" s="920"/>
      <c r="J7" s="920"/>
      <c r="K7" s="920"/>
      <c r="L7" s="920"/>
      <c r="M7" s="920"/>
      <c r="N7" s="920"/>
      <c r="O7" s="920"/>
      <c r="P7" s="920"/>
    </row>
    <row r="8" ht="15.6" spans="1:16">
      <c r="A8" s="929"/>
      <c r="B8" s="922" t="e">
        <f ca="1" t="shared" ref="B8:B13" si="1">SUMIF(INDIRECT("'"&amp;A8&amp;"'"&amp;"!A:A"),"总价",INDIRECT("'"&amp;A8&amp;"'"&amp;"!B:B"))</f>
        <v>#REF!</v>
      </c>
      <c r="C8" s="921" t="s">
        <v>2044</v>
      </c>
      <c r="D8" s="920"/>
      <c r="E8" s="923" t="e">
        <f ca="1" t="shared" si="0"/>
        <v>#REF!</v>
      </c>
      <c r="F8" s="920"/>
      <c r="G8" s="920"/>
      <c r="H8" s="920"/>
      <c r="I8" s="920"/>
      <c r="J8" s="920"/>
      <c r="K8" s="920"/>
      <c r="L8" s="920"/>
      <c r="M8" s="920"/>
      <c r="N8" s="920"/>
      <c r="O8" s="920"/>
      <c r="P8" s="920"/>
    </row>
    <row r="9" ht="15.6" spans="1:16">
      <c r="A9" s="929"/>
      <c r="B9" s="922" t="e">
        <f ca="1" t="shared" si="1"/>
        <v>#REF!</v>
      </c>
      <c r="C9" s="921" t="s">
        <v>2044</v>
      </c>
      <c r="D9" s="920"/>
      <c r="E9" s="923" t="e">
        <f ca="1" t="shared" si="0"/>
        <v>#REF!</v>
      </c>
      <c r="F9" s="920"/>
      <c r="G9" s="920"/>
      <c r="H9" s="920"/>
      <c r="I9" s="920"/>
      <c r="J9" s="920"/>
      <c r="K9" s="920"/>
      <c r="L9" s="920"/>
      <c r="M9" s="920"/>
      <c r="N9" s="920"/>
      <c r="O9" s="920"/>
      <c r="P9" s="920"/>
    </row>
    <row r="10" ht="15.6" spans="1:16">
      <c r="A10" s="929"/>
      <c r="B10" s="922" t="e">
        <f ca="1" t="shared" si="1"/>
        <v>#REF!</v>
      </c>
      <c r="C10" s="921" t="s">
        <v>2044</v>
      </c>
      <c r="D10" s="920"/>
      <c r="E10" s="923" t="e">
        <f ca="1" t="shared" si="0"/>
        <v>#REF!</v>
      </c>
      <c r="F10" s="920"/>
      <c r="G10" s="920"/>
      <c r="H10" s="920"/>
      <c r="I10" s="920"/>
      <c r="J10" s="920"/>
      <c r="K10" s="920"/>
      <c r="L10" s="920"/>
      <c r="M10" s="920"/>
      <c r="N10" s="920"/>
      <c r="O10" s="920"/>
      <c r="P10" s="920"/>
    </row>
    <row r="11" ht="15.6" spans="1:16">
      <c r="A11" s="929"/>
      <c r="B11" s="922" t="e">
        <f ca="1" t="shared" si="1"/>
        <v>#REF!</v>
      </c>
      <c r="C11" s="921" t="s">
        <v>2044</v>
      </c>
      <c r="D11" s="920"/>
      <c r="E11" s="923" t="e">
        <f ca="1" t="shared" si="0"/>
        <v>#REF!</v>
      </c>
      <c r="F11" s="920"/>
      <c r="G11" s="920"/>
      <c r="H11" s="920"/>
      <c r="I11" s="920"/>
      <c r="J11" s="920"/>
      <c r="K11" s="920"/>
      <c r="L11" s="920"/>
      <c r="M11" s="920"/>
      <c r="N11" s="920"/>
      <c r="O11" s="920"/>
      <c r="P11" s="920"/>
    </row>
    <row r="12" ht="15.6" spans="1:16">
      <c r="A12" s="929"/>
      <c r="B12" s="922" t="e">
        <f ca="1" t="shared" si="1"/>
        <v>#REF!</v>
      </c>
      <c r="C12" s="921" t="s">
        <v>2044</v>
      </c>
      <c r="D12" s="920"/>
      <c r="E12" s="923" t="e">
        <f ca="1" t="shared" si="0"/>
        <v>#REF!</v>
      </c>
      <c r="F12" s="920"/>
      <c r="G12" s="920"/>
      <c r="H12" s="920"/>
      <c r="I12" s="920"/>
      <c r="J12" s="920"/>
      <c r="K12" s="920"/>
      <c r="L12" s="920"/>
      <c r="M12" s="920"/>
      <c r="N12" s="920"/>
      <c r="O12" s="920"/>
      <c r="P12" s="920"/>
    </row>
    <row r="13" ht="15.6" spans="1:16">
      <c r="A13" s="929"/>
      <c r="B13" s="922" t="e">
        <f ca="1" t="shared" si="1"/>
        <v>#REF!</v>
      </c>
      <c r="C13" s="921" t="s">
        <v>2044</v>
      </c>
      <c r="D13" s="920"/>
      <c r="E13" s="923" t="e">
        <f ca="1" t="shared" si="0"/>
        <v>#REF!</v>
      </c>
      <c r="F13" s="920"/>
      <c r="G13" s="920"/>
      <c r="H13" s="920"/>
      <c r="I13" s="920"/>
      <c r="J13" s="920"/>
      <c r="K13" s="920"/>
      <c r="L13" s="920"/>
      <c r="M13" s="920"/>
      <c r="N13" s="920"/>
      <c r="O13" s="920"/>
      <c r="P13" s="920"/>
    </row>
    <row r="14" spans="1:16">
      <c r="A14" s="920"/>
      <c r="B14" s="920"/>
      <c r="C14" s="920"/>
      <c r="D14" s="920"/>
      <c r="E14" s="920"/>
      <c r="F14" s="920"/>
      <c r="G14" s="920"/>
      <c r="H14" s="920"/>
      <c r="I14" s="920"/>
      <c r="J14" s="920"/>
      <c r="K14" s="920"/>
      <c r="L14" s="920"/>
      <c r="M14" s="920"/>
      <c r="N14" s="920"/>
      <c r="O14" s="920"/>
      <c r="P14" s="920"/>
    </row>
    <row r="15" spans="1:16">
      <c r="A15" s="920"/>
      <c r="B15" s="920"/>
      <c r="C15" s="920"/>
      <c r="D15" s="920"/>
      <c r="E15" s="920"/>
      <c r="F15" s="920"/>
      <c r="G15" s="920"/>
      <c r="H15" s="920"/>
      <c r="I15" s="920"/>
      <c r="J15" s="920"/>
      <c r="K15" s="920"/>
      <c r="L15" s="920"/>
      <c r="M15" s="920"/>
      <c r="N15" s="920"/>
      <c r="O15" s="920"/>
      <c r="P15" s="920"/>
    </row>
    <row r="16" spans="1:16">
      <c r="A16" s="920"/>
      <c r="B16" s="920"/>
      <c r="C16" s="920"/>
      <c r="D16" s="920"/>
      <c r="E16" s="920"/>
      <c r="F16" s="920"/>
      <c r="G16" s="920"/>
      <c r="H16" s="920"/>
      <c r="I16" s="920"/>
      <c r="J16" s="920"/>
      <c r="K16" s="920"/>
      <c r="L16" s="920"/>
      <c r="M16" s="920"/>
      <c r="N16" s="920"/>
      <c r="O16" s="920"/>
      <c r="P16" s="920"/>
    </row>
    <row r="17" spans="1:16">
      <c r="A17" s="920"/>
      <c r="B17" s="920"/>
      <c r="C17" s="920"/>
      <c r="D17" s="920"/>
      <c r="E17" s="920"/>
      <c r="F17" s="920"/>
      <c r="G17" s="920"/>
      <c r="H17" s="920"/>
      <c r="I17" s="920"/>
      <c r="J17" s="920"/>
      <c r="K17" s="920"/>
      <c r="L17" s="920"/>
      <c r="M17" s="920"/>
      <c r="N17" s="920"/>
      <c r="O17" s="920"/>
      <c r="P17" s="920"/>
    </row>
    <row r="18" spans="1:16">
      <c r="A18" s="920"/>
      <c r="B18" s="920"/>
      <c r="C18" s="920"/>
      <c r="D18" s="920"/>
      <c r="E18" s="920"/>
      <c r="F18" s="920"/>
      <c r="G18" s="920"/>
      <c r="H18" s="920"/>
      <c r="I18" s="920"/>
      <c r="J18" s="920"/>
      <c r="K18" s="920"/>
      <c r="L18" s="920"/>
      <c r="M18" s="920"/>
      <c r="N18" s="920"/>
      <c r="O18" s="920"/>
      <c r="P18" s="920"/>
    </row>
    <row r="19" spans="1:16">
      <c r="A19" s="920"/>
      <c r="B19" s="920"/>
      <c r="C19" s="920"/>
      <c r="D19" s="920"/>
      <c r="E19" s="920"/>
      <c r="F19" s="920"/>
      <c r="G19" s="920"/>
      <c r="H19" s="920"/>
      <c r="I19" s="920"/>
      <c r="J19" s="920"/>
      <c r="K19" s="920"/>
      <c r="L19" s="920"/>
      <c r="M19" s="920"/>
      <c r="N19" s="920"/>
      <c r="O19" s="920"/>
      <c r="P19" s="920"/>
    </row>
    <row r="20" spans="1:16">
      <c r="A20" s="920"/>
      <c r="B20" s="920"/>
      <c r="C20" s="920"/>
      <c r="D20" s="920"/>
      <c r="E20" s="920"/>
      <c r="F20" s="920"/>
      <c r="G20" s="920"/>
      <c r="H20" s="920"/>
      <c r="I20" s="920"/>
      <c r="J20" s="920"/>
      <c r="K20" s="920"/>
      <c r="L20" s="920"/>
      <c r="M20" s="920"/>
      <c r="N20" s="920"/>
      <c r="O20" s="920"/>
      <c r="P20" s="920"/>
    </row>
    <row r="21" spans="1:16">
      <c r="A21" s="920"/>
      <c r="B21" s="920"/>
      <c r="C21" s="920"/>
      <c r="D21" s="920"/>
      <c r="E21" s="920"/>
      <c r="F21" s="920"/>
      <c r="G21" s="920"/>
      <c r="H21" s="920"/>
      <c r="I21" s="920"/>
      <c r="J21" s="920"/>
      <c r="K21" s="920"/>
      <c r="L21" s="920"/>
      <c r="M21" s="920"/>
      <c r="N21" s="920"/>
      <c r="O21" s="920"/>
      <c r="P21" s="920"/>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20"/>
  <sheetViews>
    <sheetView zoomScale="80" zoomScaleNormal="80" workbookViewId="0">
      <selection activeCell="Q72" sqref="Q72"/>
    </sheetView>
  </sheetViews>
  <sheetFormatPr defaultColWidth="9" defaultRowHeight="13.2"/>
  <cols>
    <col min="1" max="1" width="9" style="783"/>
    <col min="2" max="6" width="9" style="783" customWidth="1"/>
    <col min="7" max="7" width="9" style="784"/>
    <col min="8" max="8" width="9" style="783"/>
    <col min="9" max="12" width="9" style="783" customWidth="1"/>
    <col min="13" max="13" width="2.22222222222222" style="783" customWidth="1"/>
    <col min="14" max="14" width="9" style="784" customWidth="1"/>
    <col min="15" max="17" width="9" style="783" customWidth="1"/>
    <col min="18" max="18" width="2.33333333333333" style="783" customWidth="1"/>
    <col min="19" max="19" width="7.11111111111111" style="784" customWidth="1"/>
    <col min="20" max="22" width="7.11111111111111" style="783" customWidth="1"/>
    <col min="23" max="23" width="24.2222222222222" style="783" customWidth="1"/>
    <col min="24" max="25" width="9" style="783"/>
    <col min="26" max="27" width="11.6666666666667" style="783" customWidth="1"/>
    <col min="28" max="28" width="9" style="783"/>
    <col min="29" max="29" width="2" style="783" customWidth="1"/>
    <col min="30" max="16384" width="9" style="783"/>
  </cols>
  <sheetData>
    <row r="1" s="774" customFormat="1" spans="2:30">
      <c r="B1" s="785" t="s">
        <v>2052</v>
      </c>
      <c r="C1" s="785"/>
      <c r="D1" s="785"/>
      <c r="E1" s="785"/>
      <c r="F1" s="785"/>
      <c r="G1" s="774" t="s">
        <v>2053</v>
      </c>
      <c r="N1" s="774" t="s">
        <v>2054</v>
      </c>
      <c r="S1" s="774" t="s">
        <v>2055</v>
      </c>
      <c r="X1" s="862" t="s">
        <v>2056</v>
      </c>
      <c r="AD1" s="862" t="s">
        <v>2057</v>
      </c>
    </row>
    <row r="2" s="775" customFormat="1" ht="15.15" spans="2:34">
      <c r="B2" s="786" t="s">
        <v>2058</v>
      </c>
      <c r="C2" s="786" t="s">
        <v>2059</v>
      </c>
      <c r="D2" s="787" t="s">
        <v>1797</v>
      </c>
      <c r="E2" s="787" t="s">
        <v>1798</v>
      </c>
      <c r="F2" s="786" t="s">
        <v>2060</v>
      </c>
      <c r="G2" s="788"/>
      <c r="I2" s="786" t="s">
        <v>2058</v>
      </c>
      <c r="J2" s="787" t="s">
        <v>1815</v>
      </c>
      <c r="K2" s="787" t="s">
        <v>1798</v>
      </c>
      <c r="L2" s="786" t="s">
        <v>2060</v>
      </c>
      <c r="N2" s="786" t="s">
        <v>2058</v>
      </c>
      <c r="O2" s="787" t="s">
        <v>1815</v>
      </c>
      <c r="P2" s="787" t="s">
        <v>1798</v>
      </c>
      <c r="Q2" s="786" t="s">
        <v>2060</v>
      </c>
      <c r="S2" s="786" t="s">
        <v>2058</v>
      </c>
      <c r="T2" s="787" t="s">
        <v>1815</v>
      </c>
      <c r="U2" s="787" t="s">
        <v>1798</v>
      </c>
      <c r="V2" s="786" t="s">
        <v>2060</v>
      </c>
      <c r="X2" s="786" t="s">
        <v>2058</v>
      </c>
      <c r="Y2" s="786" t="s">
        <v>2059</v>
      </c>
      <c r="Z2" s="787" t="s">
        <v>1797</v>
      </c>
      <c r="AA2" s="787" t="s">
        <v>1798</v>
      </c>
      <c r="AB2" s="786" t="s">
        <v>2060</v>
      </c>
      <c r="AD2" s="786" t="s">
        <v>2058</v>
      </c>
      <c r="AE2" s="786" t="s">
        <v>2059</v>
      </c>
      <c r="AF2" s="787" t="s">
        <v>1797</v>
      </c>
      <c r="AG2" s="787" t="s">
        <v>1798</v>
      </c>
      <c r="AH2" s="786" t="s">
        <v>2060</v>
      </c>
    </row>
    <row r="3" s="776" customFormat="1" ht="14.4" spans="1:34">
      <c r="A3" s="789" t="s">
        <v>2061</v>
      </c>
      <c r="B3" s="790"/>
      <c r="C3" s="790"/>
      <c r="D3" s="791"/>
      <c r="E3" s="791"/>
      <c r="F3" s="790"/>
      <c r="G3" s="792"/>
      <c r="H3" s="793"/>
      <c r="I3" s="833">
        <f>ROUND(AVERAGE($I4:$I37),2)</f>
        <v>1.64</v>
      </c>
      <c r="J3" s="833">
        <f>ROUND(AVERAGE($J4:$J37),2)</f>
        <v>1.03</v>
      </c>
      <c r="K3" s="833">
        <f>ROUND(AVERAGE($K4:$K37),2)</f>
        <v>1.81</v>
      </c>
      <c r="L3" s="833">
        <f>ROUND(AVERAGE($L4:$L37),2)</f>
        <v>1.2</v>
      </c>
      <c r="N3" s="792"/>
      <c r="S3" s="792"/>
      <c r="W3" s="863"/>
      <c r="X3" s="864">
        <f>ROUND(SUMPRODUCT(PRODUCT(1+N3:N$36)),4)</f>
        <v>1.6585</v>
      </c>
      <c r="Y3" s="864">
        <f>ROUND(SUMPRODUCT(PRODUCT(1+O3:O$36)),4)</f>
        <v>1.3677</v>
      </c>
      <c r="Z3" s="864">
        <f t="shared" ref="Z3:Z34" si="0">Y3</f>
        <v>1.3677</v>
      </c>
      <c r="AA3" s="864">
        <f>ROUND(SUMPRODUCT(PRODUCT(1+P3:P$36)),4)</f>
        <v>1.7434</v>
      </c>
      <c r="AB3" s="864">
        <f>ROUND(SUMPRODUCT(PRODUCT(1+Q3:Q$36)),4)</f>
        <v>1.4609</v>
      </c>
      <c r="AD3" s="881">
        <f>ROUND(AVERAGE(I3:I$37)/100,4)</f>
        <v>0.0164</v>
      </c>
      <c r="AE3" s="881">
        <f>ROUND(AVERAGE(J3:J$37)/100,4)</f>
        <v>0.0103</v>
      </c>
      <c r="AF3" s="881">
        <f t="shared" ref="AF3:AF35" si="1">AE3</f>
        <v>0.0103</v>
      </c>
      <c r="AG3" s="881">
        <f>ROUND(AVERAGE(K3:K$37)/100,4)</f>
        <v>0.0181</v>
      </c>
      <c r="AH3" s="881">
        <f>ROUND(AVERAGE(L3:L$37)/100,4)</f>
        <v>0.012</v>
      </c>
    </row>
    <row r="4" s="777" customFormat="1" ht="14.4" spans="2:34">
      <c r="B4" s="794"/>
      <c r="C4" s="794"/>
      <c r="D4" s="795"/>
      <c r="E4" s="795"/>
      <c r="F4" s="794"/>
      <c r="G4" s="796"/>
      <c r="H4" s="797"/>
      <c r="I4" s="834"/>
      <c r="J4" s="834"/>
      <c r="K4" s="834"/>
      <c r="L4" s="834"/>
      <c r="N4" s="796"/>
      <c r="S4" s="796"/>
      <c r="X4" s="783"/>
      <c r="Y4" s="783"/>
      <c r="Z4" s="783"/>
      <c r="AA4" s="783"/>
      <c r="AB4" s="783"/>
      <c r="AD4" s="840"/>
      <c r="AE4" s="840"/>
      <c r="AF4" s="840"/>
      <c r="AG4" s="840"/>
      <c r="AH4" s="840"/>
    </row>
    <row r="5" s="778" customFormat="1" spans="1:34">
      <c r="A5" s="798" t="s">
        <v>2062</v>
      </c>
      <c r="B5" s="799">
        <f t="shared" ref="B5" si="2">B6*(1+N5)</f>
        <v>510.070896595546</v>
      </c>
      <c r="C5" s="799">
        <f t="shared" ref="C5" si="3">C6*(1+O5)</f>
        <v>352.555931857374</v>
      </c>
      <c r="D5" s="799">
        <f t="shared" ref="D5" si="4">C5</f>
        <v>352.555931857374</v>
      </c>
      <c r="E5" s="799">
        <f t="shared" ref="E5" si="5">E6*(1+P5)</f>
        <v>737.279924634037</v>
      </c>
      <c r="F5" s="799">
        <f t="shared" ref="F5" si="6">F6*(1+Q5)</f>
        <v>335.883191982979</v>
      </c>
      <c r="G5" s="800">
        <v>2022</v>
      </c>
      <c r="H5" s="801">
        <v>1</v>
      </c>
      <c r="I5" s="835">
        <v>0</v>
      </c>
      <c r="J5" s="835">
        <v>0</v>
      </c>
      <c r="K5" s="835">
        <v>0</v>
      </c>
      <c r="L5" s="835">
        <v>0</v>
      </c>
      <c r="N5" s="836">
        <f t="shared" ref="N5" si="7">I5/100</f>
        <v>0</v>
      </c>
      <c r="O5" s="836">
        <f t="shared" ref="O5" si="8">J5/100</f>
        <v>0</v>
      </c>
      <c r="P5" s="836">
        <f t="shared" ref="P5" si="9">K5/100</f>
        <v>0</v>
      </c>
      <c r="Q5" s="836">
        <f t="shared" ref="Q5" si="10">L5/100</f>
        <v>0</v>
      </c>
      <c r="S5" s="865"/>
      <c r="W5" s="866" t="s">
        <v>2063</v>
      </c>
      <c r="X5" s="867">
        <f>ROUND(IF(项目基本情况!B1="出让",SUMPRODUCT(PRODUCT(1+N5:N$37)),SUMPRODUCT(PRODUCT(1+N5:N$36))),4)</f>
        <v>1.6585</v>
      </c>
      <c r="Y5" s="867">
        <f>ROUND(IF(项目基本情况!B1="出让",SUMPRODUCT(PRODUCT(1+O5:O$37)),SUMPRODUCT(PRODUCT(1+O5:O$36))),4)</f>
        <v>1.3677</v>
      </c>
      <c r="Z5" s="867">
        <f t="shared" ref="Z5" si="11">Y5</f>
        <v>1.3677</v>
      </c>
      <c r="AA5" s="867">
        <f>ROUND(IF(项目基本情况!B1="出让",SUMPRODUCT(PRODUCT(1+P5:P$37)),SUMPRODUCT(PRODUCT(1+P5:P$36))),4)</f>
        <v>1.7434</v>
      </c>
      <c r="AB5" s="867">
        <f>ROUND(IF(项目基本情况!B1="出让",SUMPRODUCT(PRODUCT(1+Q5:Q$37)),SUMPRODUCT(PRODUCT(1+Q5:Q$36))),4)</f>
        <v>1.4609</v>
      </c>
      <c r="AD5" s="882">
        <f>ROUND(AVERAGE(I5:I$37)/100,4)</f>
        <v>0.0164</v>
      </c>
      <c r="AE5" s="882">
        <f>ROUND(AVERAGE(J5:J$37)/100,4)</f>
        <v>0.0103</v>
      </c>
      <c r="AF5" s="882">
        <f t="shared" ref="AF5" si="12">AE5</f>
        <v>0.0103</v>
      </c>
      <c r="AG5" s="882">
        <f>ROUND(AVERAGE(K5:K$37)/100,4)</f>
        <v>0.0181</v>
      </c>
      <c r="AH5" s="882">
        <f>ROUND(AVERAGE(L5:L$37)/100,4)</f>
        <v>0.012</v>
      </c>
    </row>
    <row r="6" s="779" customFormat="1" spans="1:34">
      <c r="A6" s="802" t="s">
        <v>2064</v>
      </c>
      <c r="B6" s="803">
        <f t="shared" ref="B6" si="13">B7*(1+N6)</f>
        <v>510.070896595546</v>
      </c>
      <c r="C6" s="803">
        <f t="shared" ref="C6" si="14">C7*(1+O6)</f>
        <v>352.555931857374</v>
      </c>
      <c r="D6" s="803">
        <f t="shared" ref="D6" si="15">C6</f>
        <v>352.555931857374</v>
      </c>
      <c r="E6" s="803">
        <f t="shared" ref="E6" si="16">E7*(1+P6)</f>
        <v>737.279924634037</v>
      </c>
      <c r="F6" s="803">
        <f t="shared" ref="F6" si="17">F7*(1+Q6)</f>
        <v>335.883191982979</v>
      </c>
      <c r="G6" s="800">
        <v>2021</v>
      </c>
      <c r="H6" s="804">
        <v>4</v>
      </c>
      <c r="I6" s="837">
        <v>1.03</v>
      </c>
      <c r="J6" s="837">
        <v>0.24</v>
      </c>
      <c r="K6" s="837">
        <v>1.17</v>
      </c>
      <c r="L6" s="838">
        <v>0.55</v>
      </c>
      <c r="M6" s="783"/>
      <c r="N6" s="839">
        <f t="shared" ref="N6" si="18">I6/100</f>
        <v>0.0103</v>
      </c>
      <c r="O6" s="840">
        <f t="shared" ref="O6" si="19">J6/100</f>
        <v>0.0024</v>
      </c>
      <c r="P6" s="840">
        <f t="shared" ref="P6" si="20">K6/100</f>
        <v>0.0117</v>
      </c>
      <c r="Q6" s="840">
        <f t="shared" ref="Q6" si="21">L6/100</f>
        <v>0.0055</v>
      </c>
      <c r="R6" s="868"/>
      <c r="S6" s="839"/>
      <c r="T6" s="840"/>
      <c r="U6" s="840"/>
      <c r="V6" s="840"/>
      <c r="W6" s="869"/>
      <c r="X6" s="869">
        <f>ROUND(IF(项目基本情况!B2="出让",SUMPRODUCT(PRODUCT(1+N6:N$37)),SUMPRODUCT(PRODUCT(1+N6:N$36))),4)</f>
        <v>1.6585</v>
      </c>
      <c r="Y6" s="869">
        <f>ROUND(IF(项目基本情况!B2="出让",SUMPRODUCT(PRODUCT(1+O6:O$37)),SUMPRODUCT(PRODUCT(1+O6:O$36))),4)</f>
        <v>1.3677</v>
      </c>
      <c r="Z6" s="869">
        <f t="shared" ref="Z6" si="22">Y6</f>
        <v>1.3677</v>
      </c>
      <c r="AA6" s="869">
        <f>ROUND(IF(项目基本情况!B2="出让",SUMPRODUCT(PRODUCT(1+P6:P$37)),SUMPRODUCT(PRODUCT(1+P6:P$36))),4)</f>
        <v>1.7434</v>
      </c>
      <c r="AB6" s="869">
        <f>ROUND(IF(项目基本情况!B2="出让",SUMPRODUCT(PRODUCT(1+Q6:Q$37)),SUMPRODUCT(PRODUCT(1+Q6:Q$36))),4)</f>
        <v>1.4609</v>
      </c>
      <c r="AC6" s="869"/>
      <c r="AD6" s="883">
        <f>ROUND(AVERAGE(I6:I$37)/100,4)</f>
        <v>0.0169</v>
      </c>
      <c r="AE6" s="883">
        <f>ROUND(AVERAGE(J6:J$37)/100,4)</f>
        <v>0.0106</v>
      </c>
      <c r="AF6" s="883">
        <f t="shared" ref="AF6" si="23">AE6</f>
        <v>0.0106</v>
      </c>
      <c r="AG6" s="883">
        <f>ROUND(AVERAGE(K6:K$37)/100,4)</f>
        <v>0.0187</v>
      </c>
      <c r="AH6" s="883">
        <f>ROUND(AVERAGE(L6:L$37)/100,4)</f>
        <v>0.0124</v>
      </c>
    </row>
    <row r="7" s="779" customFormat="1" spans="1:34">
      <c r="A7" s="802" t="s">
        <v>2065</v>
      </c>
      <c r="B7" s="803">
        <f t="shared" ref="B7" si="24">B8*(1+N7)</f>
        <v>504.870728096156</v>
      </c>
      <c r="C7" s="803">
        <f t="shared" ref="C7" si="25">C8*(1+O7)</f>
        <v>351.71182348102</v>
      </c>
      <c r="D7" s="803">
        <f t="shared" ref="D7" si="26">C7</f>
        <v>351.71182348102</v>
      </c>
      <c r="E7" s="803">
        <f t="shared" ref="E7" si="27">E8*(1+P7)</f>
        <v>728.753508583608</v>
      </c>
      <c r="F7" s="803">
        <f t="shared" ref="F7" si="28">F8*(1+Q7)</f>
        <v>334.045939316737</v>
      </c>
      <c r="G7" s="800">
        <v>2021</v>
      </c>
      <c r="H7" s="804">
        <v>3</v>
      </c>
      <c r="I7" s="837">
        <v>0.47</v>
      </c>
      <c r="J7" s="837">
        <v>0.41</v>
      </c>
      <c r="K7" s="837">
        <v>0.48</v>
      </c>
      <c r="L7" s="838">
        <v>0.48</v>
      </c>
      <c r="M7" s="783"/>
      <c r="N7" s="839">
        <f t="shared" ref="N7" si="29">I7/100</f>
        <v>0.0047</v>
      </c>
      <c r="O7" s="840">
        <f t="shared" ref="O7" si="30">J7/100</f>
        <v>0.0041</v>
      </c>
      <c r="P7" s="840">
        <f t="shared" ref="P7" si="31">K7/100</f>
        <v>0.0048</v>
      </c>
      <c r="Q7" s="840">
        <f t="shared" ref="Q7" si="32">L7/100</f>
        <v>0.0048</v>
      </c>
      <c r="R7" s="868"/>
      <c r="S7" s="839"/>
      <c r="T7" s="840"/>
      <c r="U7" s="840"/>
      <c r="V7" s="840"/>
      <c r="W7" s="869"/>
      <c r="X7" s="869">
        <f>ROUND(IF(项目基本情况!B3="出让",SUMPRODUCT(PRODUCT(1+N7:N$37)),SUMPRODUCT(PRODUCT(1+N7:N$36))),4)</f>
        <v>1.6416</v>
      </c>
      <c r="Y7" s="869">
        <f>ROUND(IF(项目基本情况!B3="出让",SUMPRODUCT(PRODUCT(1+O7:O$37)),SUMPRODUCT(PRODUCT(1+O7:O$36))),4)</f>
        <v>1.3644</v>
      </c>
      <c r="Z7" s="869">
        <f t="shared" ref="Z7" si="33">Y7</f>
        <v>1.3644</v>
      </c>
      <c r="AA7" s="869">
        <f>ROUND(IF(项目基本情况!B3="出让",SUMPRODUCT(PRODUCT(1+P7:P$37)),SUMPRODUCT(PRODUCT(1+P7:P$36))),4)</f>
        <v>1.7232</v>
      </c>
      <c r="AB7" s="869">
        <f>ROUND(IF(项目基本情况!B3="出让",SUMPRODUCT(PRODUCT(1+Q7:Q$37)),SUMPRODUCT(PRODUCT(1+Q7:Q$36))),4)</f>
        <v>1.4529</v>
      </c>
      <c r="AC7" s="869"/>
      <c r="AD7" s="883">
        <f>ROUND(AVERAGE(I7:I$37)/100,4)</f>
        <v>0.0172</v>
      </c>
      <c r="AE7" s="883">
        <f>ROUND(AVERAGE(J7:J$37)/100,4)</f>
        <v>0.0109</v>
      </c>
      <c r="AF7" s="883">
        <f t="shared" ref="AF7" si="34">AE7</f>
        <v>0.0109</v>
      </c>
      <c r="AG7" s="883">
        <f>ROUND(AVERAGE(K7:K$37)/100,4)</f>
        <v>0.0189</v>
      </c>
      <c r="AH7" s="883">
        <f>ROUND(AVERAGE(L7:L$37)/100,4)</f>
        <v>0.0126</v>
      </c>
    </row>
    <row r="8" s="779" customFormat="1" spans="1:34">
      <c r="A8" s="802" t="s">
        <v>2066</v>
      </c>
      <c r="B8" s="803">
        <f t="shared" ref="B8" si="35">B9*(1+N8)</f>
        <v>502.508936096502</v>
      </c>
      <c r="C8" s="803">
        <f t="shared" ref="C8" si="36">C9*(1+O8)</f>
        <v>350.275693139149</v>
      </c>
      <c r="D8" s="803">
        <f t="shared" ref="D8" si="37">C8</f>
        <v>350.275693139149</v>
      </c>
      <c r="E8" s="803">
        <f t="shared" ref="E8" si="38">E9*(1+P8)</f>
        <v>725.272202013941</v>
      </c>
      <c r="F8" s="803">
        <f t="shared" ref="F8" si="39">F9*(1+Q8)</f>
        <v>332.450178460128</v>
      </c>
      <c r="G8" s="800">
        <v>2021</v>
      </c>
      <c r="H8" s="804">
        <v>2</v>
      </c>
      <c r="I8" s="837">
        <v>0.92</v>
      </c>
      <c r="J8" s="837">
        <v>0.72</v>
      </c>
      <c r="K8" s="837">
        <v>0.95</v>
      </c>
      <c r="L8" s="838">
        <v>1.01</v>
      </c>
      <c r="M8" s="783"/>
      <c r="N8" s="839">
        <f t="shared" ref="N8" si="40">I8/100</f>
        <v>0.0092</v>
      </c>
      <c r="O8" s="840">
        <f t="shared" ref="O8" si="41">J8/100</f>
        <v>0.0072</v>
      </c>
      <c r="P8" s="840">
        <f t="shared" ref="P8" si="42">K8/100</f>
        <v>0.0095</v>
      </c>
      <c r="Q8" s="840">
        <f t="shared" ref="Q8" si="43">L8/100</f>
        <v>0.0101</v>
      </c>
      <c r="R8" s="868"/>
      <c r="S8" s="839"/>
      <c r="T8" s="840"/>
      <c r="U8" s="840"/>
      <c r="V8" s="840"/>
      <c r="W8" s="869"/>
      <c r="X8" s="869">
        <f>ROUND(IF(项目基本情况!B4="出让",SUMPRODUCT(PRODUCT(1+N8:N$37)),SUMPRODUCT(PRODUCT(1+N8:N$36))),4)</f>
        <v>1.6339</v>
      </c>
      <c r="Y8" s="869">
        <f>ROUND(IF(项目基本情况!B4="出让",SUMPRODUCT(PRODUCT(1+O8:O$37)),SUMPRODUCT(PRODUCT(1+O8:O$36))),4)</f>
        <v>1.3588</v>
      </c>
      <c r="Z8" s="869">
        <f t="shared" ref="Z8" si="44">Y8</f>
        <v>1.3588</v>
      </c>
      <c r="AA8" s="869">
        <f>ROUND(IF(项目基本情况!B4="出让",SUMPRODUCT(PRODUCT(1+P8:P$37)),SUMPRODUCT(PRODUCT(1+P8:P$36))),4)</f>
        <v>1.715</v>
      </c>
      <c r="AB8" s="869">
        <f>ROUND(IF(项目基本情况!B4="出让",SUMPRODUCT(PRODUCT(1+Q8:Q$37)),SUMPRODUCT(PRODUCT(1+Q8:Q$36))),4)</f>
        <v>1.446</v>
      </c>
      <c r="AC8" s="869"/>
      <c r="AD8" s="883">
        <f>ROUND(AVERAGE(I8:I$37)/100,4)</f>
        <v>0.0176</v>
      </c>
      <c r="AE8" s="883">
        <f>ROUND(AVERAGE(J8:J$37)/100,4)</f>
        <v>0.0111</v>
      </c>
      <c r="AF8" s="883">
        <f t="shared" ref="AF8" si="45">AE8</f>
        <v>0.0111</v>
      </c>
      <c r="AG8" s="883">
        <f>ROUND(AVERAGE(K8:K$37)/100,4)</f>
        <v>0.0194</v>
      </c>
      <c r="AH8" s="883">
        <f>ROUND(AVERAGE(L8:L$37)/100,4)</f>
        <v>0.0128</v>
      </c>
    </row>
    <row r="9" s="779" customFormat="1" spans="1:34">
      <c r="A9" s="802" t="s">
        <v>2067</v>
      </c>
      <c r="B9" s="803">
        <f t="shared" ref="B9" si="46">B10*(1+N9)</f>
        <v>497.927998510208</v>
      </c>
      <c r="C9" s="803">
        <f t="shared" ref="C9" si="47">C10*(1+O9)</f>
        <v>347.771736635374</v>
      </c>
      <c r="D9" s="803">
        <f t="shared" ref="D9" si="48">C9</f>
        <v>347.771736635374</v>
      </c>
      <c r="E9" s="803">
        <f t="shared" ref="E9" si="49">E10*(1+P9)</f>
        <v>718.446955932582</v>
      </c>
      <c r="F9" s="803">
        <f t="shared" ref="F9" si="50">F10*(1+Q9)</f>
        <v>329.126005801532</v>
      </c>
      <c r="G9" s="800">
        <v>2021</v>
      </c>
      <c r="H9" s="804">
        <v>1</v>
      </c>
      <c r="I9" s="837">
        <v>0.97</v>
      </c>
      <c r="J9" s="837">
        <v>0.16</v>
      </c>
      <c r="K9" s="837">
        <v>1.11</v>
      </c>
      <c r="L9" s="838">
        <v>0.36</v>
      </c>
      <c r="M9" s="783"/>
      <c r="N9" s="839">
        <f t="shared" ref="N9" si="51">I9/100</f>
        <v>0.0097</v>
      </c>
      <c r="O9" s="840">
        <f t="shared" ref="O9" si="52">J9/100</f>
        <v>0.0016</v>
      </c>
      <c r="P9" s="840">
        <f t="shared" ref="P9" si="53">K9/100</f>
        <v>0.0111</v>
      </c>
      <c r="Q9" s="840">
        <f t="shared" ref="Q9" si="54">L9/100</f>
        <v>0.0036</v>
      </c>
      <c r="R9" s="868"/>
      <c r="S9" s="839">
        <f>B9/B10-1</f>
        <v>0.00970000000000004</v>
      </c>
      <c r="T9" s="840">
        <f t="shared" ref="T9" si="55">C9/C10-1</f>
        <v>0.00160000000000005</v>
      </c>
      <c r="U9" s="840">
        <f t="shared" ref="U9" si="56">D9/D10-1</f>
        <v>0.00160000000000005</v>
      </c>
      <c r="V9" s="840">
        <f t="shared" ref="V9" si="57">E9/E10-1</f>
        <v>0.0111000000000001</v>
      </c>
      <c r="W9" s="869"/>
      <c r="X9" s="869">
        <f>ROUND(IF(项目基本情况!B5="出让",SUMPRODUCT(PRODUCT(1+N9:N$37)),SUMPRODUCT(PRODUCT(1+N9:N$36))),4)</f>
        <v>1.619</v>
      </c>
      <c r="Y9" s="869">
        <f>ROUND(IF(项目基本情况!B5="出让",SUMPRODUCT(PRODUCT(1+O9:O$37)),SUMPRODUCT(PRODUCT(1+O9:O$36))),4)</f>
        <v>1.3491</v>
      </c>
      <c r="Z9" s="869">
        <f t="shared" ref="Z9" si="58">Y9</f>
        <v>1.3491</v>
      </c>
      <c r="AA9" s="869">
        <f>ROUND(IF(项目基本情况!B5="出让",SUMPRODUCT(PRODUCT(1+P9:P$37)),SUMPRODUCT(PRODUCT(1+P9:P$36))),4)</f>
        <v>1.6988</v>
      </c>
      <c r="AB9" s="869">
        <f>ROUND(IF(项目基本情况!B5="出让",SUMPRODUCT(PRODUCT(1+Q9:Q$37)),SUMPRODUCT(PRODUCT(1+Q9:Q$36))),4)</f>
        <v>1.4315</v>
      </c>
      <c r="AC9" s="869"/>
      <c r="AD9" s="883">
        <f>ROUND(AVERAGE(I9:I$37)/100,4)</f>
        <v>0.0179</v>
      </c>
      <c r="AE9" s="883">
        <f>ROUND(AVERAGE(J9:J$37)/100,4)</f>
        <v>0.0112</v>
      </c>
      <c r="AF9" s="883">
        <f t="shared" ref="AF9" si="59">AE9</f>
        <v>0.0112</v>
      </c>
      <c r="AG9" s="883">
        <f>ROUND(AVERAGE(K9:K$37)/100,4)</f>
        <v>0.0197</v>
      </c>
      <c r="AH9" s="883">
        <f>ROUND(AVERAGE(L9:L$37)/100,4)</f>
        <v>0.0129</v>
      </c>
    </row>
    <row r="10" s="779" customFormat="1" spans="1:34">
      <c r="A10" s="802" t="s">
        <v>2068</v>
      </c>
      <c r="B10" s="803">
        <f t="shared" ref="B10" si="60">B11*(1+N10)</f>
        <v>493.144496890372</v>
      </c>
      <c r="C10" s="803">
        <f t="shared" ref="C10" si="61">C11*(1+O10)</f>
        <v>347.216190730206</v>
      </c>
      <c r="D10" s="803">
        <f t="shared" ref="D10" si="62">C10</f>
        <v>347.216190730206</v>
      </c>
      <c r="E10" s="803">
        <f t="shared" ref="E10" si="63">E11*(1+P10)</f>
        <v>710.559742787639</v>
      </c>
      <c r="F10" s="803">
        <f t="shared" ref="F10" si="64">F11*(1+Q10)</f>
        <v>327.945402353061</v>
      </c>
      <c r="G10" s="800">
        <v>2020</v>
      </c>
      <c r="H10" s="804">
        <v>4</v>
      </c>
      <c r="I10" s="837">
        <v>2.07</v>
      </c>
      <c r="J10" s="837">
        <v>0.37</v>
      </c>
      <c r="K10" s="837">
        <v>2.35</v>
      </c>
      <c r="L10" s="838">
        <v>2.69</v>
      </c>
      <c r="M10" s="783"/>
      <c r="N10" s="839">
        <f t="shared" ref="N10" si="65">I10/100</f>
        <v>0.0207</v>
      </c>
      <c r="O10" s="840">
        <f t="shared" ref="O10" si="66">J10/100</f>
        <v>0.0037</v>
      </c>
      <c r="P10" s="840">
        <f t="shared" ref="P10" si="67">K10/100</f>
        <v>0.0235</v>
      </c>
      <c r="Q10" s="840">
        <f t="shared" ref="Q10" si="68">L10/100</f>
        <v>0.0269</v>
      </c>
      <c r="R10" s="868"/>
      <c r="S10" s="839"/>
      <c r="T10" s="840"/>
      <c r="U10" s="840"/>
      <c r="V10" s="840"/>
      <c r="W10" s="869"/>
      <c r="X10" s="869">
        <f>ROUND(IF(项目基本情况!B6="出让",SUMPRODUCT(PRODUCT(1+N10:N$37)),SUMPRODUCT(PRODUCT(1+N10:N$36))),4)</f>
        <v>1.6035</v>
      </c>
      <c r="Y10" s="869">
        <f>ROUND(IF(项目基本情况!B6="出让",SUMPRODUCT(PRODUCT(1+O10:O$37)),SUMPRODUCT(PRODUCT(1+O10:O$36))),4)</f>
        <v>1.3469</v>
      </c>
      <c r="Z10" s="869">
        <f t="shared" ref="Z10" si="69">Y10</f>
        <v>1.3469</v>
      </c>
      <c r="AA10" s="869">
        <f>ROUND(IF(项目基本情况!B6="出让",SUMPRODUCT(PRODUCT(1+P10:P$37)),SUMPRODUCT(PRODUCT(1+P10:P$36))),4)</f>
        <v>1.6802</v>
      </c>
      <c r="AB10" s="869">
        <f>ROUND(IF(项目基本情况!B6="出让",SUMPRODUCT(PRODUCT(1+Q10:Q$37)),SUMPRODUCT(PRODUCT(1+Q10:Q$36))),4)</f>
        <v>1.4264</v>
      </c>
      <c r="AC10" s="869"/>
      <c r="AD10" s="883">
        <f>ROUND(AVERAGE(I10:I$37)/100,4)</f>
        <v>0.0182</v>
      </c>
      <c r="AE10" s="883">
        <f>ROUND(AVERAGE(J10:J$37)/100,4)</f>
        <v>0.0116</v>
      </c>
      <c r="AF10" s="883">
        <f t="shared" ref="AF10" si="70">AE10</f>
        <v>0.0116</v>
      </c>
      <c r="AG10" s="883">
        <f>ROUND(AVERAGE(K10:K$37)/100,4)</f>
        <v>0.02</v>
      </c>
      <c r="AH10" s="883">
        <f>ROUND(AVERAGE(L10:L$37)/100,4)</f>
        <v>0.0133</v>
      </c>
    </row>
    <row r="11" s="779" customFormat="1" spans="1:34">
      <c r="A11" s="802" t="s">
        <v>2069</v>
      </c>
      <c r="B11" s="803">
        <f t="shared" ref="B11" si="71">B12*(1+N11)</f>
        <v>483.143427932176</v>
      </c>
      <c r="C11" s="803">
        <f t="shared" ref="C11" si="72">C12*(1+O11)</f>
        <v>345.936226691448</v>
      </c>
      <c r="D11" s="803">
        <f t="shared" ref="D11" si="73">C11</f>
        <v>345.936226691448</v>
      </c>
      <c r="E11" s="803">
        <f t="shared" ref="E11" si="74">E12*(1+P11)</f>
        <v>694.244985625441</v>
      </c>
      <c r="F11" s="803">
        <f t="shared" ref="F11" si="75">F12*(1+Q11)</f>
        <v>319.354759327161</v>
      </c>
      <c r="G11" s="800">
        <v>2020</v>
      </c>
      <c r="H11" s="804">
        <v>3</v>
      </c>
      <c r="I11" s="837">
        <v>0.36</v>
      </c>
      <c r="J11" s="837">
        <v>-0.39</v>
      </c>
      <c r="K11" s="837">
        <v>0.49</v>
      </c>
      <c r="L11" s="838">
        <v>0.07</v>
      </c>
      <c r="M11" s="783"/>
      <c r="N11" s="839">
        <f t="shared" ref="N11" si="76">I11/100</f>
        <v>0.0036</v>
      </c>
      <c r="O11" s="840">
        <f t="shared" ref="O11" si="77">J11/100</f>
        <v>-0.0039</v>
      </c>
      <c r="P11" s="840">
        <f t="shared" ref="P11" si="78">K11/100</f>
        <v>0.0049</v>
      </c>
      <c r="Q11" s="840">
        <f t="shared" ref="Q11" si="79">L11/100</f>
        <v>0.0007</v>
      </c>
      <c r="R11" s="868"/>
      <c r="S11" s="839"/>
      <c r="T11" s="840"/>
      <c r="U11" s="840"/>
      <c r="V11" s="840"/>
      <c r="W11" s="869"/>
      <c r="X11" s="869">
        <f>ROUND(IF(项目基本情况!B7="出让",SUMPRODUCT(PRODUCT(1+N11:N$37)),SUMPRODUCT(PRODUCT(1+N11:N$36))),4)</f>
        <v>1.571</v>
      </c>
      <c r="Y11" s="869">
        <f>ROUND(IF(项目基本情况!B7="出让",SUMPRODUCT(PRODUCT(1+O11:O$37)),SUMPRODUCT(PRODUCT(1+O11:O$36))),4)</f>
        <v>1.342</v>
      </c>
      <c r="Z11" s="869">
        <f t="shared" ref="Z11" si="80">Y11</f>
        <v>1.342</v>
      </c>
      <c r="AA11" s="869">
        <f>ROUND(IF(项目基本情况!B7="出让",SUMPRODUCT(PRODUCT(1+P11:P$37)),SUMPRODUCT(PRODUCT(1+P11:P$36))),4)</f>
        <v>1.6416</v>
      </c>
      <c r="AB11" s="869">
        <f>ROUND(IF(项目基本情况!B7="出让",SUMPRODUCT(PRODUCT(1+Q11:Q$37)),SUMPRODUCT(PRODUCT(1+Q11:Q$36))),4)</f>
        <v>1.389</v>
      </c>
      <c r="AC11" s="869"/>
      <c r="AD11" s="883">
        <f>ROUND(AVERAGE(I11:I$37)/100,4)</f>
        <v>0.0181</v>
      </c>
      <c r="AE11" s="883">
        <f>ROUND(AVERAGE(J11:J$37)/100,4)</f>
        <v>0.0119</v>
      </c>
      <c r="AF11" s="883">
        <f t="shared" ref="AF11" si="81">AE11</f>
        <v>0.0119</v>
      </c>
      <c r="AG11" s="883">
        <f>ROUND(AVERAGE(K11:K$37)/100,4)</f>
        <v>0.0199</v>
      </c>
      <c r="AH11" s="883">
        <f>ROUND(AVERAGE(L11:L$37)/100,4)</f>
        <v>0.0128</v>
      </c>
    </row>
    <row r="12" s="779" customFormat="1" spans="1:34">
      <c r="A12" s="802" t="s">
        <v>2070</v>
      </c>
      <c r="B12" s="803">
        <f t="shared" ref="B12" si="82">B13*(1+N12)</f>
        <v>481.410350669764</v>
      </c>
      <c r="C12" s="803">
        <f t="shared" ref="C12" si="83">C13*(1+O12)</f>
        <v>347.290660266487</v>
      </c>
      <c r="D12" s="803">
        <f t="shared" ref="D12" si="84">C12</f>
        <v>347.290660266487</v>
      </c>
      <c r="E12" s="803">
        <f t="shared" ref="E12" si="85">E13*(1+P12)</f>
        <v>690.85977273902</v>
      </c>
      <c r="F12" s="803">
        <f t="shared" ref="F12" si="86">F13*(1+Q12)</f>
        <v>319.131367370002</v>
      </c>
      <c r="G12" s="800">
        <v>2020</v>
      </c>
      <c r="H12" s="804">
        <v>2</v>
      </c>
      <c r="I12" s="837">
        <v>0.31</v>
      </c>
      <c r="J12" s="837">
        <v>-0.78</v>
      </c>
      <c r="K12" s="837">
        <v>0.5</v>
      </c>
      <c r="L12" s="838">
        <v>0.47</v>
      </c>
      <c r="M12" s="783"/>
      <c r="N12" s="839">
        <f t="shared" ref="N12" si="87">I12/100</f>
        <v>0.0031</v>
      </c>
      <c r="O12" s="840">
        <f t="shared" ref="O12" si="88">J12/100</f>
        <v>-0.0078</v>
      </c>
      <c r="P12" s="840">
        <f t="shared" ref="P12" si="89">K12/100</f>
        <v>0.005</v>
      </c>
      <c r="Q12" s="840">
        <f t="shared" ref="Q12" si="90">L12/100</f>
        <v>0.0047</v>
      </c>
      <c r="R12" s="868"/>
      <c r="S12" s="839"/>
      <c r="T12" s="840"/>
      <c r="U12" s="840"/>
      <c r="V12" s="840"/>
      <c r="W12" s="869"/>
      <c r="X12" s="869">
        <f>ROUND(IF(项目基本情况!B8="出让",SUMPRODUCT(PRODUCT(1+N12:N$37)),SUMPRODUCT(PRODUCT(1+N12:N$36))),4)</f>
        <v>1.5653</v>
      </c>
      <c r="Y12" s="869">
        <f>ROUND(IF(项目基本情况!B8="出让",SUMPRODUCT(PRODUCT(1+O12:O$37)),SUMPRODUCT(PRODUCT(1+O12:O$36))),4)</f>
        <v>1.3472</v>
      </c>
      <c r="Z12" s="869">
        <f t="shared" ref="Z12" si="91">Y12</f>
        <v>1.3472</v>
      </c>
      <c r="AA12" s="869">
        <f>ROUND(IF(项目基本情况!B8="出让",SUMPRODUCT(PRODUCT(1+P12:P$37)),SUMPRODUCT(PRODUCT(1+P12:P$36))),4)</f>
        <v>1.6336</v>
      </c>
      <c r="AB12" s="869">
        <f>ROUND(IF(项目基本情况!B8="出让",SUMPRODUCT(PRODUCT(1+Q12:Q$37)),SUMPRODUCT(PRODUCT(1+Q12:Q$36))),4)</f>
        <v>1.3881</v>
      </c>
      <c r="AC12" s="869"/>
      <c r="AD12" s="883">
        <f>ROUND(AVERAGE(I12:I$37)/100,4)</f>
        <v>0.0186</v>
      </c>
      <c r="AE12" s="883">
        <f>ROUND(AVERAGE(J12:J$37)/100,4)</f>
        <v>0.0125</v>
      </c>
      <c r="AF12" s="883">
        <f t="shared" ref="AF12" si="92">AE12</f>
        <v>0.0125</v>
      </c>
      <c r="AG12" s="883">
        <f>ROUND(AVERAGE(K12:K$37)/100,4)</f>
        <v>0.0204</v>
      </c>
      <c r="AH12" s="883">
        <f>ROUND(AVERAGE(L12:L$37)/100,4)</f>
        <v>0.0132</v>
      </c>
    </row>
    <row r="13" s="779" customFormat="1" spans="1:34">
      <c r="A13" s="802" t="s">
        <v>2071</v>
      </c>
      <c r="B13" s="803">
        <f t="shared" ref="B13" si="93">B14*(1+N13)</f>
        <v>479.922590638784</v>
      </c>
      <c r="C13" s="803">
        <f t="shared" ref="C13" si="94">C14*(1+O13)</f>
        <v>350.020822683418</v>
      </c>
      <c r="D13" s="803">
        <f t="shared" ref="D13" si="95">C13</f>
        <v>350.020822683418</v>
      </c>
      <c r="E13" s="803">
        <f t="shared" ref="E13" si="96">E14*(1+P13)</f>
        <v>687.422659441811</v>
      </c>
      <c r="F13" s="803">
        <f t="shared" ref="F13" si="97">F14*(1+Q13)</f>
        <v>317.63846657709</v>
      </c>
      <c r="G13" s="800">
        <v>2020</v>
      </c>
      <c r="H13" s="804">
        <v>1</v>
      </c>
      <c r="I13" s="837">
        <v>0.12</v>
      </c>
      <c r="J13" s="837">
        <v>-0.4</v>
      </c>
      <c r="K13" s="837">
        <v>0.21</v>
      </c>
      <c r="L13" s="838">
        <v>0.27</v>
      </c>
      <c r="M13" s="783"/>
      <c r="N13" s="839">
        <f t="shared" ref="N13" si="98">I13/100</f>
        <v>0.0012</v>
      </c>
      <c r="O13" s="840">
        <f t="shared" ref="O13" si="99">J13/100</f>
        <v>-0.004</v>
      </c>
      <c r="P13" s="840">
        <f t="shared" ref="P13" si="100">K13/100</f>
        <v>0.0021</v>
      </c>
      <c r="Q13" s="840">
        <f t="shared" ref="Q13" si="101">L13/100</f>
        <v>0.0027</v>
      </c>
      <c r="R13" s="868"/>
      <c r="S13" s="839">
        <f>B13/B14-1</f>
        <v>0.00120000000000009</v>
      </c>
      <c r="T13" s="840">
        <f t="shared" ref="T13" si="102">C13/C14-1</f>
        <v>-0.004</v>
      </c>
      <c r="U13" s="840">
        <f t="shared" ref="U13" si="103">D13/D14-1</f>
        <v>-0.004</v>
      </c>
      <c r="V13" s="840">
        <f t="shared" ref="V13" si="104">E13/E14-1</f>
        <v>0.00209999999999999</v>
      </c>
      <c r="W13" s="869"/>
      <c r="X13" s="869">
        <f>ROUND(IF(项目基本情况!B8="出让",SUMPRODUCT(PRODUCT(1+N13:N$37)),SUMPRODUCT(PRODUCT(1+N13:N$36))),4)</f>
        <v>1.5605</v>
      </c>
      <c r="Y13" s="869">
        <f>ROUND(IF(项目基本情况!B8="出让",SUMPRODUCT(PRODUCT(1+O13:O$37)),SUMPRODUCT(PRODUCT(1+O13:O$36))),4)</f>
        <v>1.3578</v>
      </c>
      <c r="Z13" s="869">
        <f t="shared" ref="Z13" si="105">Y13</f>
        <v>1.3578</v>
      </c>
      <c r="AA13" s="869">
        <f>ROUND(IF(项目基本情况!B8="出让",SUMPRODUCT(PRODUCT(1+P13:P$37)),SUMPRODUCT(PRODUCT(1+P13:P$36))),4)</f>
        <v>1.6255</v>
      </c>
      <c r="AB13" s="869">
        <f>ROUND(IF(项目基本情况!B8="出让",SUMPRODUCT(PRODUCT(1+Q13:Q$37)),SUMPRODUCT(PRODUCT(1+Q13:Q$36))),4)</f>
        <v>1.3816</v>
      </c>
      <c r="AC13" s="869"/>
      <c r="AD13" s="883">
        <f>ROUND(AVERAGE(I13:I$37)/100,4)</f>
        <v>0.0192</v>
      </c>
      <c r="AE13" s="883">
        <f>ROUND(AVERAGE(J13:J$37)/100,4)</f>
        <v>0.0133</v>
      </c>
      <c r="AF13" s="883">
        <f t="shared" ref="AF13" si="106">AE13</f>
        <v>0.0133</v>
      </c>
      <c r="AG13" s="883">
        <f>ROUND(AVERAGE(K13:K$37)/100,4)</f>
        <v>0.0211</v>
      </c>
      <c r="AH13" s="883">
        <f>ROUND(AVERAGE(L13:L$37)/100,4)</f>
        <v>0.0136</v>
      </c>
    </row>
    <row r="14" s="779" customFormat="1" spans="1:34">
      <c r="A14" s="802" t="s">
        <v>2072</v>
      </c>
      <c r="B14" s="803">
        <f t="shared" ref="B14" si="107">B15*(1+N14)</f>
        <v>479.347373790236</v>
      </c>
      <c r="C14" s="803">
        <f t="shared" ref="C14" si="108">C15*(1+O14)</f>
        <v>351.426528798612</v>
      </c>
      <c r="D14" s="803">
        <f t="shared" ref="D14" si="109">C14</f>
        <v>351.426528798612</v>
      </c>
      <c r="E14" s="803">
        <f t="shared" ref="E14" si="110">E15*(1+P14)</f>
        <v>685.982097038031</v>
      </c>
      <c r="F14" s="803">
        <f t="shared" ref="F14" si="111">F15*(1+Q14)</f>
        <v>316.78315206651</v>
      </c>
      <c r="G14" s="800">
        <v>2019</v>
      </c>
      <c r="H14" s="804">
        <v>4</v>
      </c>
      <c r="I14" s="804">
        <v>0.45</v>
      </c>
      <c r="J14" s="804">
        <v>-0.12</v>
      </c>
      <c r="K14" s="804">
        <v>0.54</v>
      </c>
      <c r="L14" s="841">
        <v>0.48</v>
      </c>
      <c r="M14" s="783"/>
      <c r="N14" s="839">
        <f t="shared" ref="N14:N19" si="112">I14/100</f>
        <v>0.0045</v>
      </c>
      <c r="O14" s="840">
        <f t="shared" ref="O14" si="113">J14/100</f>
        <v>-0.0012</v>
      </c>
      <c r="P14" s="840">
        <f t="shared" ref="P14" si="114">K14/100</f>
        <v>0.0054</v>
      </c>
      <c r="Q14" s="840">
        <f t="shared" ref="Q14" si="115">L14/100</f>
        <v>0.0048</v>
      </c>
      <c r="R14" s="868"/>
      <c r="S14" s="839"/>
      <c r="T14" s="840"/>
      <c r="U14" s="840"/>
      <c r="V14" s="840"/>
      <c r="W14" s="869"/>
      <c r="X14" s="869">
        <f>ROUND(IF(项目基本情况!B8="出让",SUMPRODUCT(PRODUCT(1+N14:N$37)),SUMPRODUCT(PRODUCT(1+N14:N$36))),4)</f>
        <v>1.5586</v>
      </c>
      <c r="Y14" s="869">
        <f>ROUND(IF(项目基本情况!B8="出让",SUMPRODUCT(PRODUCT(1+O14:O$37)),SUMPRODUCT(PRODUCT(1+O14:O$36))),4)</f>
        <v>1.3633</v>
      </c>
      <c r="Z14" s="869">
        <f t="shared" ref="Z14" si="116">Y14</f>
        <v>1.3633</v>
      </c>
      <c r="AA14" s="869">
        <f>ROUND(IF(项目基本情况!B8="出让",SUMPRODUCT(PRODUCT(1+P14:P$37)),SUMPRODUCT(PRODUCT(1+P14:P$36))),4)</f>
        <v>1.6221</v>
      </c>
      <c r="AB14" s="869">
        <f>ROUND(IF(项目基本情况!B8="出让",SUMPRODUCT(PRODUCT(1+Q14:Q$37)),SUMPRODUCT(PRODUCT(1+Q14:Q$36))),4)</f>
        <v>1.3778</v>
      </c>
      <c r="AC14" s="869"/>
      <c r="AD14" s="883">
        <f>ROUND(AVERAGE(I14:I$37)/100,4)</f>
        <v>0.02</v>
      </c>
      <c r="AE14" s="883">
        <f>ROUND(AVERAGE(J14:J$37)/100,4)</f>
        <v>0.014</v>
      </c>
      <c r="AF14" s="883">
        <f t="shared" ref="AF14" si="117">AE14</f>
        <v>0.014</v>
      </c>
      <c r="AG14" s="883">
        <f>ROUND(AVERAGE(K14:K$37)/100,4)</f>
        <v>0.0219</v>
      </c>
      <c r="AH14" s="883">
        <f>ROUND(AVERAGE(L14:L$37)/100,4)</f>
        <v>0.014</v>
      </c>
    </row>
    <row r="15" s="779" customFormat="1" ht="13.95" spans="1:34">
      <c r="A15" s="802" t="s">
        <v>2073</v>
      </c>
      <c r="B15" s="803">
        <f t="shared" ref="B15" si="118">B16*(1+N15)</f>
        <v>477.199973907651</v>
      </c>
      <c r="C15" s="803">
        <f t="shared" ref="C15" si="119">C16*(1+O15)</f>
        <v>351.848747295367</v>
      </c>
      <c r="D15" s="803">
        <f t="shared" ref="D15" si="120">C15</f>
        <v>351.848747295367</v>
      </c>
      <c r="E15" s="803">
        <f t="shared" ref="E15" si="121">E16*(1+P15)</f>
        <v>682.297689514652</v>
      </c>
      <c r="F15" s="803">
        <f t="shared" ref="F15" si="122">F16*(1+Q15)</f>
        <v>315.26985675409</v>
      </c>
      <c r="G15" s="800">
        <v>2019</v>
      </c>
      <c r="H15" s="804">
        <v>3</v>
      </c>
      <c r="I15" s="804">
        <v>0.61</v>
      </c>
      <c r="J15" s="804">
        <v>0.67</v>
      </c>
      <c r="K15" s="804">
        <v>0.6</v>
      </c>
      <c r="L15" s="841">
        <v>1.03</v>
      </c>
      <c r="M15" s="783"/>
      <c r="N15" s="839">
        <f t="shared" si="112"/>
        <v>0.0061</v>
      </c>
      <c r="O15" s="840">
        <f t="shared" ref="O15" si="123">J15/100</f>
        <v>0.0067</v>
      </c>
      <c r="P15" s="840">
        <f t="shared" ref="P15" si="124">K15/100</f>
        <v>0.006</v>
      </c>
      <c r="Q15" s="840">
        <f t="shared" ref="Q15" si="125">L15/100</f>
        <v>0.0103</v>
      </c>
      <c r="R15" s="868"/>
      <c r="S15" s="839"/>
      <c r="T15" s="840"/>
      <c r="U15" s="840"/>
      <c r="V15" s="840"/>
      <c r="W15" s="869"/>
      <c r="X15" s="869">
        <f>ROUND(IF(项目基本情况!B8="出让",SUMPRODUCT(PRODUCT(1+N15:N$37)),SUMPRODUCT(PRODUCT(1+N15:N$36))),4)</f>
        <v>1.5516</v>
      </c>
      <c r="Y15" s="869">
        <f>ROUND(IF(项目基本情况!B8="出让",SUMPRODUCT(PRODUCT(1+O15:O$37)),SUMPRODUCT(PRODUCT(1+O15:O$36))),4)</f>
        <v>1.3649</v>
      </c>
      <c r="Z15" s="869">
        <f t="shared" ref="Z15" si="126">Y15</f>
        <v>1.3649</v>
      </c>
      <c r="AA15" s="869">
        <f>ROUND(IF(项目基本情况!B8="出让",SUMPRODUCT(PRODUCT(1+P15:P$37)),SUMPRODUCT(PRODUCT(1+P15:P$36))),4)</f>
        <v>1.6134</v>
      </c>
      <c r="AB15" s="869">
        <f>ROUND(IF(项目基本情况!B8="出让",SUMPRODUCT(PRODUCT(1+Q15:Q$37)),SUMPRODUCT(PRODUCT(1+Q15:Q$36))),4)</f>
        <v>1.3713</v>
      </c>
      <c r="AC15" s="869"/>
      <c r="AD15" s="883">
        <f>ROUND(AVERAGE(I15:I$37)/100,4)</f>
        <v>0.0207</v>
      </c>
      <c r="AE15" s="883">
        <f>ROUND(AVERAGE(J15:J$37)/100,4)</f>
        <v>0.0147</v>
      </c>
      <c r="AF15" s="883">
        <f t="shared" ref="AF15" si="127">AE15</f>
        <v>0.0147</v>
      </c>
      <c r="AG15" s="883">
        <f>ROUND(AVERAGE(K15:K$37)/100,4)</f>
        <v>0.0226</v>
      </c>
      <c r="AH15" s="883">
        <f>ROUND(AVERAGE(L15:L$37)/100,4)</f>
        <v>0.0144</v>
      </c>
    </row>
    <row r="16" s="779" customFormat="1" spans="1:34">
      <c r="A16" s="802" t="s">
        <v>2074</v>
      </c>
      <c r="B16" s="803">
        <f t="shared" ref="B16" si="128">B17*(1+N16)</f>
        <v>474.306703019234</v>
      </c>
      <c r="C16" s="803">
        <f t="shared" ref="C16" si="129">C17*(1+O16)</f>
        <v>349.507050059965</v>
      </c>
      <c r="D16" s="803">
        <f t="shared" ref="D16" si="130">C16</f>
        <v>349.507050059965</v>
      </c>
      <c r="E16" s="803">
        <f t="shared" ref="E16" si="131">E17*(1+P16)</f>
        <v>678.22831959707</v>
      </c>
      <c r="F16" s="803">
        <f t="shared" ref="F16" si="132">F17*(1+Q16)</f>
        <v>312.055683216956</v>
      </c>
      <c r="G16" s="800">
        <v>2019</v>
      </c>
      <c r="H16" s="805">
        <v>2</v>
      </c>
      <c r="I16" s="805">
        <v>1.53</v>
      </c>
      <c r="J16" s="805">
        <v>1.01</v>
      </c>
      <c r="K16" s="805">
        <v>1.62</v>
      </c>
      <c r="L16" s="842">
        <v>1.25</v>
      </c>
      <c r="M16" s="783"/>
      <c r="N16" s="839">
        <f t="shared" si="112"/>
        <v>0.0153</v>
      </c>
      <c r="O16" s="840">
        <f t="shared" ref="O16" si="133">J16/100</f>
        <v>0.0101</v>
      </c>
      <c r="P16" s="840">
        <f t="shared" ref="P16" si="134">K16/100</f>
        <v>0.0162</v>
      </c>
      <c r="Q16" s="840">
        <f t="shared" ref="Q16" si="135">L16/100</f>
        <v>0.0125</v>
      </c>
      <c r="R16" s="868"/>
      <c r="S16" s="839"/>
      <c r="T16" s="840"/>
      <c r="U16" s="840"/>
      <c r="V16" s="840"/>
      <c r="W16" s="869"/>
      <c r="X16" s="869">
        <f>ROUND(IF(项目基本情况!B8="出让",SUMPRODUCT(PRODUCT(1+N16:N$37)),SUMPRODUCT(PRODUCT(1+N16:N$36))),4)</f>
        <v>1.5422</v>
      </c>
      <c r="Y16" s="869">
        <f>ROUND(IF(项目基本情况!B8="出让",SUMPRODUCT(PRODUCT(1+O16:O$37)),SUMPRODUCT(PRODUCT(1+O16:O$36))),4)</f>
        <v>1.3558</v>
      </c>
      <c r="Z16" s="869">
        <f t="shared" ref="Z16" si="136">Y16</f>
        <v>1.3558</v>
      </c>
      <c r="AA16" s="869">
        <f>ROUND(IF(项目基本情况!B8="出让",SUMPRODUCT(PRODUCT(1+P16:P$37)),SUMPRODUCT(PRODUCT(1+P16:P$36))),4)</f>
        <v>1.6037</v>
      </c>
      <c r="AB16" s="869">
        <f>ROUND(IF(项目基本情况!B8="出让",SUMPRODUCT(PRODUCT(1+Q16:Q$37)),SUMPRODUCT(PRODUCT(1+Q16:Q$36))),4)</f>
        <v>1.3573</v>
      </c>
      <c r="AC16" s="869"/>
      <c r="AD16" s="883">
        <f>ROUND(AVERAGE(I16:I$37)/100,4)</f>
        <v>0.0213</v>
      </c>
      <c r="AE16" s="883">
        <f>ROUND(AVERAGE(J16:J$37)/100,4)</f>
        <v>0.015</v>
      </c>
      <c r="AF16" s="883">
        <f t="shared" ref="AF16" si="137">AE16</f>
        <v>0.015</v>
      </c>
      <c r="AG16" s="883">
        <f>ROUND(AVERAGE(K16:K$37)/100,4)</f>
        <v>0.0233</v>
      </c>
      <c r="AH16" s="883">
        <f>ROUND(AVERAGE(L16:L$37)/100,4)</f>
        <v>0.0146</v>
      </c>
    </row>
    <row r="17" s="779" customFormat="1" ht="13.95" spans="1:34">
      <c r="A17" s="802" t="s">
        <v>2075</v>
      </c>
      <c r="B17" s="803">
        <f t="shared" ref="B17" si="138">B18*(1+N17)</f>
        <v>467.159167752619</v>
      </c>
      <c r="C17" s="803">
        <f t="shared" ref="C17" si="139">C18*(1+O17)</f>
        <v>346.012325571691</v>
      </c>
      <c r="D17" s="803">
        <f t="shared" ref="D17" si="140">C17</f>
        <v>346.012325571691</v>
      </c>
      <c r="E17" s="803">
        <f t="shared" ref="E17" si="141">E18*(1+P17)</f>
        <v>667.416177521226</v>
      </c>
      <c r="F17" s="803">
        <f t="shared" ref="F17" si="142">F18*(1+Q17)</f>
        <v>308.203143917981</v>
      </c>
      <c r="G17" s="800">
        <v>2019</v>
      </c>
      <c r="H17" s="804">
        <v>1</v>
      </c>
      <c r="I17" s="804">
        <v>0.6</v>
      </c>
      <c r="J17" s="804">
        <v>0.37</v>
      </c>
      <c r="K17" s="804">
        <v>0.63</v>
      </c>
      <c r="L17" s="841">
        <v>1.13</v>
      </c>
      <c r="M17" s="783"/>
      <c r="N17" s="839">
        <f t="shared" si="112"/>
        <v>0.006</v>
      </c>
      <c r="O17" s="840">
        <f t="shared" ref="O17" si="143">J17/100</f>
        <v>0.0037</v>
      </c>
      <c r="P17" s="840">
        <f t="shared" ref="P17" si="144">K17/100</f>
        <v>0.0063</v>
      </c>
      <c r="Q17" s="840">
        <f t="shared" ref="Q17" si="145">L17/100</f>
        <v>0.0113</v>
      </c>
      <c r="R17" s="868"/>
      <c r="S17" s="839">
        <f>B17/B18-1</f>
        <v>0.00600000000000001</v>
      </c>
      <c r="T17" s="840">
        <f t="shared" ref="T17" si="146">C17/C18-1</f>
        <v>0.00370000000000004</v>
      </c>
      <c r="U17" s="840">
        <f t="shared" ref="U17" si="147">D17/D18-1</f>
        <v>0.00370000000000004</v>
      </c>
      <c r="V17" s="840">
        <f t="shared" ref="V17" si="148">E17/E18-1</f>
        <v>0.00629999999999997</v>
      </c>
      <c r="W17" s="869"/>
      <c r="X17" s="869">
        <f>ROUND(IF(项目基本情况!B8="出让",SUMPRODUCT(PRODUCT(1+N17:N$37)),SUMPRODUCT(PRODUCT(1+N17:N$36))),4)</f>
        <v>1.519</v>
      </c>
      <c r="Y17" s="869">
        <f>ROUND(IF(项目基本情况!B8="出让",SUMPRODUCT(PRODUCT(1+O17:O$37)),SUMPRODUCT(PRODUCT(1+O17:O$36))),4)</f>
        <v>1.3423</v>
      </c>
      <c r="Z17" s="869">
        <f t="shared" ref="Z17" si="149">Y17</f>
        <v>1.3423</v>
      </c>
      <c r="AA17" s="869">
        <f>ROUND(IF(项目基本情况!B8="出让",SUMPRODUCT(PRODUCT(1+P17:P$37)),SUMPRODUCT(PRODUCT(1+P17:P$36))),4)</f>
        <v>1.5782</v>
      </c>
      <c r="AB17" s="869">
        <f>ROUND(IF(项目基本情况!B8="出让",SUMPRODUCT(PRODUCT(1+Q17:Q$37)),SUMPRODUCT(PRODUCT(1+Q17:Q$36))),4)</f>
        <v>1.3405</v>
      </c>
      <c r="AC17" s="869"/>
      <c r="AD17" s="883">
        <f>ROUND(AVERAGE(I17:I$37)/100,4)</f>
        <v>0.0216</v>
      </c>
      <c r="AE17" s="883">
        <f>ROUND(AVERAGE(J17:J$37)/100,4)</f>
        <v>0.0153</v>
      </c>
      <c r="AF17" s="883">
        <f t="shared" ref="AF17" si="150">AE17</f>
        <v>0.0153</v>
      </c>
      <c r="AG17" s="883">
        <f>ROUND(AVERAGE(K17:K$37)/100,4)</f>
        <v>0.0237</v>
      </c>
      <c r="AH17" s="883">
        <f>ROUND(AVERAGE(L17:L$37)/100,4)</f>
        <v>0.0147</v>
      </c>
    </row>
    <row r="18" s="779" customFormat="1" spans="1:34">
      <c r="A18" s="802" t="s">
        <v>2076</v>
      </c>
      <c r="B18" s="806">
        <f t="shared" ref="B18" si="151">B19*(1+N18)</f>
        <v>464.372930171589</v>
      </c>
      <c r="C18" s="806">
        <f t="shared" ref="C18" si="152">C19*(1+O18)</f>
        <v>344.73679941386</v>
      </c>
      <c r="D18" s="806">
        <f t="shared" ref="D18" si="153">C18</f>
        <v>344.73679941386</v>
      </c>
      <c r="E18" s="806">
        <f t="shared" ref="E18" si="154">E19*(1+P18)</f>
        <v>663.237779510311</v>
      </c>
      <c r="F18" s="807">
        <f t="shared" ref="F18" si="155">F19*(1+Q18)</f>
        <v>304.759363114784</v>
      </c>
      <c r="G18" s="800">
        <v>2018</v>
      </c>
      <c r="H18" s="805">
        <v>4</v>
      </c>
      <c r="I18" s="805">
        <v>0.96</v>
      </c>
      <c r="J18" s="805">
        <v>1.03</v>
      </c>
      <c r="K18" s="805">
        <v>0.92</v>
      </c>
      <c r="L18" s="842">
        <v>1.29</v>
      </c>
      <c r="M18" s="783"/>
      <c r="N18" s="839">
        <f t="shared" si="112"/>
        <v>0.0096</v>
      </c>
      <c r="O18" s="840">
        <f t="shared" ref="O18" si="156">J18/100</f>
        <v>0.0103</v>
      </c>
      <c r="P18" s="840">
        <f t="shared" ref="P18" si="157">K18/100</f>
        <v>0.0092</v>
      </c>
      <c r="Q18" s="840">
        <f t="shared" ref="Q18" si="158">L18/100</f>
        <v>0.0129</v>
      </c>
      <c r="R18" s="868"/>
      <c r="S18" s="839"/>
      <c r="T18" s="840"/>
      <c r="U18" s="840"/>
      <c r="V18" s="840"/>
      <c r="W18" s="869"/>
      <c r="X18" s="869">
        <f>ROUND(SUMPRODUCT(PRODUCT(1+N18:N$36)),4)</f>
        <v>1.5099</v>
      </c>
      <c r="Y18" s="869">
        <f>ROUND(SUMPRODUCT(PRODUCT(1+O18:O$36)),4)</f>
        <v>1.3373</v>
      </c>
      <c r="Z18" s="869">
        <f t="shared" ref="Z18" si="159">Y18</f>
        <v>1.3373</v>
      </c>
      <c r="AA18" s="869">
        <f>ROUND(SUMPRODUCT(PRODUCT(1+P18:P$36)),4)</f>
        <v>1.5683</v>
      </c>
      <c r="AB18" s="869">
        <f>ROUND(SUMPRODUCT(PRODUCT(1+Q18:Q$36)),4)</f>
        <v>1.3256</v>
      </c>
      <c r="AC18" s="869"/>
      <c r="AD18" s="883">
        <f>ROUND(AVERAGE(I18:I$37)/100,4)</f>
        <v>0.0224</v>
      </c>
      <c r="AE18" s="883">
        <f>ROUND(AVERAGE(J18:J$37)/100,4)</f>
        <v>0.0158</v>
      </c>
      <c r="AF18" s="883">
        <f t="shared" ref="AF18" si="160">AE18</f>
        <v>0.0158</v>
      </c>
      <c r="AG18" s="883">
        <f>ROUND(AVERAGE(K18:K$37)/100,4)</f>
        <v>0.0245</v>
      </c>
      <c r="AH18" s="883">
        <f>ROUND(AVERAGE(L18:L$37)/100,4)</f>
        <v>0.0149</v>
      </c>
    </row>
    <row r="19" s="779" customFormat="1" ht="14.4" customHeight="1" spans="1:34">
      <c r="A19" s="802" t="s">
        <v>2077</v>
      </c>
      <c r="B19" s="803">
        <f t="shared" ref="B19" si="161">B20*(1+N19)</f>
        <v>459.95733971037</v>
      </c>
      <c r="C19" s="803">
        <f t="shared" ref="C19" si="162">C20*(1+O19)</f>
        <v>341.222210644224</v>
      </c>
      <c r="D19" s="803">
        <f t="shared" ref="D19" si="163">C19</f>
        <v>341.222210644224</v>
      </c>
      <c r="E19" s="803">
        <f t="shared" ref="E19" si="164">E20*(1+P19)</f>
        <v>657.191616637248</v>
      </c>
      <c r="F19" s="803">
        <f t="shared" ref="F19" si="165">F20*(1+Q19)</f>
        <v>300.878036444648</v>
      </c>
      <c r="G19" s="800"/>
      <c r="H19" s="804">
        <v>3</v>
      </c>
      <c r="I19" s="804">
        <v>1.51</v>
      </c>
      <c r="J19" s="804">
        <v>1.41</v>
      </c>
      <c r="K19" s="804">
        <v>1.52</v>
      </c>
      <c r="L19" s="841">
        <v>1.74</v>
      </c>
      <c r="M19" s="783"/>
      <c r="N19" s="839">
        <f t="shared" si="112"/>
        <v>0.0151</v>
      </c>
      <c r="O19" s="840">
        <f t="shared" ref="O19" si="166">J19/100</f>
        <v>0.0141</v>
      </c>
      <c r="P19" s="840">
        <f t="shared" ref="P19" si="167">K19/100</f>
        <v>0.0152</v>
      </c>
      <c r="Q19" s="840">
        <f t="shared" ref="Q19" si="168">L19/100</f>
        <v>0.0174</v>
      </c>
      <c r="R19" s="868"/>
      <c r="S19" s="839"/>
      <c r="T19" s="840"/>
      <c r="U19" s="840"/>
      <c r="V19" s="840"/>
      <c r="W19" s="869"/>
      <c r="X19" s="869">
        <f>ROUND(SUMPRODUCT(PRODUCT(1+N19:N$36)),4)</f>
        <v>1.4956</v>
      </c>
      <c r="Y19" s="869">
        <f>ROUND(SUMPRODUCT(PRODUCT(1+O19:O$36)),4)</f>
        <v>1.3237</v>
      </c>
      <c r="Z19" s="869">
        <f t="shared" ref="Z19" si="169">Y19</f>
        <v>1.3237</v>
      </c>
      <c r="AA19" s="869">
        <f>ROUND(SUMPRODUCT(PRODUCT(1+P19:P$36)),4)</f>
        <v>1.554</v>
      </c>
      <c r="AB19" s="869">
        <f>ROUND(SUMPRODUCT(PRODUCT(1+Q19:Q$36)),4)</f>
        <v>1.3087</v>
      </c>
      <c r="AC19" s="869"/>
      <c r="AD19" s="883">
        <f>ROUND(AVERAGE(I19:I$37)/100,4)</f>
        <v>0.0231</v>
      </c>
      <c r="AE19" s="883">
        <f>ROUND(AVERAGE(J19:J$37)/100,4)</f>
        <v>0.0161</v>
      </c>
      <c r="AF19" s="883">
        <f t="shared" ref="AF19" si="170">AE19</f>
        <v>0.0161</v>
      </c>
      <c r="AG19" s="883">
        <f>ROUND(AVERAGE(K19:K$37)/100,4)</f>
        <v>0.0253</v>
      </c>
      <c r="AH19" s="883">
        <f>ROUND(AVERAGE(L19:L$37)/100,4)</f>
        <v>0.015</v>
      </c>
    </row>
    <row r="20" s="779" customFormat="1" ht="14.4" customHeight="1" spans="1:34">
      <c r="A20" s="802" t="s">
        <v>2078</v>
      </c>
      <c r="B20" s="803">
        <f t="shared" ref="B20" si="171">B21*(1+N20)</f>
        <v>453.1152987</v>
      </c>
      <c r="C20" s="803">
        <f t="shared" ref="C20" si="172">C21*(1+O20)</f>
        <v>336.47787264</v>
      </c>
      <c r="D20" s="803">
        <f t="shared" ref="D20" si="173">C20</f>
        <v>336.47787264</v>
      </c>
      <c r="E20" s="803">
        <f t="shared" ref="E20" si="174">E21*(1+P20)</f>
        <v>647.35186824</v>
      </c>
      <c r="F20" s="803">
        <f t="shared" ref="F20" si="175">F21*(1+Q20)</f>
        <v>295.73229452</v>
      </c>
      <c r="G20" s="800"/>
      <c r="H20" s="808">
        <v>2</v>
      </c>
      <c r="I20" s="808">
        <v>1.49</v>
      </c>
      <c r="J20" s="808">
        <v>0.96</v>
      </c>
      <c r="K20" s="808">
        <v>1.58</v>
      </c>
      <c r="L20" s="843">
        <v>2.44</v>
      </c>
      <c r="M20" s="783"/>
      <c r="N20" s="839">
        <f t="shared" ref="N20" si="176">I20/100</f>
        <v>0.0149</v>
      </c>
      <c r="O20" s="840">
        <f t="shared" ref="O20" si="177">J20/100</f>
        <v>0.0096</v>
      </c>
      <c r="P20" s="840">
        <f t="shared" ref="P20" si="178">K20/100</f>
        <v>0.0158</v>
      </c>
      <c r="Q20" s="840">
        <f t="shared" ref="Q20" si="179">L20/100</f>
        <v>0.0244</v>
      </c>
      <c r="R20" s="868"/>
      <c r="S20" s="839"/>
      <c r="T20" s="840"/>
      <c r="U20" s="840"/>
      <c r="V20" s="840"/>
      <c r="W20" s="869"/>
      <c r="X20" s="869">
        <f>ROUND(SUMPRODUCT(PRODUCT(1+N20:N$36)),4)</f>
        <v>1.4733</v>
      </c>
      <c r="Y20" s="869">
        <f>ROUND(SUMPRODUCT(PRODUCT(1+O20:O$36)),4)</f>
        <v>1.3053</v>
      </c>
      <c r="Z20" s="869">
        <f t="shared" ref="Z20" si="180">Y20</f>
        <v>1.3053</v>
      </c>
      <c r="AA20" s="869">
        <f>ROUND(SUMPRODUCT(PRODUCT(1+P20:P$36)),4)</f>
        <v>1.5307</v>
      </c>
      <c r="AB20" s="869">
        <f>ROUND(SUMPRODUCT(PRODUCT(1+Q20:Q$36)),4)</f>
        <v>1.2863</v>
      </c>
      <c r="AC20" s="869"/>
      <c r="AD20" s="883">
        <f>ROUND(AVERAGE(I20:I$37)/100,4)</f>
        <v>0.0235</v>
      </c>
      <c r="AE20" s="883">
        <f>ROUND(AVERAGE(J20:J$37)/100,4)</f>
        <v>0.0162</v>
      </c>
      <c r="AF20" s="883">
        <f t="shared" ref="AF20" si="181">AE20</f>
        <v>0.0162</v>
      </c>
      <c r="AG20" s="883">
        <f>ROUND(AVERAGE(K20:K$37)/100,4)</f>
        <v>0.0259</v>
      </c>
      <c r="AH20" s="883">
        <f>ROUND(AVERAGE(L20:L$37)/100,4)</f>
        <v>0.0149</v>
      </c>
    </row>
    <row r="21" s="779" customFormat="1" ht="15" customHeight="1" spans="1:34">
      <c r="A21" s="802" t="s">
        <v>2079</v>
      </c>
      <c r="B21" s="803">
        <f t="shared" ref="B21" si="182">B22*(1+N21)</f>
        <v>446.463</v>
      </c>
      <c r="C21" s="803">
        <f t="shared" ref="C21" si="183">C22*(1+O21)</f>
        <v>333.2784</v>
      </c>
      <c r="D21" s="803">
        <f t="shared" ref="D21:D22" si="184">C21</f>
        <v>333.2784</v>
      </c>
      <c r="E21" s="803">
        <f t="shared" ref="E21" si="185">E22*(1+P21)</f>
        <v>637.2828</v>
      </c>
      <c r="F21" s="803">
        <f t="shared" ref="F21" si="186">F22*(1+Q21)</f>
        <v>288.6883</v>
      </c>
      <c r="G21" s="809"/>
      <c r="H21" s="804">
        <v>1</v>
      </c>
      <c r="I21" s="804">
        <v>1.7</v>
      </c>
      <c r="J21" s="804">
        <v>1.92</v>
      </c>
      <c r="K21" s="804">
        <v>1.64</v>
      </c>
      <c r="L21" s="841">
        <v>2.01</v>
      </c>
      <c r="M21" s="783"/>
      <c r="N21" s="839">
        <f t="shared" ref="N21:N26" si="187">I21/100</f>
        <v>0.017</v>
      </c>
      <c r="O21" s="840">
        <f t="shared" ref="O21" si="188">J21/100</f>
        <v>0.0192</v>
      </c>
      <c r="P21" s="840">
        <f t="shared" ref="P21" si="189">K21/100</f>
        <v>0.0164</v>
      </c>
      <c r="Q21" s="840">
        <f t="shared" ref="Q21" si="190">L21/100</f>
        <v>0.0201</v>
      </c>
      <c r="R21" s="868"/>
      <c r="S21" s="839">
        <f>B21/B22-1</f>
        <v>0.0169999999999999</v>
      </c>
      <c r="T21" s="840">
        <f t="shared" ref="T21" si="191">C21/C22-1</f>
        <v>0.0192000000000001</v>
      </c>
      <c r="U21" s="840">
        <f t="shared" ref="U21" si="192">D21/D22-1</f>
        <v>0.0192000000000001</v>
      </c>
      <c r="V21" s="840">
        <f t="shared" ref="V21" si="193">E21/E22-1</f>
        <v>0.0164</v>
      </c>
      <c r="W21" s="869"/>
      <c r="X21" s="869">
        <f>ROUND(SUMPRODUCT(PRODUCT(1+N21:N$36)),4)</f>
        <v>1.4517</v>
      </c>
      <c r="Y21" s="869">
        <f>ROUND(SUMPRODUCT(PRODUCT(1+O21:O$36)),4)</f>
        <v>1.2929</v>
      </c>
      <c r="Z21" s="869">
        <f t="shared" ref="Z21" si="194">Y21</f>
        <v>1.2929</v>
      </c>
      <c r="AA21" s="869">
        <f>ROUND(SUMPRODUCT(PRODUCT(1+P21:P$36)),4)</f>
        <v>1.5069</v>
      </c>
      <c r="AB21" s="869">
        <f>ROUND(SUMPRODUCT(PRODUCT(1+Q21:Q$36)),4)</f>
        <v>1.2557</v>
      </c>
      <c r="AC21" s="869"/>
      <c r="AD21" s="883">
        <f>ROUND(AVERAGE(I21:I$37)/100,4)</f>
        <v>0.024</v>
      </c>
      <c r="AE21" s="883">
        <f>ROUND(AVERAGE(J21:J$37)/100,4)</f>
        <v>0.0166</v>
      </c>
      <c r="AF21" s="883">
        <f t="shared" ref="AF21" si="195">AE21</f>
        <v>0.0166</v>
      </c>
      <c r="AG21" s="883">
        <f>ROUND(AVERAGE(K21:K$37)/100,4)</f>
        <v>0.0265</v>
      </c>
      <c r="AH21" s="883">
        <f>ROUND(AVERAGE(L21:L$37)/100,4)</f>
        <v>0.0143</v>
      </c>
    </row>
    <row r="22" spans="1:34">
      <c r="A22" s="802" t="s">
        <v>2080</v>
      </c>
      <c r="B22" s="810">
        <v>439</v>
      </c>
      <c r="C22" s="810">
        <v>327</v>
      </c>
      <c r="D22" s="810">
        <f t="shared" si="184"/>
        <v>327</v>
      </c>
      <c r="E22" s="810">
        <v>627</v>
      </c>
      <c r="F22" s="811">
        <v>283</v>
      </c>
      <c r="G22" s="812">
        <v>2017</v>
      </c>
      <c r="H22" s="805">
        <v>4</v>
      </c>
      <c r="I22" s="805">
        <v>1.71</v>
      </c>
      <c r="J22" s="805">
        <v>1.78</v>
      </c>
      <c r="K22" s="805">
        <v>1.71</v>
      </c>
      <c r="L22" s="842">
        <v>1.43</v>
      </c>
      <c r="N22" s="839">
        <f t="shared" si="187"/>
        <v>0.0171</v>
      </c>
      <c r="O22" s="840">
        <f t="shared" ref="O22" si="196">J22/100</f>
        <v>0.0178</v>
      </c>
      <c r="P22" s="840">
        <f t="shared" ref="P22" si="197">K22/100</f>
        <v>0.0171</v>
      </c>
      <c r="Q22" s="840">
        <f t="shared" ref="Q22" si="198">L22/100</f>
        <v>0.0143</v>
      </c>
      <c r="R22" s="868"/>
      <c r="S22" s="870"/>
      <c r="T22" s="871"/>
      <c r="U22" s="871"/>
      <c r="V22" s="871"/>
      <c r="X22" s="783">
        <f>ROUND(SUMPRODUCT(PRODUCT(1+N22:N$36)),4)</f>
        <v>1.4274</v>
      </c>
      <c r="Y22" s="783">
        <f>ROUND(SUMPRODUCT(PRODUCT(1+O22:O$36)),4)</f>
        <v>1.2685</v>
      </c>
      <c r="Z22" s="783">
        <f t="shared" si="0"/>
        <v>1.2685</v>
      </c>
      <c r="AA22" s="783">
        <f>ROUND(SUMPRODUCT(PRODUCT(1+P22:P$36)),4)</f>
        <v>1.4826</v>
      </c>
      <c r="AB22" s="783">
        <f>ROUND(SUMPRODUCT(PRODUCT(1+Q22:Q$36)),4)</f>
        <v>1.2309</v>
      </c>
      <c r="AD22" s="840">
        <f>ROUND(AVERAGE(I22:I$37)/100,4)</f>
        <v>0.0245</v>
      </c>
      <c r="AE22" s="840">
        <f>ROUND(AVERAGE(J22:J$37)/100,4)</f>
        <v>0.0165</v>
      </c>
      <c r="AF22" s="840">
        <f t="shared" si="1"/>
        <v>0.0165</v>
      </c>
      <c r="AG22" s="840">
        <f>ROUND(AVERAGE(K22:K$37)/100,4)</f>
        <v>0.0271</v>
      </c>
      <c r="AH22" s="840">
        <f>ROUND(AVERAGE(L22:L$37)/100,4)</f>
        <v>0.0139</v>
      </c>
    </row>
    <row r="23" s="779" customFormat="1" ht="14.4" customHeight="1" spans="1:34">
      <c r="A23" s="802" t="s">
        <v>2081</v>
      </c>
      <c r="B23" s="803">
        <f t="shared" ref="B23:B25" si="199">B24*(1+N23)</f>
        <v>431.8073081168</v>
      </c>
      <c r="C23" s="803">
        <f t="shared" ref="C23:C25" si="200">C24*(1+O23)</f>
        <v>320.5788051648</v>
      </c>
      <c r="D23" s="803">
        <f t="shared" ref="D23:D26" si="201">C23</f>
        <v>320.5788051648</v>
      </c>
      <c r="E23" s="803">
        <f t="shared" ref="E23:E25" si="202">E24*(1+P23)</f>
        <v>615.961105531968</v>
      </c>
      <c r="F23" s="803">
        <f t="shared" ref="F23:F25" si="203">F24*(1+Q23)</f>
        <v>279.467773001088</v>
      </c>
      <c r="G23" s="800"/>
      <c r="H23" s="804">
        <v>3</v>
      </c>
      <c r="I23" s="804">
        <v>2.98</v>
      </c>
      <c r="J23" s="804">
        <v>2.11</v>
      </c>
      <c r="K23" s="804">
        <v>3.24</v>
      </c>
      <c r="L23" s="841">
        <v>1.72</v>
      </c>
      <c r="M23" s="783"/>
      <c r="N23" s="839">
        <f t="shared" si="187"/>
        <v>0.0298</v>
      </c>
      <c r="O23" s="840">
        <f t="shared" ref="O23" si="204">J23/100</f>
        <v>0.0211</v>
      </c>
      <c r="P23" s="840">
        <f t="shared" ref="P23" si="205">K23/100</f>
        <v>0.0324</v>
      </c>
      <c r="Q23" s="840">
        <f t="shared" ref="Q23" si="206">L23/100</f>
        <v>0.0172</v>
      </c>
      <c r="R23" s="868"/>
      <c r="S23" s="839"/>
      <c r="T23" s="840"/>
      <c r="U23" s="840"/>
      <c r="V23" s="840"/>
      <c r="W23" s="869"/>
      <c r="X23" s="869">
        <f>ROUND(SUMPRODUCT(PRODUCT(1+N23:N$36)),4)</f>
        <v>1.4034</v>
      </c>
      <c r="Y23" s="869">
        <f>ROUND(SUMPRODUCT(PRODUCT(1+O23:O$36)),4)</f>
        <v>1.2463</v>
      </c>
      <c r="Z23" s="869">
        <f t="shared" si="0"/>
        <v>1.2463</v>
      </c>
      <c r="AA23" s="869">
        <f>ROUND(SUMPRODUCT(PRODUCT(1+P23:P$36)),4)</f>
        <v>1.4577</v>
      </c>
      <c r="AB23" s="869">
        <f>ROUND(SUMPRODUCT(PRODUCT(1+Q23:Q$36)),4)</f>
        <v>1.2136</v>
      </c>
      <c r="AC23" s="869"/>
      <c r="AD23" s="883">
        <f>ROUND(AVERAGE(I23:I$37)/100,4)</f>
        <v>0.0249</v>
      </c>
      <c r="AE23" s="883">
        <f>ROUND(AVERAGE(J23:J$37)/100,4)</f>
        <v>0.0164</v>
      </c>
      <c r="AF23" s="883">
        <f t="shared" si="1"/>
        <v>0.0164</v>
      </c>
      <c r="AG23" s="883">
        <f>ROUND(AVERAGE(K23:K$37)/100,4)</f>
        <v>0.0278</v>
      </c>
      <c r="AH23" s="883">
        <f>ROUND(AVERAGE(L23:L$37)/100,4)</f>
        <v>0.0139</v>
      </c>
    </row>
    <row r="24" s="778" customFormat="1" ht="14.4" customHeight="1" spans="1:34">
      <c r="A24" s="802" t="s">
        <v>2082</v>
      </c>
      <c r="B24" s="803">
        <f t="shared" si="199"/>
        <v>419.311816</v>
      </c>
      <c r="C24" s="803">
        <f t="shared" si="200"/>
        <v>313.954368</v>
      </c>
      <c r="D24" s="803">
        <f t="shared" si="201"/>
        <v>313.954368</v>
      </c>
      <c r="E24" s="803">
        <f t="shared" si="202"/>
        <v>596.63028432</v>
      </c>
      <c r="F24" s="803">
        <f t="shared" si="203"/>
        <v>274.74220704</v>
      </c>
      <c r="G24" s="800"/>
      <c r="H24" s="808">
        <v>2</v>
      </c>
      <c r="I24" s="808">
        <v>3.4</v>
      </c>
      <c r="J24" s="808">
        <v>2</v>
      </c>
      <c r="K24" s="808">
        <v>3.82</v>
      </c>
      <c r="L24" s="843">
        <v>1.68</v>
      </c>
      <c r="M24" s="783"/>
      <c r="N24" s="839">
        <f t="shared" si="187"/>
        <v>0.034</v>
      </c>
      <c r="O24" s="840">
        <f t="shared" ref="O24" si="207">J24/100</f>
        <v>0.02</v>
      </c>
      <c r="P24" s="840">
        <f t="shared" ref="P24" si="208">K24/100</f>
        <v>0.0382</v>
      </c>
      <c r="Q24" s="840">
        <f t="shared" ref="Q24" si="209">L24/100</f>
        <v>0.0168</v>
      </c>
      <c r="R24" s="868"/>
      <c r="S24" s="870"/>
      <c r="T24" s="871"/>
      <c r="U24" s="871"/>
      <c r="V24" s="871"/>
      <c r="W24" s="777"/>
      <c r="X24" s="869">
        <f>ROUND(SUMPRODUCT(PRODUCT(1+N24:N$36)),4)</f>
        <v>1.3628</v>
      </c>
      <c r="Y24" s="869">
        <f>ROUND(SUMPRODUCT(PRODUCT(1+O24:O$36)),4)</f>
        <v>1.2206</v>
      </c>
      <c r="Z24" s="869">
        <f t="shared" si="0"/>
        <v>1.2206</v>
      </c>
      <c r="AA24" s="869">
        <f>ROUND(SUMPRODUCT(PRODUCT(1+P24:P$36)),4)</f>
        <v>1.4119</v>
      </c>
      <c r="AB24" s="869">
        <f>ROUND(SUMPRODUCT(PRODUCT(1+Q24:Q$36)),4)</f>
        <v>1.193</v>
      </c>
      <c r="AC24" s="777"/>
      <c r="AD24" s="883">
        <f>ROUND(AVERAGE(I24:I$37)/100,4)</f>
        <v>0.0246</v>
      </c>
      <c r="AE24" s="883">
        <f>ROUND(AVERAGE(J24:J$37)/100,4)</f>
        <v>0.016</v>
      </c>
      <c r="AF24" s="883">
        <f t="shared" si="1"/>
        <v>0.016</v>
      </c>
      <c r="AG24" s="883">
        <f>ROUND(AVERAGE(K24:K$37)/100,4)</f>
        <v>0.0275</v>
      </c>
      <c r="AH24" s="883">
        <f>ROUND(AVERAGE(L24:L$37)/100,4)</f>
        <v>0.0137</v>
      </c>
    </row>
    <row r="25" s="779" customFormat="1" ht="15" customHeight="1" spans="1:34">
      <c r="A25" s="802" t="s">
        <v>2083</v>
      </c>
      <c r="B25" s="803">
        <f t="shared" si="199"/>
        <v>405.524</v>
      </c>
      <c r="C25" s="803">
        <f t="shared" si="200"/>
        <v>307.7984</v>
      </c>
      <c r="D25" s="803">
        <f t="shared" si="201"/>
        <v>307.7984</v>
      </c>
      <c r="E25" s="803">
        <f t="shared" si="202"/>
        <v>574.6776</v>
      </c>
      <c r="F25" s="803">
        <f t="shared" si="203"/>
        <v>270.2028</v>
      </c>
      <c r="G25" s="809"/>
      <c r="H25" s="804">
        <v>1</v>
      </c>
      <c r="I25" s="804">
        <v>3.45</v>
      </c>
      <c r="J25" s="804">
        <v>1.92</v>
      </c>
      <c r="K25" s="804">
        <v>3.92</v>
      </c>
      <c r="L25" s="841">
        <v>1.58</v>
      </c>
      <c r="M25" s="783"/>
      <c r="N25" s="839">
        <f t="shared" si="187"/>
        <v>0.0345</v>
      </c>
      <c r="O25" s="840">
        <f t="shared" ref="O25:Q40" si="210">J25/100</f>
        <v>0.0192</v>
      </c>
      <c r="P25" s="840">
        <f t="shared" si="210"/>
        <v>0.0392</v>
      </c>
      <c r="Q25" s="840">
        <f t="shared" si="210"/>
        <v>0.0158</v>
      </c>
      <c r="R25" s="868"/>
      <c r="S25" s="839">
        <f>B25/B26-1</f>
        <v>0.0345</v>
      </c>
      <c r="T25" s="840">
        <f t="shared" ref="T25:V25" si="211">C25/C26-1</f>
        <v>0.0192000000000001</v>
      </c>
      <c r="U25" s="840">
        <f t="shared" si="211"/>
        <v>0.0192000000000001</v>
      </c>
      <c r="V25" s="840">
        <f t="shared" si="211"/>
        <v>0.0391999999999999</v>
      </c>
      <c r="W25" s="869"/>
      <c r="X25" s="869">
        <f>ROUND(SUMPRODUCT(PRODUCT(1+N25:N$36)),4)</f>
        <v>1.318</v>
      </c>
      <c r="Y25" s="869">
        <f>ROUND(SUMPRODUCT(PRODUCT(1+O25:O$36)),4)</f>
        <v>1.1966</v>
      </c>
      <c r="Z25" s="869">
        <f t="shared" si="0"/>
        <v>1.1966</v>
      </c>
      <c r="AA25" s="869">
        <f>ROUND(SUMPRODUCT(PRODUCT(1+P25:P$36)),4)</f>
        <v>1.36</v>
      </c>
      <c r="AB25" s="869">
        <f>ROUND(SUMPRODUCT(PRODUCT(1+Q25:Q$36)),4)</f>
        <v>1.1733</v>
      </c>
      <c r="AC25" s="869"/>
      <c r="AD25" s="883">
        <f>ROUND(AVERAGE(I25:I$37)/100,4)</f>
        <v>0.0239</v>
      </c>
      <c r="AE25" s="883">
        <f>ROUND(AVERAGE(J25:J$37)/100,4)</f>
        <v>0.0157</v>
      </c>
      <c r="AF25" s="883">
        <f t="shared" si="1"/>
        <v>0.0157</v>
      </c>
      <c r="AG25" s="883">
        <f>ROUND(AVERAGE(K25:K$37)/100,4)</f>
        <v>0.0266</v>
      </c>
      <c r="AH25" s="883">
        <f>ROUND(AVERAGE(L25:L$37)/100,4)</f>
        <v>0.0134</v>
      </c>
    </row>
    <row r="26" spans="1:34">
      <c r="A26" s="802" t="s">
        <v>2084</v>
      </c>
      <c r="B26" s="810">
        <v>392</v>
      </c>
      <c r="C26" s="810">
        <v>302</v>
      </c>
      <c r="D26" s="810">
        <f t="shared" si="201"/>
        <v>302</v>
      </c>
      <c r="E26" s="810">
        <v>553</v>
      </c>
      <c r="F26" s="811">
        <v>266</v>
      </c>
      <c r="G26" s="812">
        <v>2016</v>
      </c>
      <c r="H26" s="805">
        <v>4</v>
      </c>
      <c r="I26" s="805">
        <v>4.56</v>
      </c>
      <c r="J26" s="805">
        <v>2.15</v>
      </c>
      <c r="K26" s="805">
        <v>5.32</v>
      </c>
      <c r="L26" s="842">
        <v>1.57</v>
      </c>
      <c r="N26" s="839">
        <f t="shared" si="187"/>
        <v>0.0456</v>
      </c>
      <c r="O26" s="840">
        <f t="shared" si="210"/>
        <v>0.0215</v>
      </c>
      <c r="P26" s="840">
        <f t="shared" si="210"/>
        <v>0.0532</v>
      </c>
      <c r="Q26" s="840">
        <f t="shared" si="210"/>
        <v>0.0157</v>
      </c>
      <c r="R26" s="868"/>
      <c r="S26" s="870"/>
      <c r="T26" s="871"/>
      <c r="U26" s="871"/>
      <c r="V26" s="871"/>
      <c r="X26" s="783">
        <f>ROUND(SUMPRODUCT(PRODUCT(1+N26:N$36)),4)</f>
        <v>1.274</v>
      </c>
      <c r="Y26" s="783">
        <f>ROUND(SUMPRODUCT(PRODUCT(1+O26:O$36)),4)</f>
        <v>1.1741</v>
      </c>
      <c r="Z26" s="783">
        <f t="shared" si="0"/>
        <v>1.1741</v>
      </c>
      <c r="AA26" s="783">
        <f>ROUND(SUMPRODUCT(PRODUCT(1+P26:P$36)),4)</f>
        <v>1.3087</v>
      </c>
      <c r="AB26" s="783">
        <f>ROUND(SUMPRODUCT(PRODUCT(1+Q26:Q$36)),4)</f>
        <v>1.1551</v>
      </c>
      <c r="AD26" s="840">
        <f>ROUND(AVERAGE(I26:I$37)/100,4)</f>
        <v>0.023</v>
      </c>
      <c r="AE26" s="840">
        <f>ROUND(AVERAGE(J26:J$37)/100,4)</f>
        <v>0.0155</v>
      </c>
      <c r="AF26" s="840">
        <f t="shared" si="1"/>
        <v>0.0155</v>
      </c>
      <c r="AG26" s="840">
        <f>ROUND(AVERAGE(K26:K$37)/100,4)</f>
        <v>0.0256</v>
      </c>
      <c r="AH26" s="840">
        <f>ROUND(AVERAGE(L26:L$37)/100,4)</f>
        <v>0.0132</v>
      </c>
    </row>
    <row r="27" spans="1:34">
      <c r="A27" s="802" t="s">
        <v>2085</v>
      </c>
      <c r="B27" s="803">
        <f t="shared" ref="B27:C29" si="212">B26/(1+N26)</f>
        <v>374.904361132364</v>
      </c>
      <c r="C27" s="803">
        <f t="shared" si="212"/>
        <v>295.643661282428</v>
      </c>
      <c r="D27" s="803">
        <f t="shared" ref="D27:D86" si="213">C27</f>
        <v>295.643661282428</v>
      </c>
      <c r="E27" s="803">
        <f t="shared" ref="E27:F29" si="214">E26/(1+P26)</f>
        <v>525.066464109381</v>
      </c>
      <c r="F27" s="803">
        <f t="shared" si="214"/>
        <v>261.888352860096</v>
      </c>
      <c r="G27" s="800"/>
      <c r="H27" s="804">
        <v>3</v>
      </c>
      <c r="I27" s="804">
        <v>4.12</v>
      </c>
      <c r="J27" s="804">
        <v>2</v>
      </c>
      <c r="K27" s="804">
        <v>4.79</v>
      </c>
      <c r="L27" s="841">
        <v>1.97</v>
      </c>
      <c r="N27" s="839">
        <f t="shared" ref="N27:Q61" si="215">I27/100</f>
        <v>0.0412</v>
      </c>
      <c r="O27" s="840">
        <f t="shared" si="210"/>
        <v>0.02</v>
      </c>
      <c r="P27" s="840">
        <f t="shared" si="210"/>
        <v>0.0479</v>
      </c>
      <c r="Q27" s="840">
        <f t="shared" si="210"/>
        <v>0.0197</v>
      </c>
      <c r="R27" s="868"/>
      <c r="S27" s="839"/>
      <c r="T27" s="840"/>
      <c r="U27" s="840"/>
      <c r="V27" s="840"/>
      <c r="X27" s="783">
        <f>ROUND(SUMPRODUCT(PRODUCT(1+N27:N$36)),4)</f>
        <v>1.2185</v>
      </c>
      <c r="Y27" s="783">
        <f>ROUND(SUMPRODUCT(PRODUCT(1+O27:O$36)),4)</f>
        <v>1.1494</v>
      </c>
      <c r="Z27" s="783">
        <f t="shared" si="0"/>
        <v>1.1494</v>
      </c>
      <c r="AA27" s="783">
        <f>ROUND(SUMPRODUCT(PRODUCT(1+P27:P$36)),4)</f>
        <v>1.2426</v>
      </c>
      <c r="AB27" s="783">
        <f>ROUND(SUMPRODUCT(PRODUCT(1+Q27:Q$36)),4)</f>
        <v>1.1372</v>
      </c>
      <c r="AD27" s="840">
        <f>ROUND(AVERAGE(I27:I$37)/100,4)</f>
        <v>0.0209</v>
      </c>
      <c r="AE27" s="840">
        <f>ROUND(AVERAGE(J27:J$37)/100,4)</f>
        <v>0.0149</v>
      </c>
      <c r="AF27" s="840">
        <f t="shared" si="1"/>
        <v>0.0149</v>
      </c>
      <c r="AG27" s="840">
        <f>ROUND(AVERAGE(K27:K$37)/100,4)</f>
        <v>0.0231</v>
      </c>
      <c r="AH27" s="840">
        <f>ROUND(AVERAGE(L27:L$37)/100,4)</f>
        <v>0.013</v>
      </c>
    </row>
    <row r="28" spans="1:34">
      <c r="A28" s="802" t="s">
        <v>2086</v>
      </c>
      <c r="B28" s="803">
        <f t="shared" si="212"/>
        <v>360.069497822094</v>
      </c>
      <c r="C28" s="803">
        <f t="shared" si="212"/>
        <v>289.846726747478</v>
      </c>
      <c r="D28" s="803">
        <f t="shared" si="213"/>
        <v>289.846726747478</v>
      </c>
      <c r="E28" s="803">
        <f t="shared" si="214"/>
        <v>501.065430011815</v>
      </c>
      <c r="F28" s="803">
        <f t="shared" si="214"/>
        <v>256.82882500745</v>
      </c>
      <c r="G28" s="800"/>
      <c r="H28" s="808">
        <v>2</v>
      </c>
      <c r="I28" s="808">
        <v>3.85</v>
      </c>
      <c r="J28" s="808">
        <v>1.95</v>
      </c>
      <c r="K28" s="808">
        <v>4.48</v>
      </c>
      <c r="L28" s="843">
        <v>1.41</v>
      </c>
      <c r="N28" s="839">
        <f t="shared" si="215"/>
        <v>0.0385</v>
      </c>
      <c r="O28" s="840">
        <f t="shared" si="210"/>
        <v>0.0195</v>
      </c>
      <c r="P28" s="840">
        <f t="shared" si="210"/>
        <v>0.0448</v>
      </c>
      <c r="Q28" s="840">
        <f t="shared" si="210"/>
        <v>0.0141</v>
      </c>
      <c r="R28" s="868"/>
      <c r="S28" s="839"/>
      <c r="T28" s="840"/>
      <c r="U28" s="840"/>
      <c r="V28" s="840"/>
      <c r="X28" s="783">
        <f>ROUND(SUMPRODUCT(PRODUCT(1+N28:N$36)),4)</f>
        <v>1.1703</v>
      </c>
      <c r="Y28" s="783">
        <f>ROUND(SUMPRODUCT(PRODUCT(1+O28:O$36)),4)</f>
        <v>1.1269</v>
      </c>
      <c r="Z28" s="783">
        <f t="shared" si="0"/>
        <v>1.1269</v>
      </c>
      <c r="AA28" s="783">
        <f>ROUND(SUMPRODUCT(PRODUCT(1+P28:P$36)),4)</f>
        <v>1.1858</v>
      </c>
      <c r="AB28" s="783">
        <f>ROUND(SUMPRODUCT(PRODUCT(1+Q28:Q$36)),4)</f>
        <v>1.1152</v>
      </c>
      <c r="AD28" s="840">
        <f>ROUND(AVERAGE(I28:I$37)/100,4)</f>
        <v>0.0189</v>
      </c>
      <c r="AE28" s="840">
        <f>ROUND(AVERAGE(J28:J$37)/100,4)</f>
        <v>0.0144</v>
      </c>
      <c r="AF28" s="840">
        <f t="shared" si="1"/>
        <v>0.0144</v>
      </c>
      <c r="AG28" s="840">
        <f>ROUND(AVERAGE(K28:K$37)/100,4)</f>
        <v>0.0206</v>
      </c>
      <c r="AH28" s="840">
        <f>ROUND(AVERAGE(L28:L$37)/100,4)</f>
        <v>0.0123</v>
      </c>
    </row>
    <row r="29" ht="13.95" spans="1:34">
      <c r="A29" s="802" t="s">
        <v>2087</v>
      </c>
      <c r="B29" s="803">
        <f t="shared" si="212"/>
        <v>346.720748986128</v>
      </c>
      <c r="C29" s="803">
        <f t="shared" si="212"/>
        <v>284.302821723863</v>
      </c>
      <c r="D29" s="803">
        <f t="shared" si="213"/>
        <v>284.302821723863</v>
      </c>
      <c r="E29" s="803">
        <f t="shared" si="214"/>
        <v>479.580235463069</v>
      </c>
      <c r="F29" s="803">
        <f t="shared" si="214"/>
        <v>253.257888775712</v>
      </c>
      <c r="G29" s="813"/>
      <c r="H29" s="804">
        <v>1</v>
      </c>
      <c r="I29" s="804">
        <v>4.09</v>
      </c>
      <c r="J29" s="804">
        <v>2.93</v>
      </c>
      <c r="K29" s="804">
        <v>4.54</v>
      </c>
      <c r="L29" s="841">
        <v>1.48</v>
      </c>
      <c r="N29" s="839">
        <f t="shared" si="215"/>
        <v>0.0409</v>
      </c>
      <c r="O29" s="840">
        <f t="shared" si="210"/>
        <v>0.0293</v>
      </c>
      <c r="P29" s="840">
        <f t="shared" si="210"/>
        <v>0.0454</v>
      </c>
      <c r="Q29" s="840">
        <f t="shared" si="210"/>
        <v>0.0148</v>
      </c>
      <c r="R29" s="868"/>
      <c r="S29" s="849">
        <f>B29/B30-1</f>
        <v>0.0412034504087928</v>
      </c>
      <c r="T29" s="850">
        <f>C29/C30-1</f>
        <v>0.0263639773424651</v>
      </c>
      <c r="U29" s="850">
        <f>E29/E30-1</f>
        <v>0.0448371142986264</v>
      </c>
      <c r="V29" s="850">
        <f>F29/F30-1</f>
        <v>0.0170999549225386</v>
      </c>
      <c r="X29" s="783">
        <f>ROUND(SUMPRODUCT(PRODUCT(1+N29:N$36)),4)</f>
        <v>1.1269</v>
      </c>
      <c r="Y29" s="783">
        <f>ROUND(SUMPRODUCT(PRODUCT(1+O29:O$36)),4)</f>
        <v>1.1053</v>
      </c>
      <c r="Z29" s="783">
        <f t="shared" si="0"/>
        <v>1.1053</v>
      </c>
      <c r="AA29" s="783">
        <f>ROUND(SUMPRODUCT(PRODUCT(1+P29:P$36)),4)</f>
        <v>1.1349</v>
      </c>
      <c r="AB29" s="783">
        <f>ROUND(SUMPRODUCT(PRODUCT(1+Q29:Q$36)),4)</f>
        <v>1.0997</v>
      </c>
      <c r="AD29" s="840">
        <f>ROUND(AVERAGE(I29:I$37)/100,4)</f>
        <v>0.0167</v>
      </c>
      <c r="AE29" s="840">
        <f>ROUND(AVERAGE(J29:J$37)/100,4)</f>
        <v>0.0138</v>
      </c>
      <c r="AF29" s="840">
        <f t="shared" si="1"/>
        <v>0.0138</v>
      </c>
      <c r="AG29" s="840">
        <f>ROUND(AVERAGE(K29:K$37)/100,4)</f>
        <v>0.0179</v>
      </c>
      <c r="AH29" s="840">
        <f>ROUND(AVERAGE(L29:L$37)/100,4)</f>
        <v>0.0121</v>
      </c>
    </row>
    <row r="30" ht="13.95" spans="1:34">
      <c r="A30" s="802" t="s">
        <v>2088</v>
      </c>
      <c r="B30" s="810">
        <v>333</v>
      </c>
      <c r="C30" s="810">
        <v>277</v>
      </c>
      <c r="D30" s="810">
        <f t="shared" si="213"/>
        <v>277</v>
      </c>
      <c r="E30" s="810">
        <v>459</v>
      </c>
      <c r="F30" s="811">
        <v>249</v>
      </c>
      <c r="G30" s="814">
        <v>2015</v>
      </c>
      <c r="H30" s="815">
        <v>4</v>
      </c>
      <c r="I30" s="815">
        <v>1.63</v>
      </c>
      <c r="J30" s="815">
        <v>1.11</v>
      </c>
      <c r="K30" s="815">
        <v>1.77</v>
      </c>
      <c r="L30" s="844">
        <v>1.89</v>
      </c>
      <c r="N30" s="845">
        <f t="shared" si="215"/>
        <v>0.0163</v>
      </c>
      <c r="O30" s="846">
        <f t="shared" si="210"/>
        <v>0.0111</v>
      </c>
      <c r="P30" s="846">
        <f t="shared" si="210"/>
        <v>0.0177</v>
      </c>
      <c r="Q30" s="846">
        <f t="shared" si="210"/>
        <v>0.0189</v>
      </c>
      <c r="R30" s="868"/>
      <c r="X30" s="783">
        <f>ROUND(SUMPRODUCT(PRODUCT(1+N30:N$36)),4)</f>
        <v>1.0826</v>
      </c>
      <c r="Y30" s="783">
        <f>ROUND(SUMPRODUCT(PRODUCT(1+O30:O$36)),4)</f>
        <v>1.0738</v>
      </c>
      <c r="Z30" s="783">
        <f t="shared" si="0"/>
        <v>1.0738</v>
      </c>
      <c r="AA30" s="783">
        <f>ROUND(SUMPRODUCT(PRODUCT(1+P30:P$36)),4)</f>
        <v>1.0856</v>
      </c>
      <c r="AB30" s="783">
        <f>ROUND(SUMPRODUCT(PRODUCT(1+Q30:Q$36)),4)</f>
        <v>1.0837</v>
      </c>
      <c r="AD30" s="840">
        <f>ROUND(AVERAGE(I30:I$37)/100,4)</f>
        <v>0.0137</v>
      </c>
      <c r="AE30" s="840">
        <f>ROUND(AVERAGE(J30:J$37)/100,4)</f>
        <v>0.0119</v>
      </c>
      <c r="AF30" s="840">
        <f t="shared" si="1"/>
        <v>0.0119</v>
      </c>
      <c r="AG30" s="840">
        <f>ROUND(AVERAGE(K30:K$37)/100,4)</f>
        <v>0.0145</v>
      </c>
      <c r="AH30" s="840">
        <f>ROUND(AVERAGE(L30:L$37)/100,4)</f>
        <v>0.0118</v>
      </c>
    </row>
    <row r="31" spans="1:34">
      <c r="A31" s="802" t="s">
        <v>2089</v>
      </c>
      <c r="B31" s="803">
        <f t="shared" ref="B31:C33" si="216">B30/(1+N30)</f>
        <v>327.659155761094</v>
      </c>
      <c r="C31" s="803">
        <f t="shared" si="216"/>
        <v>273.959054495104</v>
      </c>
      <c r="D31" s="803">
        <f t="shared" si="213"/>
        <v>273.959054495104</v>
      </c>
      <c r="E31" s="803">
        <f t="shared" ref="E31:F33" si="217">E30/(1+P30)</f>
        <v>451.016999115653</v>
      </c>
      <c r="F31" s="803">
        <f t="shared" si="217"/>
        <v>244.381195406811</v>
      </c>
      <c r="G31" s="800"/>
      <c r="H31" s="816">
        <v>3</v>
      </c>
      <c r="I31" s="816">
        <v>1.65</v>
      </c>
      <c r="J31" s="816">
        <v>0.92</v>
      </c>
      <c r="K31" s="816">
        <v>1.88</v>
      </c>
      <c r="L31" s="847">
        <v>1.26</v>
      </c>
      <c r="N31" s="839">
        <f t="shared" si="215"/>
        <v>0.0165</v>
      </c>
      <c r="O31" s="848">
        <f t="shared" si="210"/>
        <v>0.0092</v>
      </c>
      <c r="P31" s="848">
        <f t="shared" si="210"/>
        <v>0.0188</v>
      </c>
      <c r="Q31" s="848">
        <f t="shared" si="210"/>
        <v>0.0126</v>
      </c>
      <c r="R31" s="868"/>
      <c r="S31" s="839"/>
      <c r="T31" s="840"/>
      <c r="U31" s="840"/>
      <c r="V31" s="840"/>
      <c r="X31" s="783">
        <f>ROUND(SUMPRODUCT(PRODUCT(1+N31:N$36)),4)</f>
        <v>1.0652</v>
      </c>
      <c r="Y31" s="783">
        <f>ROUND(SUMPRODUCT(PRODUCT(1+O31:O$36)),4)</f>
        <v>1.0621</v>
      </c>
      <c r="Z31" s="783">
        <f t="shared" si="0"/>
        <v>1.0621</v>
      </c>
      <c r="AA31" s="783">
        <f>ROUND(SUMPRODUCT(PRODUCT(1+P31:P$36)),4)</f>
        <v>1.0668</v>
      </c>
      <c r="AB31" s="783">
        <f>ROUND(SUMPRODUCT(PRODUCT(1+Q31:Q$36)),4)</f>
        <v>1.0636</v>
      </c>
      <c r="AD31" s="840">
        <f>ROUND(AVERAGE(I31:I$37)/100,4)</f>
        <v>0.0133</v>
      </c>
      <c r="AE31" s="840">
        <f>ROUND(AVERAGE(J31:J$37)/100,4)</f>
        <v>0.012</v>
      </c>
      <c r="AF31" s="840">
        <f t="shared" si="1"/>
        <v>0.012</v>
      </c>
      <c r="AG31" s="840">
        <f>ROUND(AVERAGE(K31:K$37)/100,4)</f>
        <v>0.014</v>
      </c>
      <c r="AH31" s="840">
        <f>ROUND(AVERAGE(L31:L$37)/100,4)</f>
        <v>0.0108</v>
      </c>
    </row>
    <row r="32" spans="1:34">
      <c r="A32" s="802" t="s">
        <v>2090</v>
      </c>
      <c r="B32" s="803">
        <f t="shared" si="216"/>
        <v>322.340536902208</v>
      </c>
      <c r="C32" s="803">
        <f t="shared" si="216"/>
        <v>271.461607704225</v>
      </c>
      <c r="D32" s="803">
        <f t="shared" si="213"/>
        <v>271.461607704225</v>
      </c>
      <c r="E32" s="803">
        <f t="shared" si="217"/>
        <v>442.694345421725</v>
      </c>
      <c r="F32" s="803">
        <f t="shared" si="217"/>
        <v>241.340307531909</v>
      </c>
      <c r="G32" s="800"/>
      <c r="H32" s="808">
        <v>2</v>
      </c>
      <c r="I32" s="808">
        <v>0.77</v>
      </c>
      <c r="J32" s="808">
        <v>0.69</v>
      </c>
      <c r="K32" s="808">
        <v>0.8</v>
      </c>
      <c r="L32" s="843">
        <v>0.88</v>
      </c>
      <c r="N32" s="839">
        <f t="shared" si="215"/>
        <v>0.0077</v>
      </c>
      <c r="O32" s="848">
        <f t="shared" si="210"/>
        <v>0.0069</v>
      </c>
      <c r="P32" s="848">
        <f t="shared" si="210"/>
        <v>0.008</v>
      </c>
      <c r="Q32" s="848">
        <f t="shared" si="210"/>
        <v>0.0088</v>
      </c>
      <c r="R32" s="868"/>
      <c r="S32" s="839"/>
      <c r="T32" s="840"/>
      <c r="U32" s="840"/>
      <c r="V32" s="840"/>
      <c r="X32" s="783">
        <f>ROUND(SUMPRODUCT(PRODUCT(1+N32:N$36)),4)</f>
        <v>1.048</v>
      </c>
      <c r="Y32" s="783">
        <f>ROUND(SUMPRODUCT(PRODUCT(1+O32:O$36)),4)</f>
        <v>1.0524</v>
      </c>
      <c r="Z32" s="783">
        <f t="shared" si="0"/>
        <v>1.0524</v>
      </c>
      <c r="AA32" s="783">
        <f>ROUND(SUMPRODUCT(PRODUCT(1+P32:P$36)),4)</f>
        <v>1.0471</v>
      </c>
      <c r="AB32" s="783">
        <f>ROUND(SUMPRODUCT(PRODUCT(1+Q32:Q$36)),4)</f>
        <v>1.0504</v>
      </c>
      <c r="AD32" s="840">
        <f>ROUND(AVERAGE(I32:I$37)/100,4)</f>
        <v>0.0128</v>
      </c>
      <c r="AE32" s="840">
        <f>ROUND(AVERAGE(J32:J$37)/100,4)</f>
        <v>0.0125</v>
      </c>
      <c r="AF32" s="840">
        <f t="shared" si="1"/>
        <v>0.0125</v>
      </c>
      <c r="AG32" s="840">
        <f>ROUND(AVERAGE(K32:K$37)/100,4)</f>
        <v>0.0132</v>
      </c>
      <c r="AH32" s="840">
        <f>ROUND(AVERAGE(L32:L$37)/100,4)</f>
        <v>0.0105</v>
      </c>
    </row>
    <row r="33" spans="1:34">
      <c r="A33" s="802" t="s">
        <v>2091</v>
      </c>
      <c r="B33" s="803">
        <f t="shared" si="216"/>
        <v>319.877480303868</v>
      </c>
      <c r="C33" s="803">
        <f t="shared" si="216"/>
        <v>269.601358331736</v>
      </c>
      <c r="D33" s="803">
        <f t="shared" si="213"/>
        <v>269.601358331736</v>
      </c>
      <c r="E33" s="803">
        <f t="shared" si="217"/>
        <v>439.180898235838</v>
      </c>
      <c r="F33" s="803">
        <f t="shared" si="217"/>
        <v>239.235039187063</v>
      </c>
      <c r="G33" s="813"/>
      <c r="H33" s="804">
        <v>1</v>
      </c>
      <c r="I33" s="804">
        <v>0.51</v>
      </c>
      <c r="J33" s="804">
        <v>0.54</v>
      </c>
      <c r="K33" s="804">
        <v>0.48</v>
      </c>
      <c r="L33" s="841">
        <v>0.93</v>
      </c>
      <c r="N33" s="849">
        <f t="shared" si="215"/>
        <v>0.0051</v>
      </c>
      <c r="O33" s="850">
        <f t="shared" si="210"/>
        <v>0.0054</v>
      </c>
      <c r="P33" s="850">
        <f t="shared" si="210"/>
        <v>0.0048</v>
      </c>
      <c r="Q33" s="850">
        <f t="shared" si="210"/>
        <v>0.0093</v>
      </c>
      <c r="R33" s="868"/>
      <c r="S33" s="849">
        <f>B33/B34-1</f>
        <v>0.00590402611279228</v>
      </c>
      <c r="T33" s="850">
        <f>C33/C34-1</f>
        <v>0.00597521765573328</v>
      </c>
      <c r="U33" s="850">
        <f>E33/E34-1</f>
        <v>0.00499061381198596</v>
      </c>
      <c r="V33" s="850">
        <f>F33/F34-1</f>
        <v>0.00943054509309338</v>
      </c>
      <c r="X33" s="783">
        <f>ROUND(SUMPRODUCT(PRODUCT(1+N33:N$36)),4)</f>
        <v>1.0399</v>
      </c>
      <c r="Y33" s="783">
        <f>ROUND(SUMPRODUCT(PRODUCT(1+O33:O$36)),4)</f>
        <v>1.0452</v>
      </c>
      <c r="Z33" s="783">
        <f t="shared" si="0"/>
        <v>1.0452</v>
      </c>
      <c r="AA33" s="783">
        <f>ROUND(SUMPRODUCT(PRODUCT(1+P33:P$36)),4)</f>
        <v>1.0388</v>
      </c>
      <c r="AB33" s="783">
        <f>ROUND(SUMPRODUCT(PRODUCT(1+Q33:Q$36)),4)</f>
        <v>1.0412</v>
      </c>
      <c r="AD33" s="840">
        <f>ROUND(AVERAGE(I33:I$37)/100,4)</f>
        <v>0.0138</v>
      </c>
      <c r="AE33" s="840">
        <f>ROUND(AVERAGE(J33:J$37)/100,4)</f>
        <v>0.0136</v>
      </c>
      <c r="AF33" s="840">
        <f t="shared" si="1"/>
        <v>0.0136</v>
      </c>
      <c r="AG33" s="840">
        <f>ROUND(AVERAGE(K33:K$37)/100,4)</f>
        <v>0.0142</v>
      </c>
      <c r="AH33" s="840">
        <f>ROUND(AVERAGE(L33:L$37)/100,4)</f>
        <v>0.0108</v>
      </c>
    </row>
    <row r="34" ht="13.95" spans="1:34">
      <c r="A34" s="802" t="s">
        <v>2092</v>
      </c>
      <c r="B34" s="817">
        <v>318</v>
      </c>
      <c r="C34" s="817">
        <v>268</v>
      </c>
      <c r="D34" s="817">
        <f t="shared" si="213"/>
        <v>268</v>
      </c>
      <c r="E34" s="817">
        <v>437</v>
      </c>
      <c r="F34" s="818">
        <v>237</v>
      </c>
      <c r="G34" s="814">
        <v>2014</v>
      </c>
      <c r="H34" s="815">
        <v>4</v>
      </c>
      <c r="I34" s="815">
        <v>0.21</v>
      </c>
      <c r="J34" s="815">
        <v>0.41</v>
      </c>
      <c r="K34" s="815">
        <v>0.12</v>
      </c>
      <c r="L34" s="844">
        <v>0.89</v>
      </c>
      <c r="N34" s="839">
        <f t="shared" si="215"/>
        <v>0.0021</v>
      </c>
      <c r="O34" s="840">
        <f t="shared" si="210"/>
        <v>0.0041</v>
      </c>
      <c r="P34" s="840">
        <f t="shared" si="210"/>
        <v>0.0012</v>
      </c>
      <c r="Q34" s="840">
        <f t="shared" si="210"/>
        <v>0.0089</v>
      </c>
      <c r="R34" s="868"/>
      <c r="S34" s="870"/>
      <c r="T34" s="871"/>
      <c r="U34" s="871"/>
      <c r="V34" s="871"/>
      <c r="X34" s="783">
        <f>ROUND(SUMPRODUCT(PRODUCT(1+N34:N$36)),4)</f>
        <v>1.0347</v>
      </c>
      <c r="Y34" s="783">
        <f>ROUND(SUMPRODUCT(PRODUCT(1+O34:O$36)),4)</f>
        <v>1.0395</v>
      </c>
      <c r="Z34" s="783">
        <f t="shared" si="0"/>
        <v>1.0395</v>
      </c>
      <c r="AA34" s="783">
        <f>ROUND(SUMPRODUCT(PRODUCT(1+P34:P$36)),4)</f>
        <v>1.0338</v>
      </c>
      <c r="AB34" s="783">
        <f>ROUND(SUMPRODUCT(PRODUCT(1+Q34:Q$36)),4)</f>
        <v>1.0316</v>
      </c>
      <c r="AD34" s="840">
        <f>ROUND(AVERAGE(I34:I$37)/100,4)</f>
        <v>0.016</v>
      </c>
      <c r="AE34" s="840">
        <f>ROUND(AVERAGE(J34:J$37)/100,4)</f>
        <v>0.0156</v>
      </c>
      <c r="AF34" s="840">
        <f t="shared" si="1"/>
        <v>0.0156</v>
      </c>
      <c r="AG34" s="840">
        <f>ROUND(AVERAGE(K34:K$37)/100,4)</f>
        <v>0.0166</v>
      </c>
      <c r="AH34" s="840">
        <f>ROUND(AVERAGE(L34:L$37)/100,4)</f>
        <v>0.0112</v>
      </c>
    </row>
    <row r="35" spans="1:34">
      <c r="A35" s="802" t="s">
        <v>2093</v>
      </c>
      <c r="B35" s="803">
        <f t="shared" ref="B35:C37" si="218">B34/(1+N34)</f>
        <v>317.333599441174</v>
      </c>
      <c r="C35" s="803">
        <f t="shared" si="218"/>
        <v>266.905686684593</v>
      </c>
      <c r="D35" s="803">
        <f t="shared" si="213"/>
        <v>266.905686684593</v>
      </c>
      <c r="E35" s="803">
        <f t="shared" ref="E35:F37" si="219">E34/(1+P34)</f>
        <v>436.476228525769</v>
      </c>
      <c r="F35" s="803">
        <f t="shared" si="219"/>
        <v>234.909307166221</v>
      </c>
      <c r="G35" s="800"/>
      <c r="H35" s="819">
        <v>3</v>
      </c>
      <c r="I35" s="819">
        <v>0.83</v>
      </c>
      <c r="J35" s="819">
        <v>1.47</v>
      </c>
      <c r="K35" s="819">
        <v>0.65</v>
      </c>
      <c r="L35" s="851">
        <v>0.72</v>
      </c>
      <c r="N35" s="839">
        <f t="shared" si="215"/>
        <v>0.0083</v>
      </c>
      <c r="O35" s="840">
        <f t="shared" si="210"/>
        <v>0.0147</v>
      </c>
      <c r="P35" s="840">
        <f t="shared" si="210"/>
        <v>0.0065</v>
      </c>
      <c r="Q35" s="840">
        <f t="shared" si="210"/>
        <v>0.0072</v>
      </c>
      <c r="R35" s="868"/>
      <c r="S35" s="839"/>
      <c r="T35" s="840"/>
      <c r="U35" s="840"/>
      <c r="V35" s="840"/>
      <c r="X35" s="783">
        <f>ROUND(SUMPRODUCT(PRODUCT(1+N35:N$36)),4)</f>
        <v>1.0325</v>
      </c>
      <c r="Y35" s="783">
        <f>ROUND(SUMPRODUCT(PRODUCT(1+O35:O$36)),4)</f>
        <v>1.0353</v>
      </c>
      <c r="Z35" s="783">
        <f t="shared" ref="Z35:Z36" si="220">Y35</f>
        <v>1.0353</v>
      </c>
      <c r="AA35" s="783">
        <f>ROUND(SUMPRODUCT(PRODUCT(1+P35:P$36)),4)</f>
        <v>1.0326</v>
      </c>
      <c r="AB35" s="783">
        <f>ROUND(SUMPRODUCT(PRODUCT(1+Q35:Q$36)),4)</f>
        <v>1.0225</v>
      </c>
      <c r="AD35" s="840">
        <f>ROUND(AVERAGE(I35:I$37)/100,4)</f>
        <v>0.0207</v>
      </c>
      <c r="AE35" s="840">
        <f>ROUND(AVERAGE(J35:J$37)/100,4)</f>
        <v>0.0195</v>
      </c>
      <c r="AF35" s="840">
        <f t="shared" si="1"/>
        <v>0.0195</v>
      </c>
      <c r="AG35" s="840">
        <f>ROUND(AVERAGE(K35:K$37)/100,4)</f>
        <v>0.0217</v>
      </c>
      <c r="AH35" s="840">
        <f>ROUND(AVERAGE(L35:L$37)/100,4)</f>
        <v>0.012</v>
      </c>
    </row>
    <row r="36" ht="13.95" spans="1:34">
      <c r="A36" s="802" t="s">
        <v>2094</v>
      </c>
      <c r="B36" s="803">
        <f t="shared" si="218"/>
        <v>314.721411723865</v>
      </c>
      <c r="C36" s="803">
        <f t="shared" si="218"/>
        <v>263.03901319069</v>
      </c>
      <c r="D36" s="803">
        <f t="shared" si="213"/>
        <v>263.03901319069</v>
      </c>
      <c r="E36" s="803">
        <f t="shared" si="219"/>
        <v>433.657455067828</v>
      </c>
      <c r="F36" s="803">
        <f t="shared" si="219"/>
        <v>233.230050800457</v>
      </c>
      <c r="G36" s="800"/>
      <c r="H36" s="815">
        <v>2</v>
      </c>
      <c r="I36" s="815">
        <v>2.4</v>
      </c>
      <c r="J36" s="815">
        <v>2.03</v>
      </c>
      <c r="K36" s="815">
        <v>2.59</v>
      </c>
      <c r="L36" s="844">
        <v>1.52</v>
      </c>
      <c r="N36" s="839">
        <f t="shared" si="215"/>
        <v>0.024</v>
      </c>
      <c r="O36" s="840">
        <f t="shared" si="210"/>
        <v>0.0203</v>
      </c>
      <c r="P36" s="840">
        <f t="shared" si="210"/>
        <v>0.0259</v>
      </c>
      <c r="Q36" s="840">
        <f t="shared" si="210"/>
        <v>0.0152</v>
      </c>
      <c r="R36" s="868"/>
      <c r="S36" s="839"/>
      <c r="T36" s="840"/>
      <c r="U36" s="840"/>
      <c r="V36" s="840"/>
      <c r="X36" s="783">
        <f>1+N36</f>
        <v>1.024</v>
      </c>
      <c r="Y36" s="783">
        <f>1+O36</f>
        <v>1.0203</v>
      </c>
      <c r="Z36" s="783">
        <f t="shared" si="220"/>
        <v>1.0203</v>
      </c>
      <c r="AA36" s="783">
        <f>1+P36</f>
        <v>1.0259</v>
      </c>
      <c r="AB36" s="783">
        <f>1+Q36</f>
        <v>1.0152</v>
      </c>
      <c r="AD36" s="840">
        <f>ROUND(AVERAGE(I36:I$37)/100,4)</f>
        <v>0.0269</v>
      </c>
      <c r="AE36" s="840">
        <f>ROUND(AVERAGE(J36:J$37)/100,4)</f>
        <v>0.0219</v>
      </c>
      <c r="AF36" s="840">
        <f t="shared" ref="AF36:AF37" si="221">AE36</f>
        <v>0.0219</v>
      </c>
      <c r="AG36" s="840">
        <f>ROUND(AVERAGE(K36:K$37)/100,4)</f>
        <v>0.0294</v>
      </c>
      <c r="AH36" s="840">
        <f>ROUND(AVERAGE(L36:L$37)/100,4)</f>
        <v>0.0144</v>
      </c>
    </row>
    <row r="37" s="780" customFormat="1" ht="13.95" spans="1:34">
      <c r="A37" s="820" t="s">
        <v>2095</v>
      </c>
      <c r="B37" s="821">
        <f t="shared" si="218"/>
        <v>307.345128636587</v>
      </c>
      <c r="C37" s="821">
        <f t="shared" si="218"/>
        <v>257.80556031627</v>
      </c>
      <c r="D37" s="821">
        <f t="shared" si="213"/>
        <v>257.80556031627</v>
      </c>
      <c r="E37" s="821">
        <f t="shared" si="219"/>
        <v>422.709284596772</v>
      </c>
      <c r="F37" s="821">
        <f t="shared" si="219"/>
        <v>229.738032703366</v>
      </c>
      <c r="G37" s="813"/>
      <c r="H37" s="822">
        <v>1</v>
      </c>
      <c r="I37" s="822">
        <v>2.97</v>
      </c>
      <c r="J37" s="822">
        <v>2.34</v>
      </c>
      <c r="K37" s="822">
        <v>3.28</v>
      </c>
      <c r="L37" s="852">
        <v>1.36</v>
      </c>
      <c r="N37" s="853">
        <f t="shared" si="215"/>
        <v>0.0297</v>
      </c>
      <c r="O37" s="854">
        <f t="shared" si="210"/>
        <v>0.0234</v>
      </c>
      <c r="P37" s="854">
        <f t="shared" si="210"/>
        <v>0.0328</v>
      </c>
      <c r="Q37" s="854">
        <f t="shared" si="210"/>
        <v>0.0136</v>
      </c>
      <c r="R37" s="872"/>
      <c r="S37" s="873">
        <f>B37/B38-1</f>
        <v>0.0279101292193555</v>
      </c>
      <c r="T37" s="874">
        <f>C37/C38-1</f>
        <v>0.0230379377629752</v>
      </c>
      <c r="U37" s="874">
        <f>E37/E38-1</f>
        <v>0.0335190332439408</v>
      </c>
      <c r="V37" s="874">
        <f>F37/F38-1</f>
        <v>0.0120618180765029</v>
      </c>
      <c r="W37" s="875" t="s">
        <v>2096</v>
      </c>
      <c r="X37" s="876">
        <v>1</v>
      </c>
      <c r="Y37" s="876">
        <v>1</v>
      </c>
      <c r="Z37" s="876">
        <v>1</v>
      </c>
      <c r="AA37" s="876">
        <v>1</v>
      </c>
      <c r="AB37" s="876">
        <v>1</v>
      </c>
      <c r="AD37" s="854">
        <f>I37/100</f>
        <v>0.0297</v>
      </c>
      <c r="AE37" s="854">
        <f>J37/100</f>
        <v>0.0234</v>
      </c>
      <c r="AF37" s="854">
        <f t="shared" si="221"/>
        <v>0.0234</v>
      </c>
      <c r="AG37" s="854">
        <f>K37/100</f>
        <v>0.0328</v>
      </c>
      <c r="AH37" s="854">
        <f>L37/100</f>
        <v>0.0136</v>
      </c>
    </row>
    <row r="38" ht="13.95" spans="1:26">
      <c r="A38" s="802" t="s">
        <v>2097</v>
      </c>
      <c r="B38" s="810">
        <v>299</v>
      </c>
      <c r="C38" s="810">
        <v>252</v>
      </c>
      <c r="D38" s="810">
        <f t="shared" si="213"/>
        <v>252</v>
      </c>
      <c r="E38" s="810">
        <v>409</v>
      </c>
      <c r="F38" s="811">
        <v>227</v>
      </c>
      <c r="G38" s="823">
        <v>2013</v>
      </c>
      <c r="H38" s="824">
        <v>4</v>
      </c>
      <c r="I38" s="824">
        <v>1.83</v>
      </c>
      <c r="J38" s="824">
        <v>1.68</v>
      </c>
      <c r="K38" s="824">
        <v>1.97</v>
      </c>
      <c r="L38" s="855">
        <v>0.87</v>
      </c>
      <c r="N38" s="845">
        <f t="shared" si="215"/>
        <v>0.0183</v>
      </c>
      <c r="O38" s="846">
        <f t="shared" si="210"/>
        <v>0.0168</v>
      </c>
      <c r="P38" s="846">
        <f t="shared" si="210"/>
        <v>0.0197</v>
      </c>
      <c r="Q38" s="846">
        <f t="shared" si="210"/>
        <v>0.0087</v>
      </c>
      <c r="R38" s="868"/>
      <c r="S38" s="870"/>
      <c r="T38" s="871"/>
      <c r="U38" s="871"/>
      <c r="V38" s="871"/>
      <c r="X38" s="871"/>
      <c r="Y38" s="871"/>
      <c r="Z38" s="871"/>
    </row>
    <row r="39" spans="1:22">
      <c r="A39" s="802" t="s">
        <v>2098</v>
      </c>
      <c r="B39" s="803">
        <f t="shared" ref="B39:C41" si="222">B38/(1+N38)</f>
        <v>293.626632622999</v>
      </c>
      <c r="C39" s="803">
        <f t="shared" si="222"/>
        <v>247.836349331235</v>
      </c>
      <c r="D39" s="803">
        <f t="shared" si="213"/>
        <v>247.836349331235</v>
      </c>
      <c r="E39" s="803">
        <f t="shared" ref="E39:F41" si="223">E38/(1+P38)</f>
        <v>401.098362263411</v>
      </c>
      <c r="F39" s="803">
        <f t="shared" si="223"/>
        <v>225.04213343908</v>
      </c>
      <c r="G39" s="825"/>
      <c r="H39" s="816">
        <v>3</v>
      </c>
      <c r="I39" s="816">
        <v>1.86</v>
      </c>
      <c r="J39" s="816">
        <v>1.72</v>
      </c>
      <c r="K39" s="816">
        <v>1.98</v>
      </c>
      <c r="L39" s="847">
        <v>0.88</v>
      </c>
      <c r="N39" s="839">
        <f t="shared" si="215"/>
        <v>0.0186</v>
      </c>
      <c r="O39" s="848">
        <f t="shared" si="210"/>
        <v>0.0172</v>
      </c>
      <c r="P39" s="848">
        <f t="shared" si="210"/>
        <v>0.0198</v>
      </c>
      <c r="Q39" s="848">
        <f t="shared" si="210"/>
        <v>0.0088</v>
      </c>
      <c r="R39" s="868"/>
      <c r="S39" s="839"/>
      <c r="T39" s="840"/>
      <c r="U39" s="840"/>
      <c r="V39" s="840"/>
    </row>
    <row r="40" spans="1:25">
      <c r="A40" s="802" t="s">
        <v>2099</v>
      </c>
      <c r="B40" s="803">
        <f t="shared" si="222"/>
        <v>288.264905382878</v>
      </c>
      <c r="C40" s="803">
        <f t="shared" si="222"/>
        <v>243.645644250133</v>
      </c>
      <c r="D40" s="803">
        <f t="shared" si="213"/>
        <v>243.645644250133</v>
      </c>
      <c r="E40" s="803">
        <f t="shared" si="223"/>
        <v>393.310808259865</v>
      </c>
      <c r="F40" s="803">
        <f t="shared" si="223"/>
        <v>223.079037905512</v>
      </c>
      <c r="G40" s="825"/>
      <c r="H40" s="808">
        <v>2</v>
      </c>
      <c r="I40" s="808">
        <v>2.04</v>
      </c>
      <c r="J40" s="808">
        <v>2.33</v>
      </c>
      <c r="K40" s="808">
        <v>2.07</v>
      </c>
      <c r="L40" s="843">
        <v>0.69</v>
      </c>
      <c r="N40" s="839">
        <f t="shared" si="215"/>
        <v>0.0204</v>
      </c>
      <c r="O40" s="848">
        <f t="shared" si="210"/>
        <v>0.0233</v>
      </c>
      <c r="P40" s="848">
        <f t="shared" si="210"/>
        <v>0.0207</v>
      </c>
      <c r="Q40" s="848">
        <f t="shared" si="210"/>
        <v>0.0069</v>
      </c>
      <c r="R40" s="868"/>
      <c r="S40" s="839"/>
      <c r="T40" s="840"/>
      <c r="U40" s="840"/>
      <c r="V40" s="840"/>
      <c r="X40" s="877"/>
      <c r="Y40" s="884"/>
    </row>
    <row r="41" spans="1:26">
      <c r="A41" s="802" t="s">
        <v>2100</v>
      </c>
      <c r="B41" s="803">
        <f t="shared" si="222"/>
        <v>282.501867290158</v>
      </c>
      <c r="C41" s="803">
        <f t="shared" si="222"/>
        <v>238.097961741555</v>
      </c>
      <c r="D41" s="803">
        <f t="shared" si="213"/>
        <v>238.097961741555</v>
      </c>
      <c r="E41" s="803">
        <f t="shared" si="223"/>
        <v>385.334386460141</v>
      </c>
      <c r="F41" s="803">
        <f t="shared" si="223"/>
        <v>221.550340555677</v>
      </c>
      <c r="G41" s="826"/>
      <c r="H41" s="804">
        <v>1</v>
      </c>
      <c r="I41" s="804">
        <v>1.67</v>
      </c>
      <c r="J41" s="804">
        <v>1.31</v>
      </c>
      <c r="K41" s="804">
        <v>1.85</v>
      </c>
      <c r="L41" s="841">
        <v>0.96</v>
      </c>
      <c r="N41" s="849">
        <f t="shared" si="215"/>
        <v>0.0167</v>
      </c>
      <c r="O41" s="850">
        <f t="shared" si="215"/>
        <v>0.0131</v>
      </c>
      <c r="P41" s="850">
        <f t="shared" si="215"/>
        <v>0.0185</v>
      </c>
      <c r="Q41" s="850">
        <f t="shared" si="215"/>
        <v>0.0096</v>
      </c>
      <c r="R41" s="868"/>
      <c r="S41" s="849">
        <f>B41/B42-1</f>
        <v>0.0161937672307855</v>
      </c>
      <c r="T41" s="850">
        <f>C41/C42-1</f>
        <v>0.0175126570151909</v>
      </c>
      <c r="U41" s="850">
        <f>E41/E42-1</f>
        <v>0.016713420739157</v>
      </c>
      <c r="V41" s="850">
        <f>F41/F42-1</f>
        <v>0.00704700252580626</v>
      </c>
      <c r="X41" s="878"/>
      <c r="Y41" s="840"/>
      <c r="Z41" s="840"/>
    </row>
    <row r="42" ht="13.95" spans="1:26">
      <c r="A42" s="802" t="s">
        <v>2101</v>
      </c>
      <c r="B42" s="827">
        <v>278</v>
      </c>
      <c r="C42" s="827">
        <v>234</v>
      </c>
      <c r="D42" s="827">
        <f t="shared" si="213"/>
        <v>234</v>
      </c>
      <c r="E42" s="827">
        <v>379</v>
      </c>
      <c r="F42" s="828">
        <v>220</v>
      </c>
      <c r="G42" s="814">
        <v>2012</v>
      </c>
      <c r="H42" s="815">
        <v>4</v>
      </c>
      <c r="I42" s="815">
        <v>0.91</v>
      </c>
      <c r="J42" s="815">
        <v>0.68</v>
      </c>
      <c r="K42" s="815">
        <v>0.98</v>
      </c>
      <c r="L42" s="844">
        <v>0.9</v>
      </c>
      <c r="N42" s="839">
        <f t="shared" si="215"/>
        <v>0.0091</v>
      </c>
      <c r="O42" s="840">
        <f t="shared" si="215"/>
        <v>0.0068</v>
      </c>
      <c r="P42" s="840">
        <f t="shared" si="215"/>
        <v>0.0098</v>
      </c>
      <c r="Q42" s="840">
        <f t="shared" si="215"/>
        <v>0.009</v>
      </c>
      <c r="R42" s="868"/>
      <c r="S42" s="870"/>
      <c r="T42" s="871"/>
      <c r="U42" s="871"/>
      <c r="V42" s="871"/>
      <c r="X42" s="871"/>
      <c r="Y42" s="871"/>
      <c r="Z42" s="871"/>
    </row>
    <row r="43" spans="1:22">
      <c r="A43" s="802" t="s">
        <v>2102</v>
      </c>
      <c r="B43" s="803">
        <f>B42/(1+N42)</f>
        <v>275.493013576454</v>
      </c>
      <c r="C43" s="803">
        <f>C42/(1+O42)</f>
        <v>232.419547079857</v>
      </c>
      <c r="D43" s="803">
        <f t="shared" si="213"/>
        <v>232.419547079857</v>
      </c>
      <c r="E43" s="803">
        <f t="shared" ref="E43:F45" si="224">E42/(1+P42)</f>
        <v>375.321845910081</v>
      </c>
      <c r="F43" s="803">
        <f t="shared" si="224"/>
        <v>218.037661050545</v>
      </c>
      <c r="G43" s="800"/>
      <c r="H43" s="816">
        <v>3</v>
      </c>
      <c r="I43" s="816">
        <v>0.09</v>
      </c>
      <c r="J43" s="816">
        <v>0.29</v>
      </c>
      <c r="K43" s="816">
        <v>-0.01</v>
      </c>
      <c r="L43" s="847">
        <v>0.58</v>
      </c>
      <c r="N43" s="839">
        <f t="shared" si="215"/>
        <v>0.0009</v>
      </c>
      <c r="O43" s="840">
        <f t="shared" si="215"/>
        <v>0.0029</v>
      </c>
      <c r="P43" s="840">
        <f t="shared" si="215"/>
        <v>-0.0001</v>
      </c>
      <c r="Q43" s="840">
        <f t="shared" si="215"/>
        <v>0.0058</v>
      </c>
      <c r="R43" s="868"/>
      <c r="S43" s="839"/>
      <c r="T43" s="840"/>
      <c r="U43" s="840"/>
      <c r="V43" s="840"/>
    </row>
    <row r="44" spans="1:22">
      <c r="A44" s="802" t="s">
        <v>2103</v>
      </c>
      <c r="B44" s="803">
        <f>B43/(1+N43)</f>
        <v>275.245292812923</v>
      </c>
      <c r="C44" s="803">
        <f>C43/(1+O43)</f>
        <v>231.747479389627</v>
      </c>
      <c r="D44" s="803">
        <f t="shared" si="213"/>
        <v>231.747479389627</v>
      </c>
      <c r="E44" s="803">
        <f t="shared" si="224"/>
        <v>375.359381848266</v>
      </c>
      <c r="F44" s="803">
        <f t="shared" si="224"/>
        <v>216.780335106925</v>
      </c>
      <c r="G44" s="800"/>
      <c r="H44" s="808">
        <v>2</v>
      </c>
      <c r="I44" s="808">
        <v>0.02</v>
      </c>
      <c r="J44" s="808">
        <v>0.12</v>
      </c>
      <c r="K44" s="808">
        <v>-0.08</v>
      </c>
      <c r="L44" s="843">
        <v>1.24</v>
      </c>
      <c r="N44" s="839">
        <f t="shared" si="215"/>
        <v>0.0002</v>
      </c>
      <c r="O44" s="840">
        <f t="shared" si="215"/>
        <v>0.0012</v>
      </c>
      <c r="P44" s="840">
        <f t="shared" si="215"/>
        <v>-0.0008</v>
      </c>
      <c r="Q44" s="840">
        <f t="shared" si="215"/>
        <v>0.0124</v>
      </c>
      <c r="R44" s="868"/>
      <c r="S44" s="839"/>
      <c r="T44" s="840"/>
      <c r="U44" s="840"/>
      <c r="V44" s="840"/>
    </row>
    <row r="45" ht="13.95" spans="1:26">
      <c r="A45" s="802" t="s">
        <v>2104</v>
      </c>
      <c r="B45" s="803">
        <f>B44/(1+N44)</f>
        <v>275.19025476197</v>
      </c>
      <c r="C45" s="829">
        <v>232</v>
      </c>
      <c r="D45" s="829">
        <f t="shared" si="213"/>
        <v>232</v>
      </c>
      <c r="E45" s="803">
        <f t="shared" si="224"/>
        <v>375.659909776087</v>
      </c>
      <c r="F45" s="803">
        <f t="shared" si="224"/>
        <v>214.125182839713</v>
      </c>
      <c r="G45" s="813"/>
      <c r="H45" s="804">
        <v>1</v>
      </c>
      <c r="I45" s="804">
        <v>0.02</v>
      </c>
      <c r="J45" s="804">
        <v>0.13</v>
      </c>
      <c r="K45" s="804">
        <v>-0.04</v>
      </c>
      <c r="L45" s="841">
        <v>0.46</v>
      </c>
      <c r="N45" s="839">
        <f t="shared" si="215"/>
        <v>0.0002</v>
      </c>
      <c r="O45" s="840">
        <f t="shared" si="215"/>
        <v>0.0013</v>
      </c>
      <c r="P45" s="840">
        <f t="shared" si="215"/>
        <v>-0.0004</v>
      </c>
      <c r="Q45" s="840">
        <f t="shared" si="215"/>
        <v>0.0046</v>
      </c>
      <c r="R45" s="868"/>
      <c r="S45" s="849">
        <f>B45/B46-1</f>
        <v>0.000691835498073612</v>
      </c>
      <c r="T45" s="850">
        <f>C45/C46-1</f>
        <v>0</v>
      </c>
      <c r="U45" s="850">
        <f>E45/E46-1</f>
        <v>-0.000904495276364603</v>
      </c>
      <c r="V45" s="850">
        <f>F45/F46-1</f>
        <v>0.00528254854325128</v>
      </c>
      <c r="X45" s="840"/>
      <c r="Y45" s="840"/>
      <c r="Z45" s="840"/>
    </row>
    <row r="46" ht="13.95" spans="1:26">
      <c r="A46" s="802" t="s">
        <v>2105</v>
      </c>
      <c r="B46" s="810">
        <v>275</v>
      </c>
      <c r="C46" s="810">
        <v>232</v>
      </c>
      <c r="D46" s="810">
        <f t="shared" si="213"/>
        <v>232</v>
      </c>
      <c r="E46" s="810">
        <v>376</v>
      </c>
      <c r="F46" s="811">
        <v>213</v>
      </c>
      <c r="G46" s="814">
        <v>2011</v>
      </c>
      <c r="H46" s="815">
        <v>4</v>
      </c>
      <c r="I46" s="815">
        <v>-0.2</v>
      </c>
      <c r="J46" s="815">
        <v>0.04</v>
      </c>
      <c r="K46" s="815">
        <v>-0.34</v>
      </c>
      <c r="L46" s="844">
        <v>0.46</v>
      </c>
      <c r="N46" s="845">
        <f t="shared" si="215"/>
        <v>-0.002</v>
      </c>
      <c r="O46" s="846">
        <f t="shared" si="215"/>
        <v>0.0004</v>
      </c>
      <c r="P46" s="846">
        <f t="shared" si="215"/>
        <v>-0.0034</v>
      </c>
      <c r="Q46" s="846">
        <f t="shared" si="215"/>
        <v>0.0046</v>
      </c>
      <c r="R46" s="868"/>
      <c r="S46" s="870"/>
      <c r="T46" s="871"/>
      <c r="U46" s="871"/>
      <c r="V46" s="871"/>
      <c r="X46" s="871"/>
      <c r="Y46" s="871"/>
      <c r="Z46" s="871"/>
    </row>
    <row r="47" spans="1:22">
      <c r="A47" s="802" t="s">
        <v>2106</v>
      </c>
      <c r="B47" s="803">
        <f t="shared" ref="B47:C49" si="225">B46/(1+N46)</f>
        <v>275.551102204409</v>
      </c>
      <c r="C47" s="803">
        <f t="shared" si="225"/>
        <v>231.907237105158</v>
      </c>
      <c r="D47" s="803">
        <f t="shared" si="213"/>
        <v>231.907237105158</v>
      </c>
      <c r="E47" s="803">
        <f t="shared" ref="E47:F49" si="226">E46/(1+P46)</f>
        <v>377.282761388722</v>
      </c>
      <c r="F47" s="803">
        <f t="shared" si="226"/>
        <v>212.024686442365</v>
      </c>
      <c r="G47" s="800">
        <v>2011</v>
      </c>
      <c r="H47" s="816">
        <v>3</v>
      </c>
      <c r="I47" s="816">
        <v>0.13</v>
      </c>
      <c r="J47" s="816">
        <v>0.75</v>
      </c>
      <c r="K47" s="816">
        <v>-0.08</v>
      </c>
      <c r="L47" s="847">
        <v>0.53</v>
      </c>
      <c r="N47" s="839">
        <f t="shared" si="215"/>
        <v>0.0013</v>
      </c>
      <c r="O47" s="848">
        <f t="shared" si="215"/>
        <v>0.0075</v>
      </c>
      <c r="P47" s="848">
        <f t="shared" si="215"/>
        <v>-0.0008</v>
      </c>
      <c r="Q47" s="848">
        <f t="shared" si="215"/>
        <v>0.0053</v>
      </c>
      <c r="R47" s="868"/>
      <c r="S47" s="839"/>
      <c r="T47" s="840"/>
      <c r="U47" s="840"/>
      <c r="V47" s="840"/>
    </row>
    <row r="48" spans="1:22">
      <c r="A48" s="802" t="s">
        <v>2107</v>
      </c>
      <c r="B48" s="803">
        <f t="shared" si="225"/>
        <v>275.193350848306</v>
      </c>
      <c r="C48" s="803">
        <f t="shared" si="225"/>
        <v>230.180880501397</v>
      </c>
      <c r="D48" s="803">
        <f t="shared" si="213"/>
        <v>230.180880501397</v>
      </c>
      <c r="E48" s="803">
        <f t="shared" si="226"/>
        <v>377.584829252123</v>
      </c>
      <c r="F48" s="803">
        <f t="shared" si="226"/>
        <v>210.906879978479</v>
      </c>
      <c r="G48" s="800">
        <v>2011</v>
      </c>
      <c r="H48" s="808">
        <v>2</v>
      </c>
      <c r="I48" s="808">
        <v>-0.4</v>
      </c>
      <c r="J48" s="808">
        <v>0.17</v>
      </c>
      <c r="K48" s="808">
        <v>-0.58</v>
      </c>
      <c r="L48" s="843">
        <v>-0.2</v>
      </c>
      <c r="N48" s="839">
        <f t="shared" si="215"/>
        <v>-0.004</v>
      </c>
      <c r="O48" s="848">
        <f t="shared" si="215"/>
        <v>0.0017</v>
      </c>
      <c r="P48" s="848">
        <f t="shared" si="215"/>
        <v>-0.0058</v>
      </c>
      <c r="Q48" s="848">
        <f t="shared" si="215"/>
        <v>-0.002</v>
      </c>
      <c r="R48" s="868"/>
      <c r="S48" s="839"/>
      <c r="T48" s="840"/>
      <c r="U48" s="840"/>
      <c r="V48" s="840"/>
    </row>
    <row r="49" ht="13.95" spans="1:26">
      <c r="A49" s="802" t="s">
        <v>2108</v>
      </c>
      <c r="B49" s="803">
        <f t="shared" si="225"/>
        <v>276.29854502842</v>
      </c>
      <c r="C49" s="803">
        <f t="shared" si="225"/>
        <v>229.79023709833</v>
      </c>
      <c r="D49" s="803">
        <f t="shared" si="213"/>
        <v>229.79023709833</v>
      </c>
      <c r="E49" s="803">
        <f t="shared" si="226"/>
        <v>379.787597316559</v>
      </c>
      <c r="F49" s="803">
        <f t="shared" si="226"/>
        <v>211.329539056592</v>
      </c>
      <c r="G49" s="813">
        <v>2011</v>
      </c>
      <c r="H49" s="804">
        <v>1</v>
      </c>
      <c r="I49" s="804">
        <v>2.65</v>
      </c>
      <c r="J49" s="804">
        <v>3.76</v>
      </c>
      <c r="K49" s="804">
        <v>1.89</v>
      </c>
      <c r="L49" s="841">
        <v>7.95</v>
      </c>
      <c r="N49" s="849">
        <f t="shared" si="215"/>
        <v>0.0265</v>
      </c>
      <c r="O49" s="850">
        <f t="shared" si="215"/>
        <v>0.0376</v>
      </c>
      <c r="P49" s="850">
        <f t="shared" si="215"/>
        <v>0.0189</v>
      </c>
      <c r="Q49" s="850">
        <f t="shared" si="215"/>
        <v>0.0795</v>
      </c>
      <c r="R49" s="868"/>
      <c r="S49" s="849">
        <f>B49/B50-1</f>
        <v>0.0271321376521179</v>
      </c>
      <c r="T49" s="850">
        <f>C49/C50-1</f>
        <v>0.0397748284992319</v>
      </c>
      <c r="U49" s="850">
        <f>E49/E50-1</f>
        <v>0.0181973118406418</v>
      </c>
      <c r="V49" s="850">
        <f>F49/F50-1</f>
        <v>0.0782119339622058</v>
      </c>
      <c r="X49" s="840"/>
      <c r="Y49" s="840"/>
      <c r="Z49" s="840"/>
    </row>
    <row r="50" ht="13.95" spans="1:26">
      <c r="A50" s="802" t="s">
        <v>2109</v>
      </c>
      <c r="B50" s="810">
        <v>269</v>
      </c>
      <c r="C50" s="810">
        <v>221</v>
      </c>
      <c r="D50" s="810">
        <f t="shared" si="213"/>
        <v>221</v>
      </c>
      <c r="E50" s="810">
        <v>373</v>
      </c>
      <c r="F50" s="811">
        <v>196</v>
      </c>
      <c r="G50" s="814">
        <v>2010</v>
      </c>
      <c r="H50" s="815">
        <v>4</v>
      </c>
      <c r="I50" s="815">
        <v>5.72</v>
      </c>
      <c r="J50" s="815">
        <v>6.57</v>
      </c>
      <c r="K50" s="815">
        <v>5.72</v>
      </c>
      <c r="L50" s="844">
        <v>2.72</v>
      </c>
      <c r="N50" s="839">
        <f t="shared" si="215"/>
        <v>0.0572</v>
      </c>
      <c r="O50" s="840">
        <f t="shared" si="215"/>
        <v>0.0657</v>
      </c>
      <c r="P50" s="840">
        <f t="shared" si="215"/>
        <v>0.0572</v>
      </c>
      <c r="Q50" s="840">
        <f t="shared" si="215"/>
        <v>0.0272</v>
      </c>
      <c r="R50" s="868"/>
      <c r="S50" s="870"/>
      <c r="T50" s="871"/>
      <c r="U50" s="871"/>
      <c r="V50" s="871"/>
      <c r="X50" s="871"/>
      <c r="Y50" s="871"/>
      <c r="Z50" s="871"/>
    </row>
    <row r="51" spans="1:22">
      <c r="A51" s="802" t="s">
        <v>2110</v>
      </c>
      <c r="B51" s="803">
        <f t="shared" ref="B51:C53" si="227">B50/(1+N50)</f>
        <v>254.445705637533</v>
      </c>
      <c r="C51" s="803">
        <f t="shared" si="227"/>
        <v>207.375433987051</v>
      </c>
      <c r="D51" s="803">
        <f t="shared" si="213"/>
        <v>207.375433987051</v>
      </c>
      <c r="E51" s="803">
        <f t="shared" ref="E51:F53" si="228">E50/(1+P50)</f>
        <v>352.818766553159</v>
      </c>
      <c r="F51" s="803">
        <f t="shared" si="228"/>
        <v>190.809968847352</v>
      </c>
      <c r="G51" s="800">
        <v>2010</v>
      </c>
      <c r="H51" s="816">
        <v>3</v>
      </c>
      <c r="I51" s="816">
        <v>4.73</v>
      </c>
      <c r="J51" s="816">
        <v>3.9</v>
      </c>
      <c r="K51" s="816">
        <v>5.03</v>
      </c>
      <c r="L51" s="847">
        <v>4.21</v>
      </c>
      <c r="N51" s="839">
        <f t="shared" si="215"/>
        <v>0.0473</v>
      </c>
      <c r="O51" s="840">
        <f t="shared" si="215"/>
        <v>0.039</v>
      </c>
      <c r="P51" s="840">
        <f t="shared" si="215"/>
        <v>0.0503</v>
      </c>
      <c r="Q51" s="840">
        <f t="shared" si="215"/>
        <v>0.0421</v>
      </c>
      <c r="R51" s="868"/>
      <c r="S51" s="839"/>
      <c r="T51" s="840"/>
      <c r="U51" s="840"/>
      <c r="V51" s="840"/>
    </row>
    <row r="52" spans="1:22">
      <c r="A52" s="802" t="s">
        <v>2111</v>
      </c>
      <c r="B52" s="803">
        <f t="shared" si="227"/>
        <v>242.953982275884</v>
      </c>
      <c r="C52" s="803">
        <f t="shared" si="227"/>
        <v>199.591370536141</v>
      </c>
      <c r="D52" s="803">
        <f t="shared" si="213"/>
        <v>199.591370536141</v>
      </c>
      <c r="E52" s="803">
        <f t="shared" si="228"/>
        <v>335.921895223421</v>
      </c>
      <c r="F52" s="803">
        <f t="shared" si="228"/>
        <v>183.101399911095</v>
      </c>
      <c r="G52" s="800">
        <v>2010</v>
      </c>
      <c r="H52" s="808">
        <v>2</v>
      </c>
      <c r="I52" s="808">
        <v>4.69</v>
      </c>
      <c r="J52" s="808">
        <v>3.55</v>
      </c>
      <c r="K52" s="808">
        <v>5.07</v>
      </c>
      <c r="L52" s="843">
        <v>4.23</v>
      </c>
      <c r="N52" s="839">
        <f t="shared" si="215"/>
        <v>0.0469</v>
      </c>
      <c r="O52" s="840">
        <f t="shared" si="215"/>
        <v>0.0355</v>
      </c>
      <c r="P52" s="840">
        <f t="shared" si="215"/>
        <v>0.0507</v>
      </c>
      <c r="Q52" s="840">
        <f t="shared" si="215"/>
        <v>0.0423</v>
      </c>
      <c r="R52" s="868"/>
      <c r="S52" s="839"/>
      <c r="T52" s="840"/>
      <c r="U52" s="840"/>
      <c r="V52" s="840"/>
    </row>
    <row r="53" ht="13.95" spans="1:26">
      <c r="A53" s="802" t="s">
        <v>2112</v>
      </c>
      <c r="B53" s="803">
        <f t="shared" si="227"/>
        <v>232.069903788216</v>
      </c>
      <c r="C53" s="803">
        <f t="shared" si="227"/>
        <v>192.748788542869</v>
      </c>
      <c r="D53" s="803">
        <f t="shared" si="213"/>
        <v>192.748788542869</v>
      </c>
      <c r="E53" s="803">
        <f t="shared" si="228"/>
        <v>319.71247284993</v>
      </c>
      <c r="F53" s="803">
        <f t="shared" si="228"/>
        <v>175.670536228624</v>
      </c>
      <c r="G53" s="813">
        <v>2010</v>
      </c>
      <c r="H53" s="804">
        <v>1</v>
      </c>
      <c r="I53" s="804">
        <v>5.4</v>
      </c>
      <c r="J53" s="804">
        <v>3.2</v>
      </c>
      <c r="K53" s="804">
        <v>6.16</v>
      </c>
      <c r="L53" s="841">
        <v>4.51</v>
      </c>
      <c r="N53" s="839">
        <f t="shared" si="215"/>
        <v>0.054</v>
      </c>
      <c r="O53" s="840">
        <f t="shared" si="215"/>
        <v>0.032</v>
      </c>
      <c r="P53" s="840">
        <f t="shared" si="215"/>
        <v>0.0616</v>
      </c>
      <c r="Q53" s="840">
        <f t="shared" si="215"/>
        <v>0.0451</v>
      </c>
      <c r="R53" s="868"/>
      <c r="S53" s="849">
        <f>B53/B54-1</f>
        <v>0.0548631990373476</v>
      </c>
      <c r="T53" s="850">
        <f>C53/C54-1</f>
        <v>0.0307421847212266</v>
      </c>
      <c r="U53" s="850">
        <f>E53/E54-1</f>
        <v>0.0621676838868102</v>
      </c>
      <c r="V53" s="850">
        <f>F53/F54-1</f>
        <v>0.04565795374181</v>
      </c>
      <c r="X53" s="840"/>
      <c r="Y53" s="840"/>
      <c r="Z53" s="840"/>
    </row>
    <row r="54" ht="13.95" spans="1:26">
      <c r="A54" s="802" t="s">
        <v>2113</v>
      </c>
      <c r="B54" s="810">
        <v>220</v>
      </c>
      <c r="C54" s="810">
        <v>187</v>
      </c>
      <c r="D54" s="810">
        <f t="shared" si="213"/>
        <v>187</v>
      </c>
      <c r="E54" s="810">
        <v>301</v>
      </c>
      <c r="F54" s="811">
        <v>168</v>
      </c>
      <c r="G54" s="814">
        <v>2009</v>
      </c>
      <c r="H54" s="815">
        <v>4</v>
      </c>
      <c r="I54" s="815">
        <v>2.3</v>
      </c>
      <c r="J54" s="815">
        <v>1.04</v>
      </c>
      <c r="K54" s="815">
        <v>2.84</v>
      </c>
      <c r="L54" s="844">
        <v>0.67</v>
      </c>
      <c r="N54" s="845">
        <f t="shared" si="215"/>
        <v>0.023</v>
      </c>
      <c r="O54" s="846">
        <f t="shared" si="215"/>
        <v>0.0104</v>
      </c>
      <c r="P54" s="846">
        <f t="shared" si="215"/>
        <v>0.0284</v>
      </c>
      <c r="Q54" s="846">
        <f t="shared" si="215"/>
        <v>0.0067</v>
      </c>
      <c r="R54" s="868"/>
      <c r="S54" s="870"/>
      <c r="T54" s="871"/>
      <c r="U54" s="871"/>
      <c r="V54" s="871"/>
      <c r="X54" s="871"/>
      <c r="Y54" s="871"/>
      <c r="Z54" s="871"/>
    </row>
    <row r="55" spans="1:22">
      <c r="A55" s="802" t="s">
        <v>2114</v>
      </c>
      <c r="B55" s="803">
        <f t="shared" ref="B55:C57" si="229">B54/(1+N54)</f>
        <v>215.05376344086</v>
      </c>
      <c r="C55" s="803">
        <f t="shared" si="229"/>
        <v>185.07521773555</v>
      </c>
      <c r="D55" s="803">
        <f t="shared" si="213"/>
        <v>185.07521773555</v>
      </c>
      <c r="E55" s="803">
        <f t="shared" ref="E55:F57" si="230">E54/(1+P54)</f>
        <v>292.68767016725</v>
      </c>
      <c r="F55" s="803">
        <f t="shared" si="230"/>
        <v>166.881891328102</v>
      </c>
      <c r="G55" s="800">
        <v>2009</v>
      </c>
      <c r="H55" s="816">
        <v>3</v>
      </c>
      <c r="I55" s="816">
        <v>2.1</v>
      </c>
      <c r="J55" s="816">
        <v>1.86</v>
      </c>
      <c r="K55" s="816">
        <v>2.29</v>
      </c>
      <c r="L55" s="847">
        <v>0.85</v>
      </c>
      <c r="N55" s="839">
        <f t="shared" si="215"/>
        <v>0.021</v>
      </c>
      <c r="O55" s="848">
        <f t="shared" si="215"/>
        <v>0.0186</v>
      </c>
      <c r="P55" s="848">
        <f t="shared" si="215"/>
        <v>0.0229</v>
      </c>
      <c r="Q55" s="848">
        <f t="shared" si="215"/>
        <v>0.0085</v>
      </c>
      <c r="R55" s="868"/>
      <c r="S55" s="839"/>
      <c r="T55" s="840"/>
      <c r="U55" s="840"/>
      <c r="V55" s="840"/>
    </row>
    <row r="56" spans="1:22">
      <c r="A56" s="802" t="s">
        <v>2115</v>
      </c>
      <c r="B56" s="803">
        <f t="shared" si="229"/>
        <v>210.630522469011</v>
      </c>
      <c r="C56" s="803">
        <f t="shared" si="229"/>
        <v>181.695678122472</v>
      </c>
      <c r="D56" s="803">
        <f t="shared" si="213"/>
        <v>181.695678122472</v>
      </c>
      <c r="E56" s="803">
        <f t="shared" si="230"/>
        <v>286.135174667367</v>
      </c>
      <c r="F56" s="803">
        <f t="shared" si="230"/>
        <v>165.475350845911</v>
      </c>
      <c r="G56" s="800">
        <v>2009</v>
      </c>
      <c r="H56" s="808">
        <v>2</v>
      </c>
      <c r="I56" s="808">
        <v>0.86</v>
      </c>
      <c r="J56" s="808">
        <v>-1.13</v>
      </c>
      <c r="K56" s="808">
        <v>1.79</v>
      </c>
      <c r="L56" s="843">
        <v>-2.07</v>
      </c>
      <c r="N56" s="839">
        <f t="shared" si="215"/>
        <v>0.0086</v>
      </c>
      <c r="O56" s="848">
        <f t="shared" si="215"/>
        <v>-0.0113</v>
      </c>
      <c r="P56" s="848">
        <f t="shared" si="215"/>
        <v>0.0179</v>
      </c>
      <c r="Q56" s="848">
        <f t="shared" si="215"/>
        <v>-0.0207</v>
      </c>
      <c r="R56" s="868"/>
      <c r="S56" s="839"/>
      <c r="T56" s="840"/>
      <c r="U56" s="840"/>
      <c r="V56" s="840"/>
    </row>
    <row r="57" spans="1:26">
      <c r="A57" s="802" t="s">
        <v>2116</v>
      </c>
      <c r="B57" s="803">
        <f t="shared" si="229"/>
        <v>208.834545378754</v>
      </c>
      <c r="C57" s="803">
        <f t="shared" si="229"/>
        <v>183.772305170904</v>
      </c>
      <c r="D57" s="803">
        <f t="shared" si="213"/>
        <v>183.772305170904</v>
      </c>
      <c r="E57" s="803">
        <f t="shared" si="230"/>
        <v>281.103423388709</v>
      </c>
      <c r="F57" s="803">
        <f t="shared" si="230"/>
        <v>168.973093889423</v>
      </c>
      <c r="G57" s="813">
        <v>2009</v>
      </c>
      <c r="H57" s="804">
        <v>1</v>
      </c>
      <c r="I57" s="804">
        <v>-2.64</v>
      </c>
      <c r="J57" s="804">
        <v>-2.53</v>
      </c>
      <c r="K57" s="804">
        <v>-3.02</v>
      </c>
      <c r="L57" s="841">
        <v>1.52</v>
      </c>
      <c r="N57" s="849">
        <f t="shared" si="215"/>
        <v>-0.0264</v>
      </c>
      <c r="O57" s="850">
        <f t="shared" si="215"/>
        <v>-0.0253</v>
      </c>
      <c r="P57" s="850">
        <f t="shared" si="215"/>
        <v>-0.0302</v>
      </c>
      <c r="Q57" s="850">
        <f t="shared" si="215"/>
        <v>0.0152</v>
      </c>
      <c r="R57" s="868"/>
      <c r="S57" s="849">
        <f>B57/B58-1</f>
        <v>-0.0241376384170388</v>
      </c>
      <c r="T57" s="850">
        <f>C57/C58-1</f>
        <v>-0.022487738452641</v>
      </c>
      <c r="U57" s="850">
        <f>E57/E58-1</f>
        <v>-0.0273237945027354</v>
      </c>
      <c r="V57" s="850">
        <f>F57/F58-1</f>
        <v>0.017910204153148</v>
      </c>
      <c r="X57" s="840"/>
      <c r="Y57" s="840"/>
      <c r="Z57" s="840"/>
    </row>
    <row r="58" ht="13.95" spans="1:26">
      <c r="A58" s="802" t="s">
        <v>2117</v>
      </c>
      <c r="B58" s="827">
        <v>214</v>
      </c>
      <c r="C58" s="827">
        <v>188</v>
      </c>
      <c r="D58" s="827">
        <f t="shared" si="213"/>
        <v>188</v>
      </c>
      <c r="E58" s="827">
        <v>289</v>
      </c>
      <c r="F58" s="828">
        <v>166</v>
      </c>
      <c r="G58" s="814">
        <v>2008</v>
      </c>
      <c r="H58" s="815">
        <v>4</v>
      </c>
      <c r="I58" s="815">
        <v>1.73</v>
      </c>
      <c r="J58" s="815">
        <v>0.03</v>
      </c>
      <c r="K58" s="815">
        <v>2.59</v>
      </c>
      <c r="L58" s="844">
        <v>-1.66</v>
      </c>
      <c r="N58" s="839">
        <f t="shared" si="215"/>
        <v>0.0173</v>
      </c>
      <c r="O58" s="840">
        <f t="shared" si="215"/>
        <v>0.0003</v>
      </c>
      <c r="P58" s="840">
        <f t="shared" si="215"/>
        <v>0.0259</v>
      </c>
      <c r="Q58" s="840">
        <f t="shared" si="215"/>
        <v>-0.0166</v>
      </c>
      <c r="R58" s="868"/>
      <c r="S58" s="870"/>
      <c r="T58" s="871"/>
      <c r="U58" s="871"/>
      <c r="V58" s="871"/>
      <c r="X58" s="871"/>
      <c r="Y58" s="871"/>
      <c r="Z58" s="871"/>
    </row>
    <row r="59" spans="1:22">
      <c r="A59" s="802" t="s">
        <v>2118</v>
      </c>
      <c r="B59" s="803">
        <f t="shared" ref="B59:C61" si="231">B58/(1+N58)</f>
        <v>210.360758871523</v>
      </c>
      <c r="C59" s="803">
        <f t="shared" si="231"/>
        <v>187.943616914926</v>
      </c>
      <c r="D59" s="803">
        <f t="shared" si="213"/>
        <v>187.943616914926</v>
      </c>
      <c r="E59" s="803">
        <f t="shared" ref="E59:F61" si="232">E58/(1+P58)</f>
        <v>281.703869772882</v>
      </c>
      <c r="F59" s="803">
        <f t="shared" si="232"/>
        <v>168.80211511084</v>
      </c>
      <c r="G59" s="800">
        <v>2008</v>
      </c>
      <c r="H59" s="816">
        <v>3</v>
      </c>
      <c r="I59" s="816">
        <v>1.96</v>
      </c>
      <c r="J59" s="816">
        <v>2.36</v>
      </c>
      <c r="K59" s="816">
        <v>1.82</v>
      </c>
      <c r="L59" s="847">
        <v>2.22</v>
      </c>
      <c r="N59" s="839">
        <f t="shared" si="215"/>
        <v>0.0196</v>
      </c>
      <c r="O59" s="840">
        <f t="shared" si="215"/>
        <v>0.0236</v>
      </c>
      <c r="P59" s="840">
        <f t="shared" si="215"/>
        <v>0.0182</v>
      </c>
      <c r="Q59" s="840">
        <f t="shared" si="215"/>
        <v>0.0222</v>
      </c>
      <c r="R59" s="868"/>
      <c r="S59" s="839"/>
      <c r="T59" s="840"/>
      <c r="U59" s="840"/>
      <c r="V59" s="840"/>
    </row>
    <row r="60" spans="1:22">
      <c r="A60" s="802" t="s">
        <v>2119</v>
      </c>
      <c r="B60" s="803">
        <f t="shared" si="231"/>
        <v>206.316946715891</v>
      </c>
      <c r="C60" s="803">
        <f t="shared" si="231"/>
        <v>183.610411210361</v>
      </c>
      <c r="D60" s="803">
        <f t="shared" si="213"/>
        <v>183.610411210361</v>
      </c>
      <c r="E60" s="803">
        <f t="shared" si="232"/>
        <v>276.668503017956</v>
      </c>
      <c r="F60" s="803">
        <f t="shared" si="232"/>
        <v>165.136093827861</v>
      </c>
      <c r="G60" s="800">
        <v>2008</v>
      </c>
      <c r="H60" s="808">
        <v>2</v>
      </c>
      <c r="I60" s="808">
        <v>4.93</v>
      </c>
      <c r="J60" s="808">
        <v>7.38</v>
      </c>
      <c r="K60" s="808">
        <v>3.98</v>
      </c>
      <c r="L60" s="843">
        <v>6.86</v>
      </c>
      <c r="N60" s="839">
        <f t="shared" si="215"/>
        <v>0.0493</v>
      </c>
      <c r="O60" s="840">
        <f t="shared" si="215"/>
        <v>0.0738</v>
      </c>
      <c r="P60" s="840">
        <f t="shared" si="215"/>
        <v>0.0398</v>
      </c>
      <c r="Q60" s="840">
        <f t="shared" si="215"/>
        <v>0.0686</v>
      </c>
      <c r="R60" s="868"/>
      <c r="S60" s="839"/>
      <c r="T60" s="840"/>
      <c r="U60" s="840"/>
      <c r="V60" s="840"/>
    </row>
    <row r="61" s="781" customFormat="1" ht="13.95" spans="1:26">
      <c r="A61" s="802" t="s">
        <v>2120</v>
      </c>
      <c r="B61" s="830">
        <f t="shared" si="231"/>
        <v>196.623412480598</v>
      </c>
      <c r="C61" s="830">
        <f t="shared" si="231"/>
        <v>170.99125648199</v>
      </c>
      <c r="D61" s="830">
        <f t="shared" si="213"/>
        <v>170.99125648199</v>
      </c>
      <c r="E61" s="830">
        <f t="shared" si="232"/>
        <v>266.078575704901</v>
      </c>
      <c r="F61" s="830">
        <f t="shared" si="232"/>
        <v>154.534993288285</v>
      </c>
      <c r="G61" s="813">
        <v>2008</v>
      </c>
      <c r="H61" s="831">
        <v>1</v>
      </c>
      <c r="I61" s="831">
        <v>4.14</v>
      </c>
      <c r="J61" s="831">
        <v>3.45</v>
      </c>
      <c r="K61" s="831">
        <v>4.95</v>
      </c>
      <c r="L61" s="856">
        <v>4.82</v>
      </c>
      <c r="N61" s="857">
        <f t="shared" si="215"/>
        <v>0.0414</v>
      </c>
      <c r="O61" s="858">
        <f t="shared" si="215"/>
        <v>0.0345</v>
      </c>
      <c r="P61" s="858">
        <f t="shared" si="215"/>
        <v>0.0495</v>
      </c>
      <c r="Q61" s="858">
        <f t="shared" si="215"/>
        <v>0.0482</v>
      </c>
      <c r="R61" s="879"/>
      <c r="S61" s="857">
        <f>B61/B62-1</f>
        <v>0.0458692153223283</v>
      </c>
      <c r="T61" s="858">
        <f>C61/C62-1</f>
        <v>0.0363106453453947</v>
      </c>
      <c r="U61" s="858">
        <f>E61/E62-1</f>
        <v>0.0475534476570887</v>
      </c>
      <c r="V61" s="858">
        <f>F61/F62-1</f>
        <v>0.0441553600559801</v>
      </c>
      <c r="X61" s="858"/>
      <c r="Y61" s="858"/>
      <c r="Z61" s="858"/>
    </row>
    <row r="62" ht="13.95" spans="1:26">
      <c r="A62" s="802" t="s">
        <v>2121</v>
      </c>
      <c r="B62" s="810">
        <v>188</v>
      </c>
      <c r="C62" s="810">
        <v>165</v>
      </c>
      <c r="D62" s="810">
        <f t="shared" si="213"/>
        <v>165</v>
      </c>
      <c r="E62" s="810">
        <v>254</v>
      </c>
      <c r="F62" s="811">
        <v>148</v>
      </c>
      <c r="G62" s="814">
        <v>2007</v>
      </c>
      <c r="H62" s="832">
        <v>4</v>
      </c>
      <c r="I62" s="832">
        <v>5.51</v>
      </c>
      <c r="J62" s="832">
        <v>4.89</v>
      </c>
      <c r="K62" s="832">
        <v>6.43</v>
      </c>
      <c r="L62" s="859">
        <v>5.36</v>
      </c>
      <c r="N62" s="860">
        <f t="shared" ref="N62:O65" si="233">B62/B63-1</f>
        <v>0.0413397183652455</v>
      </c>
      <c r="O62" s="861">
        <f t="shared" si="233"/>
        <v>0.040324492593776</v>
      </c>
      <c r="P62" s="861">
        <f t="shared" ref="P62:Q65" si="234">E62/E63-1</f>
        <v>0.061625555347991</v>
      </c>
      <c r="Q62" s="861">
        <f t="shared" si="234"/>
        <v>0.0467575692505906</v>
      </c>
      <c r="R62" s="868"/>
      <c r="S62" s="870"/>
      <c r="T62" s="871"/>
      <c r="U62" s="871"/>
      <c r="V62" s="871"/>
      <c r="X62" s="871"/>
      <c r="Y62" s="871"/>
      <c r="Z62" s="871"/>
    </row>
    <row r="63" spans="1:26">
      <c r="A63" s="802" t="s">
        <v>2122</v>
      </c>
      <c r="B63" s="803">
        <f t="shared" ref="B63:C65" si="235">B64+(B$62-B$66)*I63/SUM(I$62:I$65)</f>
        <v>180.536665109762</v>
      </c>
      <c r="C63" s="803">
        <f t="shared" si="235"/>
        <v>158.604359673025</v>
      </c>
      <c r="D63" s="803">
        <f t="shared" si="213"/>
        <v>158.604359673025</v>
      </c>
      <c r="E63" s="803">
        <f t="shared" ref="E63:F65" si="236">E64+(E$62-E$66)*K63/SUM(K$62:K$65)</f>
        <v>239.255732607851</v>
      </c>
      <c r="F63" s="803">
        <f t="shared" si="236"/>
        <v>141.3889943074</v>
      </c>
      <c r="G63" s="800">
        <v>2007</v>
      </c>
      <c r="H63" s="816">
        <v>3</v>
      </c>
      <c r="I63" s="816">
        <v>8.65</v>
      </c>
      <c r="J63" s="816">
        <v>8.06</v>
      </c>
      <c r="K63" s="816">
        <v>9.94</v>
      </c>
      <c r="L63" s="847">
        <v>5.8</v>
      </c>
      <c r="N63" s="860">
        <f t="shared" si="233"/>
        <v>0.0694021757174001</v>
      </c>
      <c r="O63" s="861">
        <f t="shared" si="233"/>
        <v>0.0711974824711534</v>
      </c>
      <c r="P63" s="861">
        <f t="shared" si="234"/>
        <v>0.105296799225796</v>
      </c>
      <c r="Q63" s="861">
        <f t="shared" si="234"/>
        <v>0.0532922450595121</v>
      </c>
      <c r="R63" s="868"/>
      <c r="S63" s="839"/>
      <c r="T63" s="840"/>
      <c r="U63" s="840"/>
      <c r="V63" s="840"/>
      <c r="X63" s="880"/>
      <c r="Y63" s="880"/>
      <c r="Z63" s="880"/>
    </row>
    <row r="64" spans="1:26">
      <c r="A64" s="802" t="s">
        <v>2123</v>
      </c>
      <c r="B64" s="803">
        <f t="shared" si="235"/>
        <v>168.820177487156</v>
      </c>
      <c r="C64" s="803">
        <f t="shared" si="235"/>
        <v>148.062670299728</v>
      </c>
      <c r="D64" s="803">
        <f t="shared" si="213"/>
        <v>148.062670299728</v>
      </c>
      <c r="E64" s="803">
        <f t="shared" si="236"/>
        <v>216.462883793237</v>
      </c>
      <c r="F64" s="803">
        <f t="shared" si="236"/>
        <v>134.235294117647</v>
      </c>
      <c r="G64" s="800">
        <v>2007</v>
      </c>
      <c r="H64" s="808">
        <v>2</v>
      </c>
      <c r="I64" s="808">
        <v>3.67</v>
      </c>
      <c r="J64" s="808">
        <v>2.32</v>
      </c>
      <c r="K64" s="808">
        <v>5.02</v>
      </c>
      <c r="L64" s="843">
        <v>6.71</v>
      </c>
      <c r="N64" s="860">
        <f t="shared" si="233"/>
        <v>0.030339138143848</v>
      </c>
      <c r="O64" s="861">
        <f t="shared" si="233"/>
        <v>0.0209223415887905</v>
      </c>
      <c r="P64" s="861">
        <f t="shared" si="234"/>
        <v>0.056164796592717</v>
      </c>
      <c r="Q64" s="861">
        <f t="shared" si="234"/>
        <v>0.0657045367238873</v>
      </c>
      <c r="R64" s="868"/>
      <c r="S64" s="839"/>
      <c r="T64" s="840"/>
      <c r="U64" s="840"/>
      <c r="V64" s="840"/>
      <c r="X64" s="880"/>
      <c r="Y64" s="880"/>
      <c r="Z64" s="880"/>
    </row>
    <row r="65" spans="1:26">
      <c r="A65" s="802" t="s">
        <v>2124</v>
      </c>
      <c r="B65" s="803">
        <f t="shared" si="235"/>
        <v>163.849135917795</v>
      </c>
      <c r="C65" s="803">
        <f t="shared" si="235"/>
        <v>145.028337874659</v>
      </c>
      <c r="D65" s="803">
        <f t="shared" si="213"/>
        <v>145.028337874659</v>
      </c>
      <c r="E65" s="803">
        <f t="shared" si="236"/>
        <v>204.951807228916</v>
      </c>
      <c r="F65" s="803">
        <f t="shared" si="236"/>
        <v>125.959203036053</v>
      </c>
      <c r="G65" s="813">
        <v>2007</v>
      </c>
      <c r="H65" s="804">
        <v>1</v>
      </c>
      <c r="I65" s="804">
        <v>3.58</v>
      </c>
      <c r="J65" s="804">
        <v>3.08</v>
      </c>
      <c r="K65" s="804">
        <v>4.34</v>
      </c>
      <c r="L65" s="841">
        <v>3.21</v>
      </c>
      <c r="N65" s="897">
        <f t="shared" si="233"/>
        <v>0.0304977101748141</v>
      </c>
      <c r="O65" s="898">
        <f t="shared" si="233"/>
        <v>0.028569772160705</v>
      </c>
      <c r="P65" s="898">
        <f t="shared" si="234"/>
        <v>0.0510349088662343</v>
      </c>
      <c r="Q65" s="898">
        <f t="shared" si="234"/>
        <v>0.0324524839020748</v>
      </c>
      <c r="R65" s="868"/>
      <c r="S65" s="849">
        <f>B65/B66-1</f>
        <v>0.0304977101748141</v>
      </c>
      <c r="T65" s="850">
        <f>C65/C66-1</f>
        <v>0.028569772160705</v>
      </c>
      <c r="U65" s="850">
        <f>E65/E66-1</f>
        <v>0.0510349088662343</v>
      </c>
      <c r="V65" s="850">
        <f>F65/F66-1</f>
        <v>0.0324524839020748</v>
      </c>
      <c r="X65" s="880"/>
      <c r="Y65" s="880"/>
      <c r="Z65" s="880"/>
    </row>
    <row r="66" ht="13.95" spans="1:26">
      <c r="A66" s="802" t="s">
        <v>2125</v>
      </c>
      <c r="B66" s="817">
        <v>159</v>
      </c>
      <c r="C66" s="817">
        <v>141</v>
      </c>
      <c r="D66" s="817">
        <f t="shared" si="213"/>
        <v>141</v>
      </c>
      <c r="E66" s="817">
        <v>195</v>
      </c>
      <c r="F66" s="818">
        <v>122</v>
      </c>
      <c r="G66" s="814">
        <v>2006</v>
      </c>
      <c r="H66" s="815">
        <v>4</v>
      </c>
      <c r="I66" s="815">
        <v>3.79</v>
      </c>
      <c r="J66" s="815">
        <v>2.21</v>
      </c>
      <c r="K66" s="815">
        <v>5.65</v>
      </c>
      <c r="L66" s="844">
        <v>5.41</v>
      </c>
      <c r="N66" s="860">
        <f t="shared" ref="N66:O69" si="237">I66/SUM(I$66:I$69)*(B$66/B$70-1)</f>
        <v>0.0724546646274853</v>
      </c>
      <c r="O66" s="861">
        <f t="shared" si="237"/>
        <v>0.0232372300380628</v>
      </c>
      <c r="P66" s="861">
        <f t="shared" ref="P66:Q69" si="238">K66/SUM(K$66:K$69)*(E$66/E$70-1)</f>
        <v>0.161468938663237</v>
      </c>
      <c r="Q66" s="861">
        <f t="shared" si="238"/>
        <v>0.0507552303217938</v>
      </c>
      <c r="R66" s="868"/>
      <c r="S66" s="870"/>
      <c r="T66" s="871"/>
      <c r="U66" s="871"/>
      <c r="V66" s="871"/>
      <c r="X66" s="880"/>
      <c r="Y66" s="880"/>
      <c r="Z66" s="880"/>
    </row>
    <row r="67" spans="1:26">
      <c r="A67" s="802" t="s">
        <v>2126</v>
      </c>
      <c r="B67" s="803">
        <f t="shared" ref="B67:C69" si="239">B68+(B$66-B$70)*I67/SUM(I$66:I$69)</f>
        <v>149.001256281407</v>
      </c>
      <c r="C67" s="803">
        <f t="shared" si="239"/>
        <v>137.955922865014</v>
      </c>
      <c r="D67" s="803">
        <f t="shared" si="213"/>
        <v>137.955922865014</v>
      </c>
      <c r="E67" s="803">
        <f t="shared" ref="E67:F69" si="240">E68+(E$66-E$70)*K67/SUM(K$66:K$69)</f>
        <v>169.972314507198</v>
      </c>
      <c r="F67" s="803">
        <f t="shared" si="240"/>
        <v>116.213903743316</v>
      </c>
      <c r="G67" s="800">
        <v>2006</v>
      </c>
      <c r="H67" s="816">
        <v>3</v>
      </c>
      <c r="I67" s="816">
        <v>0.92</v>
      </c>
      <c r="J67" s="816">
        <v>1.08</v>
      </c>
      <c r="K67" s="816">
        <v>0.73</v>
      </c>
      <c r="L67" s="847">
        <v>1.08</v>
      </c>
      <c r="N67" s="860">
        <f t="shared" si="237"/>
        <v>0.0175879396984925</v>
      </c>
      <c r="O67" s="861">
        <f t="shared" si="237"/>
        <v>0.0113557504258406</v>
      </c>
      <c r="P67" s="861">
        <f t="shared" si="238"/>
        <v>0.0208623584467545</v>
      </c>
      <c r="Q67" s="861">
        <f t="shared" si="238"/>
        <v>0.010132282578103</v>
      </c>
      <c r="R67" s="868"/>
      <c r="S67" s="839"/>
      <c r="T67" s="840"/>
      <c r="U67" s="840"/>
      <c r="V67" s="840"/>
      <c r="X67" s="880"/>
      <c r="Y67" s="880"/>
      <c r="Z67" s="880"/>
    </row>
    <row r="68" spans="1:26">
      <c r="A68" s="802" t="s">
        <v>2127</v>
      </c>
      <c r="B68" s="803">
        <f t="shared" si="239"/>
        <v>146.574120603015</v>
      </c>
      <c r="C68" s="803">
        <f t="shared" si="239"/>
        <v>136.468319559229</v>
      </c>
      <c r="D68" s="803">
        <f t="shared" si="213"/>
        <v>136.468319559229</v>
      </c>
      <c r="E68" s="803">
        <f t="shared" si="240"/>
        <v>166.738648947951</v>
      </c>
      <c r="F68" s="803">
        <f t="shared" si="240"/>
        <v>115.058823529412</v>
      </c>
      <c r="G68" s="800">
        <v>2006</v>
      </c>
      <c r="H68" s="808">
        <v>2</v>
      </c>
      <c r="I68" s="808">
        <v>0.96</v>
      </c>
      <c r="J68" s="808">
        <v>0.25</v>
      </c>
      <c r="K68" s="808">
        <v>1.9</v>
      </c>
      <c r="L68" s="843">
        <v>0.95</v>
      </c>
      <c r="N68" s="860">
        <f t="shared" si="237"/>
        <v>0.0183526327288617</v>
      </c>
      <c r="O68" s="861">
        <f t="shared" si="237"/>
        <v>0.00262864593190755</v>
      </c>
      <c r="P68" s="861">
        <f t="shared" si="238"/>
        <v>0.0542992891079913</v>
      </c>
      <c r="Q68" s="861">
        <f t="shared" si="238"/>
        <v>0.0089126559714795</v>
      </c>
      <c r="R68" s="868"/>
      <c r="S68" s="839"/>
      <c r="T68" s="840"/>
      <c r="U68" s="840"/>
      <c r="V68" s="840"/>
      <c r="X68" s="880"/>
      <c r="Y68" s="880"/>
      <c r="Z68" s="880"/>
    </row>
    <row r="69" spans="1:26">
      <c r="A69" s="802" t="s">
        <v>2128</v>
      </c>
      <c r="B69" s="803">
        <f t="shared" si="239"/>
        <v>144.041457286432</v>
      </c>
      <c r="C69" s="803">
        <f t="shared" si="239"/>
        <v>136.123966942149</v>
      </c>
      <c r="D69" s="803">
        <f t="shared" si="213"/>
        <v>136.123966942149</v>
      </c>
      <c r="E69" s="803">
        <f t="shared" si="240"/>
        <v>158.322259136213</v>
      </c>
      <c r="F69" s="803">
        <f t="shared" si="240"/>
        <v>114.042780748663</v>
      </c>
      <c r="G69" s="813">
        <v>2006</v>
      </c>
      <c r="H69" s="804">
        <v>1</v>
      </c>
      <c r="I69" s="804">
        <v>2.29</v>
      </c>
      <c r="J69" s="804">
        <v>3.72</v>
      </c>
      <c r="K69" s="804">
        <v>0.75</v>
      </c>
      <c r="L69" s="841">
        <v>0.04</v>
      </c>
      <c r="N69" s="897">
        <f t="shared" si="237"/>
        <v>0.0437786759886388</v>
      </c>
      <c r="O69" s="898">
        <f t="shared" si="237"/>
        <v>0.0391142514667844</v>
      </c>
      <c r="P69" s="898">
        <f t="shared" si="238"/>
        <v>0.0214339299110492</v>
      </c>
      <c r="Q69" s="898">
        <f t="shared" si="238"/>
        <v>0.000375269725114926</v>
      </c>
      <c r="R69" s="868"/>
      <c r="S69" s="849">
        <f>B69/B70-1</f>
        <v>0.0437786759886387</v>
      </c>
      <c r="T69" s="850">
        <f>C69/C70-1</f>
        <v>0.0391142514667846</v>
      </c>
      <c r="U69" s="850">
        <f>E69/E70-1</f>
        <v>0.0214339299110493</v>
      </c>
      <c r="V69" s="850">
        <f>F69/F70-1</f>
        <v>0.000375269725114924</v>
      </c>
      <c r="X69" s="880"/>
      <c r="Y69" s="880"/>
      <c r="Z69" s="880"/>
    </row>
    <row r="70" ht="13.95" spans="1:26">
      <c r="A70" s="802" t="s">
        <v>2129</v>
      </c>
      <c r="B70" s="817">
        <v>138</v>
      </c>
      <c r="C70" s="817">
        <v>131</v>
      </c>
      <c r="D70" s="817">
        <f t="shared" si="213"/>
        <v>131</v>
      </c>
      <c r="E70" s="817">
        <v>155</v>
      </c>
      <c r="F70" s="818">
        <v>114</v>
      </c>
      <c r="G70" s="814">
        <v>2005</v>
      </c>
      <c r="H70" s="815">
        <v>4</v>
      </c>
      <c r="I70" s="815">
        <v>3.29</v>
      </c>
      <c r="J70" s="815">
        <v>1.44</v>
      </c>
      <c r="K70" s="815">
        <v>0.66</v>
      </c>
      <c r="L70" s="844">
        <v>7.78</v>
      </c>
      <c r="N70" s="860">
        <f t="shared" ref="N70:O73" si="241">I70/SUM(I$70:I$73)*(B$70/B$74-1)</f>
        <v>0.0994046032169199</v>
      </c>
      <c r="O70" s="861">
        <f t="shared" si="241"/>
        <v>0.0476365507608616</v>
      </c>
      <c r="P70" s="861">
        <f t="shared" ref="P70:Q73" si="242">K70/SUM(K$70:K$73)*(E$70/E$74-1)</f>
        <v>0.083756345177665</v>
      </c>
      <c r="Q70" s="861">
        <f t="shared" si="242"/>
        <v>0.0521487666615596</v>
      </c>
      <c r="R70" s="868"/>
      <c r="S70" s="870"/>
      <c r="T70" s="871"/>
      <c r="U70" s="871"/>
      <c r="V70" s="871"/>
      <c r="X70" s="880"/>
      <c r="Y70" s="880"/>
      <c r="Z70" s="880"/>
    </row>
    <row r="71" spans="1:26">
      <c r="A71" s="802" t="s">
        <v>2130</v>
      </c>
      <c r="B71" s="803">
        <f t="shared" ref="B71:C73" si="243">B72+(B$70-B$74)*I71/SUM(I$70:I$73)</f>
        <v>125.972043010753</v>
      </c>
      <c r="C71" s="803">
        <f t="shared" si="243"/>
        <v>125.188340807175</v>
      </c>
      <c r="D71" s="803">
        <f t="shared" si="213"/>
        <v>125.188340807175</v>
      </c>
      <c r="E71" s="803">
        <f t="shared" ref="E71:F73" si="244">E72+(E$70-E$74)*K71/SUM(K$70:K$73)</f>
        <v>144.61421319797</v>
      </c>
      <c r="F71" s="803">
        <f t="shared" si="244"/>
        <v>108.420081967213</v>
      </c>
      <c r="G71" s="800">
        <v>2005</v>
      </c>
      <c r="H71" s="816">
        <v>3</v>
      </c>
      <c r="I71" s="816">
        <v>0.46</v>
      </c>
      <c r="J71" s="816">
        <v>0.32</v>
      </c>
      <c r="K71" s="816">
        <v>0.42</v>
      </c>
      <c r="L71" s="847">
        <v>0.64</v>
      </c>
      <c r="N71" s="860">
        <f t="shared" si="241"/>
        <v>0.0138985159513019</v>
      </c>
      <c r="O71" s="861">
        <f t="shared" si="241"/>
        <v>0.0105859001690803</v>
      </c>
      <c r="P71" s="861">
        <f t="shared" si="242"/>
        <v>0.0532994923857868</v>
      </c>
      <c r="Q71" s="861">
        <f t="shared" si="242"/>
        <v>0.00428987283591236</v>
      </c>
      <c r="R71" s="868"/>
      <c r="S71" s="839"/>
      <c r="T71" s="840"/>
      <c r="U71" s="840"/>
      <c r="V71" s="840"/>
      <c r="X71" s="880"/>
      <c r="Y71" s="880"/>
      <c r="Z71" s="880"/>
    </row>
    <row r="72" spans="1:26">
      <c r="A72" s="802" t="s">
        <v>2131</v>
      </c>
      <c r="B72" s="803">
        <f t="shared" si="243"/>
        <v>124.290322580645</v>
      </c>
      <c r="C72" s="803">
        <f t="shared" si="243"/>
        <v>123.896860986547</v>
      </c>
      <c r="D72" s="803">
        <f t="shared" si="213"/>
        <v>123.896860986547</v>
      </c>
      <c r="E72" s="803">
        <f t="shared" si="244"/>
        <v>138.005076142132</v>
      </c>
      <c r="F72" s="803">
        <f t="shared" si="244"/>
        <v>107.96106557377</v>
      </c>
      <c r="G72" s="800">
        <v>2005</v>
      </c>
      <c r="H72" s="808">
        <v>2</v>
      </c>
      <c r="I72" s="808">
        <v>0.47</v>
      </c>
      <c r="J72" s="808">
        <v>0.1</v>
      </c>
      <c r="K72" s="808">
        <v>0.52</v>
      </c>
      <c r="L72" s="843">
        <v>0.79</v>
      </c>
      <c r="N72" s="860">
        <f t="shared" si="241"/>
        <v>0.0142006576024171</v>
      </c>
      <c r="O72" s="861">
        <f t="shared" si="241"/>
        <v>0.00330809380283761</v>
      </c>
      <c r="P72" s="861">
        <f t="shared" si="242"/>
        <v>0.065989847715736</v>
      </c>
      <c r="Q72" s="861">
        <f t="shared" si="242"/>
        <v>0.00529531178182932</v>
      </c>
      <c r="R72" s="868"/>
      <c r="S72" s="839"/>
      <c r="T72" s="840"/>
      <c r="U72" s="840"/>
      <c r="V72" s="840"/>
      <c r="X72" s="880"/>
      <c r="Y72" s="880"/>
      <c r="Z72" s="880"/>
    </row>
    <row r="73" spans="1:26">
      <c r="A73" s="802" t="s">
        <v>2132</v>
      </c>
      <c r="B73" s="803">
        <f t="shared" si="243"/>
        <v>122.572043010753</v>
      </c>
      <c r="C73" s="803">
        <f t="shared" si="243"/>
        <v>123.493273542601</v>
      </c>
      <c r="D73" s="803">
        <f t="shared" si="213"/>
        <v>123.493273542601</v>
      </c>
      <c r="E73" s="803">
        <f t="shared" si="244"/>
        <v>129.822335025381</v>
      </c>
      <c r="F73" s="803">
        <f t="shared" si="244"/>
        <v>107.394467213115</v>
      </c>
      <c r="G73" s="813">
        <v>2005</v>
      </c>
      <c r="H73" s="804">
        <v>1</v>
      </c>
      <c r="I73" s="804">
        <v>0.43</v>
      </c>
      <c r="J73" s="804">
        <v>0.37</v>
      </c>
      <c r="K73" s="804">
        <v>0.37</v>
      </c>
      <c r="L73" s="841">
        <v>0.55</v>
      </c>
      <c r="N73" s="897">
        <f t="shared" si="241"/>
        <v>0.0129920909979561</v>
      </c>
      <c r="O73" s="898">
        <f t="shared" si="241"/>
        <v>0.0122399470704992</v>
      </c>
      <c r="P73" s="898">
        <f t="shared" si="242"/>
        <v>0.0469543147208122</v>
      </c>
      <c r="Q73" s="898">
        <f t="shared" si="242"/>
        <v>0.00368660946836218</v>
      </c>
      <c r="R73" s="868"/>
      <c r="S73" s="849">
        <f>B73/B74-1</f>
        <v>0.0129920909979562</v>
      </c>
      <c r="T73" s="850">
        <f>C73/C74-1</f>
        <v>0.0122399470704992</v>
      </c>
      <c r="U73" s="850">
        <f>E73/E74-1</f>
        <v>0.0469543147208122</v>
      </c>
      <c r="V73" s="850">
        <f>F73/F74-1</f>
        <v>0.00368660946836208</v>
      </c>
      <c r="X73" s="880"/>
      <c r="Y73" s="880"/>
      <c r="Z73" s="880"/>
    </row>
    <row r="74" ht="13.95" spans="1:26">
      <c r="A74" s="802" t="s">
        <v>2133</v>
      </c>
      <c r="B74" s="827">
        <v>121</v>
      </c>
      <c r="C74" s="827">
        <v>122</v>
      </c>
      <c r="D74" s="827">
        <f t="shared" si="213"/>
        <v>122</v>
      </c>
      <c r="E74" s="827">
        <v>124</v>
      </c>
      <c r="F74" s="828">
        <v>107</v>
      </c>
      <c r="G74" s="814">
        <v>2004</v>
      </c>
      <c r="H74" s="815">
        <v>4</v>
      </c>
      <c r="I74" s="815">
        <v>0.33</v>
      </c>
      <c r="J74" s="815">
        <v>0.5</v>
      </c>
      <c r="K74" s="815">
        <v>0.5</v>
      </c>
      <c r="L74" s="844">
        <v>0</v>
      </c>
      <c r="N74" s="860">
        <f t="shared" ref="N74:O77" si="245">I74/SUM(I$74:I$77)*(B$74/B$78-1)</f>
        <v>0.0133917701485269</v>
      </c>
      <c r="O74" s="861">
        <f t="shared" si="245"/>
        <v>0.0106326422115896</v>
      </c>
      <c r="P74" s="861">
        <f t="shared" ref="P74:Q77" si="246">K74/SUM(K$74:K$77)*(E$74/E$78-1)</f>
        <v>0.0222444666889111</v>
      </c>
      <c r="Q74" s="861">
        <f t="shared" si="246"/>
        <v>0</v>
      </c>
      <c r="R74" s="868"/>
      <c r="S74" s="870"/>
      <c r="T74" s="871"/>
      <c r="U74" s="871"/>
      <c r="V74" s="871"/>
      <c r="X74" s="880"/>
      <c r="Y74" s="880"/>
      <c r="Z74" s="880"/>
    </row>
    <row r="75" spans="1:26">
      <c r="A75" s="802" t="s">
        <v>2134</v>
      </c>
      <c r="B75" s="803">
        <f t="shared" ref="B75:C77" si="247">B76+(B$74-B$78)*I75/SUM(I$74:I$77)</f>
        <v>119.513513513514</v>
      </c>
      <c r="C75" s="803">
        <f t="shared" si="247"/>
        <v>120.787878787879</v>
      </c>
      <c r="D75" s="803">
        <f t="shared" si="213"/>
        <v>120.787878787879</v>
      </c>
      <c r="E75" s="803">
        <f t="shared" ref="E75:F77" si="248">E76+(E$74-E$78)*K75/SUM(K$74:K$77)</f>
        <v>121.597597597598</v>
      </c>
      <c r="F75" s="803">
        <f t="shared" si="248"/>
        <v>107</v>
      </c>
      <c r="G75" s="800">
        <v>2004</v>
      </c>
      <c r="H75" s="816">
        <v>3</v>
      </c>
      <c r="I75" s="816">
        <v>0.56</v>
      </c>
      <c r="J75" s="816">
        <v>0.8</v>
      </c>
      <c r="K75" s="816">
        <v>0.83</v>
      </c>
      <c r="L75" s="847">
        <v>0.06</v>
      </c>
      <c r="N75" s="860">
        <f t="shared" si="245"/>
        <v>0.0227254281308335</v>
      </c>
      <c r="O75" s="861">
        <f t="shared" si="245"/>
        <v>0.0170122275385433</v>
      </c>
      <c r="P75" s="861">
        <f t="shared" si="246"/>
        <v>0.0369258147035925</v>
      </c>
      <c r="Q75" s="861">
        <f t="shared" si="246"/>
        <v>0.0288461538461537</v>
      </c>
      <c r="R75" s="868"/>
      <c r="S75" s="839"/>
      <c r="T75" s="840"/>
      <c r="U75" s="840"/>
      <c r="V75" s="840"/>
      <c r="X75" s="880"/>
      <c r="Y75" s="880"/>
      <c r="Z75" s="880"/>
    </row>
    <row r="76" spans="1:26">
      <c r="A76" s="802" t="s">
        <v>2135</v>
      </c>
      <c r="B76" s="803">
        <f t="shared" si="247"/>
        <v>116.990990990991</v>
      </c>
      <c r="C76" s="803">
        <f t="shared" si="247"/>
        <v>118.848484848485</v>
      </c>
      <c r="D76" s="803">
        <f t="shared" si="213"/>
        <v>118.848484848485</v>
      </c>
      <c r="E76" s="803">
        <f t="shared" si="248"/>
        <v>117.60960960961</v>
      </c>
      <c r="F76" s="803">
        <f t="shared" si="248"/>
        <v>104</v>
      </c>
      <c r="G76" s="800">
        <v>2004</v>
      </c>
      <c r="H76" s="808">
        <v>2</v>
      </c>
      <c r="I76" s="808">
        <v>1</v>
      </c>
      <c r="J76" s="808">
        <v>1.5</v>
      </c>
      <c r="K76" s="808">
        <v>1.5</v>
      </c>
      <c r="L76" s="843">
        <v>0</v>
      </c>
      <c r="N76" s="860">
        <f t="shared" si="245"/>
        <v>0.0405811216622027</v>
      </c>
      <c r="O76" s="861">
        <f t="shared" si="245"/>
        <v>0.0318979266347687</v>
      </c>
      <c r="P76" s="861">
        <f t="shared" si="246"/>
        <v>0.0667334000667334</v>
      </c>
      <c r="Q76" s="861">
        <f t="shared" si="246"/>
        <v>0</v>
      </c>
      <c r="R76" s="868"/>
      <c r="S76" s="839"/>
      <c r="T76" s="840"/>
      <c r="U76" s="840"/>
      <c r="V76" s="840"/>
      <c r="X76" s="880"/>
      <c r="Y76" s="880"/>
      <c r="Z76" s="880"/>
    </row>
    <row r="77" s="781" customFormat="1" ht="13.95" spans="1:26">
      <c r="A77" s="802" t="s">
        <v>2136</v>
      </c>
      <c r="B77" s="830">
        <f t="shared" si="247"/>
        <v>112.486486486486</v>
      </c>
      <c r="C77" s="830">
        <f t="shared" si="247"/>
        <v>115.212121212121</v>
      </c>
      <c r="D77" s="830">
        <f t="shared" si="213"/>
        <v>115.212121212121</v>
      </c>
      <c r="E77" s="830">
        <f t="shared" si="248"/>
        <v>110.402402402402</v>
      </c>
      <c r="F77" s="830">
        <f t="shared" si="248"/>
        <v>104</v>
      </c>
      <c r="G77" s="813">
        <v>2004</v>
      </c>
      <c r="H77" s="831">
        <v>1</v>
      </c>
      <c r="I77" s="831">
        <v>0.33</v>
      </c>
      <c r="J77" s="831">
        <v>0.5</v>
      </c>
      <c r="K77" s="831">
        <v>0.5</v>
      </c>
      <c r="L77" s="856">
        <v>0</v>
      </c>
      <c r="N77" s="899">
        <f t="shared" si="245"/>
        <v>0.0133917701485269</v>
      </c>
      <c r="O77" s="900">
        <f t="shared" si="245"/>
        <v>0.0106326422115896</v>
      </c>
      <c r="P77" s="900">
        <f t="shared" si="246"/>
        <v>0.0222444666889111</v>
      </c>
      <c r="Q77" s="900">
        <f t="shared" si="246"/>
        <v>0</v>
      </c>
      <c r="R77" s="879"/>
      <c r="S77" s="857">
        <f>B77/B78-1</f>
        <v>0.0133917701485269</v>
      </c>
      <c r="T77" s="858">
        <f>C77/C78-1</f>
        <v>0.0106326422115897</v>
      </c>
      <c r="U77" s="858">
        <f>E77/E78-1</f>
        <v>0.0222444666889112</v>
      </c>
      <c r="V77" s="858">
        <f>F77/F78-1</f>
        <v>0</v>
      </c>
      <c r="X77" s="907"/>
      <c r="Y77" s="907"/>
      <c r="Z77" s="907"/>
    </row>
    <row r="78" ht="13.95" spans="1:26">
      <c r="A78" s="802" t="s">
        <v>2137</v>
      </c>
      <c r="B78" s="885">
        <v>111</v>
      </c>
      <c r="C78" s="885">
        <v>114</v>
      </c>
      <c r="D78" s="885">
        <f t="shared" si="213"/>
        <v>114</v>
      </c>
      <c r="E78" s="885">
        <v>108</v>
      </c>
      <c r="F78" s="886">
        <v>104</v>
      </c>
      <c r="G78" s="814">
        <v>2003</v>
      </c>
      <c r="H78" s="832">
        <v>4</v>
      </c>
      <c r="I78" s="901"/>
      <c r="J78" s="901"/>
      <c r="K78" s="901"/>
      <c r="L78" s="901"/>
      <c r="N78" s="902"/>
      <c r="O78" s="901"/>
      <c r="P78" s="901"/>
      <c r="Q78" s="901"/>
      <c r="S78" s="902"/>
      <c r="T78" s="901"/>
      <c r="U78" s="901"/>
      <c r="V78" s="901"/>
      <c r="X78" s="880"/>
      <c r="Y78" s="880"/>
      <c r="Z78" s="880"/>
    </row>
    <row r="79" spans="1:26">
      <c r="A79" s="802" t="s">
        <v>2138</v>
      </c>
      <c r="B79" s="887">
        <f t="shared" ref="B79:C81" si="249">B80+(B$78-B$82)/4</f>
        <v>109.75</v>
      </c>
      <c r="C79" s="887">
        <f t="shared" si="249"/>
        <v>112.25</v>
      </c>
      <c r="D79" s="887">
        <f t="shared" si="213"/>
        <v>112.25</v>
      </c>
      <c r="E79" s="887">
        <f t="shared" ref="E79:F81" si="250">E80+(E$78-E$82)/4</f>
        <v>107.25</v>
      </c>
      <c r="F79" s="887">
        <f t="shared" si="250"/>
        <v>103.5</v>
      </c>
      <c r="G79" s="800">
        <v>2003</v>
      </c>
      <c r="H79" s="816">
        <v>3</v>
      </c>
      <c r="I79" s="901"/>
      <c r="J79" s="901"/>
      <c r="K79" s="901"/>
      <c r="L79" s="901"/>
      <c r="X79" s="880"/>
      <c r="Y79" s="880"/>
      <c r="Z79" s="880"/>
    </row>
    <row r="80" spans="1:26">
      <c r="A80" s="802" t="s">
        <v>2139</v>
      </c>
      <c r="B80" s="887">
        <f t="shared" si="249"/>
        <v>108.5</v>
      </c>
      <c r="C80" s="887">
        <f t="shared" si="249"/>
        <v>110.5</v>
      </c>
      <c r="D80" s="887">
        <f t="shared" si="213"/>
        <v>110.5</v>
      </c>
      <c r="E80" s="887">
        <f t="shared" si="250"/>
        <v>106.5</v>
      </c>
      <c r="F80" s="887">
        <f t="shared" si="250"/>
        <v>103</v>
      </c>
      <c r="G80" s="800">
        <v>2003</v>
      </c>
      <c r="H80" s="808">
        <v>2</v>
      </c>
      <c r="I80" s="901"/>
      <c r="J80" s="901"/>
      <c r="K80" s="901"/>
      <c r="L80" s="901"/>
      <c r="X80" s="880"/>
      <c r="Y80" s="880"/>
      <c r="Z80" s="880"/>
    </row>
    <row r="81" ht="13.95" spans="1:26">
      <c r="A81" s="802" t="s">
        <v>2140</v>
      </c>
      <c r="B81" s="887">
        <f t="shared" si="249"/>
        <v>107.25</v>
      </c>
      <c r="C81" s="887">
        <f t="shared" si="249"/>
        <v>108.75</v>
      </c>
      <c r="D81" s="887">
        <f t="shared" si="213"/>
        <v>108.75</v>
      </c>
      <c r="E81" s="887">
        <f t="shared" si="250"/>
        <v>105.75</v>
      </c>
      <c r="F81" s="887">
        <f t="shared" si="250"/>
        <v>102.5</v>
      </c>
      <c r="G81" s="813">
        <v>2003</v>
      </c>
      <c r="H81" s="888">
        <v>1</v>
      </c>
      <c r="I81" s="901"/>
      <c r="J81" s="901"/>
      <c r="K81" s="901"/>
      <c r="L81" s="901"/>
      <c r="S81" s="839"/>
      <c r="T81" s="840"/>
      <c r="U81" s="840"/>
      <c r="X81" s="880"/>
      <c r="Y81" s="880"/>
      <c r="Z81" s="880"/>
    </row>
    <row r="82" ht="13.95" spans="1:26">
      <c r="A82" s="802" t="s">
        <v>2141</v>
      </c>
      <c r="B82" s="889">
        <v>106</v>
      </c>
      <c r="C82" s="889">
        <v>107</v>
      </c>
      <c r="D82" s="889">
        <f t="shared" si="213"/>
        <v>107</v>
      </c>
      <c r="E82" s="889">
        <v>105</v>
      </c>
      <c r="F82" s="890">
        <v>102</v>
      </c>
      <c r="G82" s="814">
        <v>2002</v>
      </c>
      <c r="H82" s="815">
        <v>4</v>
      </c>
      <c r="I82" s="901"/>
      <c r="J82" s="901"/>
      <c r="K82" s="901"/>
      <c r="L82" s="901"/>
      <c r="N82" s="902"/>
      <c r="O82" s="901"/>
      <c r="P82" s="901"/>
      <c r="Q82" s="901"/>
      <c r="S82" s="902"/>
      <c r="T82" s="901"/>
      <c r="U82" s="901"/>
      <c r="V82" s="901"/>
      <c r="X82" s="880"/>
      <c r="Y82" s="880"/>
      <c r="Z82" s="880"/>
    </row>
    <row r="83" spans="1:26">
      <c r="A83" s="802" t="s">
        <v>2142</v>
      </c>
      <c r="B83" s="887">
        <f t="shared" ref="B83:C85" si="251">B84+(B$82-B$86)/4</f>
        <v>105</v>
      </c>
      <c r="C83" s="887">
        <f t="shared" si="251"/>
        <v>106</v>
      </c>
      <c r="D83" s="887">
        <f t="shared" si="213"/>
        <v>106</v>
      </c>
      <c r="E83" s="887">
        <f t="shared" ref="E83:F85" si="252">E84+(E$82-E$86)/4</f>
        <v>104.5</v>
      </c>
      <c r="F83" s="887">
        <f t="shared" si="252"/>
        <v>101.5</v>
      </c>
      <c r="G83" s="800">
        <v>2002</v>
      </c>
      <c r="H83" s="816">
        <v>3</v>
      </c>
      <c r="I83" s="901"/>
      <c r="J83" s="901"/>
      <c r="K83" s="901"/>
      <c r="L83" s="901"/>
      <c r="X83" s="880"/>
      <c r="Y83" s="880"/>
      <c r="Z83" s="880"/>
    </row>
    <row r="84" spans="1:26">
      <c r="A84" s="802" t="s">
        <v>2143</v>
      </c>
      <c r="B84" s="887">
        <f t="shared" si="251"/>
        <v>104</v>
      </c>
      <c r="C84" s="887">
        <f t="shared" si="251"/>
        <v>105</v>
      </c>
      <c r="D84" s="887">
        <f t="shared" si="213"/>
        <v>105</v>
      </c>
      <c r="E84" s="887">
        <f t="shared" si="252"/>
        <v>104</v>
      </c>
      <c r="F84" s="887">
        <f t="shared" si="252"/>
        <v>101</v>
      </c>
      <c r="G84" s="800">
        <v>2002</v>
      </c>
      <c r="H84" s="808">
        <v>2</v>
      </c>
      <c r="I84" s="901"/>
      <c r="J84" s="901"/>
      <c r="K84" s="901"/>
      <c r="L84" s="901"/>
      <c r="X84" s="880"/>
      <c r="Y84" s="880"/>
      <c r="Z84" s="880"/>
    </row>
    <row r="85" s="780" customFormat="1" ht="13.95" spans="1:26">
      <c r="A85" s="820" t="s">
        <v>2144</v>
      </c>
      <c r="B85" s="872">
        <f t="shared" si="251"/>
        <v>103</v>
      </c>
      <c r="C85" s="872">
        <f t="shared" si="251"/>
        <v>104</v>
      </c>
      <c r="D85" s="872">
        <f t="shared" si="213"/>
        <v>104</v>
      </c>
      <c r="E85" s="872">
        <f t="shared" si="252"/>
        <v>103.5</v>
      </c>
      <c r="F85" s="872">
        <f t="shared" si="252"/>
        <v>100.5</v>
      </c>
      <c r="G85" s="813">
        <v>2002</v>
      </c>
      <c r="H85" s="891">
        <v>1</v>
      </c>
      <c r="I85" s="903"/>
      <c r="J85" s="903"/>
      <c r="K85" s="903"/>
      <c r="L85" s="903"/>
      <c r="N85" s="904"/>
      <c r="S85" s="904"/>
      <c r="X85" s="908"/>
      <c r="Y85" s="908"/>
      <c r="Z85" s="908"/>
    </row>
    <row r="86" ht="13.95" spans="2:26">
      <c r="B86" s="892">
        <v>102</v>
      </c>
      <c r="C86" s="893">
        <v>103</v>
      </c>
      <c r="D86" s="893">
        <f t="shared" si="213"/>
        <v>103</v>
      </c>
      <c r="E86" s="893">
        <v>103</v>
      </c>
      <c r="F86" s="894">
        <v>100</v>
      </c>
      <c r="I86" s="901"/>
      <c r="J86" s="901"/>
      <c r="K86" s="901"/>
      <c r="L86" s="901"/>
      <c r="N86" s="902"/>
      <c r="O86" s="901"/>
      <c r="P86" s="901"/>
      <c r="Q86" s="901"/>
      <c r="S86" s="902"/>
      <c r="T86" s="901"/>
      <c r="U86" s="901"/>
      <c r="V86" s="901"/>
      <c r="X86" s="871"/>
      <c r="Y86" s="871"/>
      <c r="Z86" s="871"/>
    </row>
    <row r="88" s="782" customFormat="1" spans="1:19">
      <c r="A88" s="895" t="s">
        <v>2145</v>
      </c>
      <c r="G88" s="896"/>
      <c r="N88" s="896"/>
      <c r="S88" s="896"/>
    </row>
    <row r="89" s="782" customFormat="1" spans="1:19">
      <c r="A89" s="782" t="s">
        <v>2146</v>
      </c>
      <c r="G89" s="896"/>
      <c r="N89" s="896"/>
      <c r="S89" s="896"/>
    </row>
    <row r="90" s="782" customFormat="1" spans="1:22">
      <c r="A90" s="782" t="s">
        <v>2147</v>
      </c>
      <c r="G90" s="896"/>
      <c r="I90" s="905"/>
      <c r="J90" s="905"/>
      <c r="K90" s="905"/>
      <c r="L90" s="905"/>
      <c r="N90" s="906"/>
      <c r="O90" s="905"/>
      <c r="P90" s="905"/>
      <c r="Q90" s="905"/>
      <c r="S90" s="906"/>
      <c r="T90" s="905"/>
      <c r="U90" s="905"/>
      <c r="V90" s="905"/>
    </row>
    <row r="91" s="782" customFormat="1" spans="1:19">
      <c r="A91" s="782" t="s">
        <v>2148</v>
      </c>
      <c r="G91" s="896"/>
      <c r="N91" s="896"/>
      <c r="S91" s="896"/>
    </row>
    <row r="98" ht="13.95"/>
    <row r="99" spans="7:22">
      <c r="G99" s="783"/>
      <c r="S99" s="909" t="s">
        <v>2149</v>
      </c>
      <c r="T99" s="910" t="s">
        <v>2150</v>
      </c>
      <c r="U99" s="910" t="s">
        <v>2151</v>
      </c>
      <c r="V99" s="910" t="s">
        <v>2152</v>
      </c>
    </row>
    <row r="100" spans="7:22">
      <c r="G100" s="783"/>
      <c r="N100" s="870"/>
      <c r="O100" s="871"/>
      <c r="P100" s="871"/>
      <c r="Q100" s="871"/>
      <c r="S100" s="911">
        <v>2006</v>
      </c>
      <c r="T100" s="912">
        <v>15.1</v>
      </c>
      <c r="U100" s="912">
        <v>7.43</v>
      </c>
      <c r="V100" s="912">
        <v>26.26</v>
      </c>
    </row>
    <row r="101" spans="7:22">
      <c r="G101" s="783"/>
      <c r="N101" s="870"/>
      <c r="O101" s="871"/>
      <c r="P101" s="871"/>
      <c r="Q101" s="871"/>
      <c r="S101" s="913">
        <v>2005</v>
      </c>
      <c r="T101" s="914">
        <v>13.9</v>
      </c>
      <c r="U101" s="914">
        <v>7.49</v>
      </c>
      <c r="V101" s="914">
        <v>24.92</v>
      </c>
    </row>
    <row r="102" spans="7:22">
      <c r="G102" s="783"/>
      <c r="N102" s="870"/>
      <c r="O102" s="871"/>
      <c r="P102" s="871"/>
      <c r="Q102" s="871"/>
      <c r="S102" s="911">
        <v>2004</v>
      </c>
      <c r="T102" s="912">
        <v>9.48</v>
      </c>
      <c r="U102" s="912">
        <v>7.2</v>
      </c>
      <c r="V102" s="912">
        <v>14.68</v>
      </c>
    </row>
    <row r="103" spans="7:22">
      <c r="G103" s="783"/>
      <c r="N103" s="870"/>
      <c r="O103" s="871"/>
      <c r="P103" s="871"/>
      <c r="Q103" s="871"/>
      <c r="S103" s="913">
        <v>2003</v>
      </c>
      <c r="T103" s="914">
        <v>4.5</v>
      </c>
      <c r="U103" s="914">
        <v>6.12</v>
      </c>
      <c r="V103" s="914">
        <v>2.34</v>
      </c>
    </row>
    <row r="104" ht="13.95" spans="7:22">
      <c r="G104" s="783"/>
      <c r="N104" s="870"/>
      <c r="O104" s="871"/>
      <c r="P104" s="871"/>
      <c r="Q104" s="871"/>
      <c r="S104" s="915">
        <v>2002</v>
      </c>
      <c r="T104" s="916">
        <v>3.59</v>
      </c>
      <c r="U104" s="916">
        <v>4.54</v>
      </c>
      <c r="V104" s="916">
        <v>2.55</v>
      </c>
    </row>
    <row r="105" spans="7:17">
      <c r="G105" s="783"/>
      <c r="N105" s="870"/>
      <c r="O105" s="871"/>
      <c r="P105" s="871"/>
      <c r="Q105" s="871"/>
    </row>
    <row r="106" spans="7:17">
      <c r="G106" s="783"/>
      <c r="N106" s="870"/>
      <c r="O106" s="871"/>
      <c r="P106" s="871"/>
      <c r="Q106" s="871"/>
    </row>
    <row r="107" spans="7:17">
      <c r="G107" s="783"/>
      <c r="N107" s="870"/>
      <c r="O107" s="871"/>
      <c r="P107" s="871"/>
      <c r="Q107" s="871"/>
    </row>
    <row r="108" spans="7:17">
      <c r="G108" s="783"/>
      <c r="N108" s="870"/>
      <c r="O108" s="871"/>
      <c r="P108" s="871"/>
      <c r="Q108" s="871"/>
    </row>
    <row r="109" spans="7:17">
      <c r="G109" s="783"/>
      <c r="N109" s="870"/>
      <c r="O109" s="871"/>
      <c r="P109" s="871"/>
      <c r="Q109" s="871"/>
    </row>
    <row r="110" spans="7:17">
      <c r="G110" s="783"/>
      <c r="N110" s="870"/>
      <c r="O110" s="871"/>
      <c r="P110" s="871"/>
      <c r="Q110" s="871"/>
    </row>
    <row r="111" spans="7:17">
      <c r="G111" s="783"/>
      <c r="N111" s="870"/>
      <c r="O111" s="871"/>
      <c r="P111" s="871"/>
      <c r="Q111" s="871"/>
    </row>
    <row r="112" spans="7:17">
      <c r="G112" s="783"/>
      <c r="N112" s="870"/>
      <c r="O112" s="871"/>
      <c r="P112" s="871"/>
      <c r="Q112" s="871"/>
    </row>
    <row r="113" spans="7:17">
      <c r="G113" s="783"/>
      <c r="N113" s="870"/>
      <c r="O113" s="871"/>
      <c r="P113" s="871"/>
      <c r="Q113" s="871"/>
    </row>
    <row r="114" spans="7:17">
      <c r="G114" s="783"/>
      <c r="N114" s="870"/>
      <c r="O114" s="871"/>
      <c r="P114" s="871"/>
      <c r="Q114" s="871"/>
    </row>
    <row r="115" spans="7:19">
      <c r="G115" s="783"/>
      <c r="N115" s="870"/>
      <c r="O115" s="871"/>
      <c r="P115" s="871"/>
      <c r="Q115" s="871"/>
      <c r="S115" s="783"/>
    </row>
    <row r="116" spans="7:19">
      <c r="G116" s="783"/>
      <c r="N116" s="870"/>
      <c r="O116" s="871"/>
      <c r="P116" s="871"/>
      <c r="Q116" s="871"/>
      <c r="S116" s="783"/>
    </row>
    <row r="117" spans="7:19">
      <c r="G117" s="783"/>
      <c r="N117" s="870"/>
      <c r="O117" s="871"/>
      <c r="P117" s="871"/>
      <c r="Q117" s="871"/>
      <c r="S117" s="783"/>
    </row>
    <row r="118" spans="7:19">
      <c r="G118" s="783"/>
      <c r="N118" s="870"/>
      <c r="O118" s="871"/>
      <c r="P118" s="871"/>
      <c r="Q118" s="871"/>
      <c r="S118" s="783"/>
    </row>
    <row r="119" spans="7:19">
      <c r="G119" s="783"/>
      <c r="N119" s="870"/>
      <c r="O119" s="871"/>
      <c r="P119" s="871"/>
      <c r="Q119" s="871"/>
      <c r="S119" s="783"/>
    </row>
    <row r="120" spans="7:19">
      <c r="G120" s="783"/>
      <c r="N120" s="870"/>
      <c r="O120" s="871"/>
      <c r="P120" s="871"/>
      <c r="Q120" s="871"/>
      <c r="S120" s="783"/>
    </row>
  </sheetData>
  <sheetProtection sheet="1" formatCells="0" objects="1" scenarios="1"/>
  <mergeCells count="23">
    <mergeCell ref="B1:F1"/>
    <mergeCell ref="G1:L1"/>
    <mergeCell ref="N1:Q1"/>
    <mergeCell ref="S1:V1"/>
    <mergeCell ref="X1:AB1"/>
    <mergeCell ref="AD1:AH1"/>
    <mergeCell ref="G18:G2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 ref="G82:G85"/>
  </mergeCells>
  <pageMargins left="0.7" right="0.7" top="0.75" bottom="0.75" header="0.3" footer="0.3"/>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515" activePane="bottomLeft" state="frozen"/>
      <selection/>
      <selection pane="bottomLeft" activeCell="Q72" sqref="Q72"/>
    </sheetView>
  </sheetViews>
  <sheetFormatPr defaultColWidth="9" defaultRowHeight="13.2"/>
  <cols>
    <col min="1" max="1" width="11.4444444444444" style="648" customWidth="1"/>
    <col min="2" max="2" width="9.22222222222222" style="649" customWidth="1"/>
    <col min="3" max="3" width="5" style="649" customWidth="1"/>
    <col min="4" max="4" width="9" style="649"/>
    <col min="5" max="5" width="5" style="649" customWidth="1"/>
    <col min="6" max="6" width="9" style="649"/>
    <col min="7" max="7" width="5" style="649" customWidth="1"/>
    <col min="8" max="8" width="9" style="649"/>
    <col min="9" max="9" width="5" style="649" customWidth="1"/>
    <col min="10" max="10" width="9" style="649"/>
    <col min="11" max="11" width="5" style="649" customWidth="1"/>
    <col min="12" max="12" width="9" style="649"/>
    <col min="13" max="13" width="5" style="649" customWidth="1"/>
    <col min="14" max="14" width="9" style="649"/>
    <col min="15" max="15" width="5" style="649" customWidth="1"/>
    <col min="16" max="16" width="9" style="649"/>
    <col min="17" max="17" width="5" style="649" customWidth="1"/>
    <col min="18" max="18" width="9" style="650"/>
    <col min="19" max="19" width="9" style="648"/>
    <col min="20" max="45" width="9" style="651"/>
    <col min="46" max="16384" width="9" style="648"/>
  </cols>
  <sheetData>
    <row r="1" ht="14.25" customHeight="1" spans="1:20">
      <c r="A1" s="652"/>
      <c r="B1" s="653" t="s">
        <v>2153</v>
      </c>
      <c r="C1" s="654" t="s">
        <v>2154</v>
      </c>
      <c r="D1" s="655"/>
      <c r="E1" s="655"/>
      <c r="F1" s="655"/>
      <c r="G1" s="655"/>
      <c r="H1" s="655"/>
      <c r="I1" s="655"/>
      <c r="J1" s="655"/>
      <c r="K1" s="655"/>
      <c r="L1" s="655"/>
      <c r="M1" s="655"/>
      <c r="N1" s="655"/>
      <c r="O1" s="655"/>
      <c r="P1" s="655"/>
      <c r="Q1" s="655"/>
      <c r="R1" s="655"/>
      <c r="S1" s="739"/>
      <c r="T1" s="653" t="s">
        <v>1679</v>
      </c>
    </row>
    <row r="2" s="643" customFormat="1" spans="1:45">
      <c r="A2" s="656"/>
      <c r="B2" s="657" t="s">
        <v>361</v>
      </c>
      <c r="C2" s="658" t="str">
        <f t="shared" ref="C2:L2" si="0">C3&amp;"(含)"&amp;"-"&amp;D3</f>
        <v>(含)-</v>
      </c>
      <c r="D2" s="659" t="str">
        <f t="shared" si="0"/>
        <v>(含)-</v>
      </c>
      <c r="E2" s="659" t="str">
        <f t="shared" si="0"/>
        <v>(含)-</v>
      </c>
      <c r="F2" s="659" t="str">
        <f t="shared" si="0"/>
        <v>(含)-</v>
      </c>
      <c r="G2" s="659" t="str">
        <f t="shared" si="0"/>
        <v>(含)-</v>
      </c>
      <c r="H2" s="659" t="str">
        <f t="shared" si="0"/>
        <v>(含)-</v>
      </c>
      <c r="I2" s="659" t="str">
        <f t="shared" si="0"/>
        <v>(含)-</v>
      </c>
      <c r="J2" s="659" t="str">
        <f t="shared" si="0"/>
        <v>(含)-</v>
      </c>
      <c r="K2" s="659" t="str">
        <f t="shared" si="0"/>
        <v>(含)-</v>
      </c>
      <c r="L2" s="659" t="str">
        <f t="shared" si="0"/>
        <v>(含)-</v>
      </c>
      <c r="M2" s="659" t="str">
        <f t="shared" ref="M2" si="1">M3&amp;"(含)"&amp;"-"&amp;N3</f>
        <v>(含)-</v>
      </c>
      <c r="N2" s="659" t="str">
        <f t="shared" ref="N2" si="2">N3&amp;"(含)"&amp;"-"&amp;O3</f>
        <v>(含)-</v>
      </c>
      <c r="O2" s="659" t="str">
        <f t="shared" ref="O2" si="3">O3&amp;"(含)"&amp;"-"&amp;P3</f>
        <v>(含)-</v>
      </c>
      <c r="P2" s="659" t="str">
        <f t="shared" ref="P2" si="4">P3&amp;"(含)"&amp;"-"&amp;Q3</f>
        <v>(含)-</v>
      </c>
      <c r="Q2" s="659" t="str">
        <f t="shared" ref="Q2" si="5">Q3&amp;"(含)"&amp;"-"&amp;R3</f>
        <v>(含)-</v>
      </c>
      <c r="R2" s="659" t="str">
        <f t="shared" ref="R2" si="6">R3&amp;"(含)"&amp;"-"&amp;S3</f>
        <v>(含)-</v>
      </c>
      <c r="S2" s="740" t="str">
        <f>S3&amp;"(含)"&amp;"-"</f>
        <v>(含)-</v>
      </c>
      <c r="T2" s="741"/>
      <c r="U2" s="742"/>
      <c r="V2" s="742"/>
      <c r="W2" s="742"/>
      <c r="X2" s="742"/>
      <c r="Y2" s="742"/>
      <c r="Z2" s="742"/>
      <c r="AA2" s="742"/>
      <c r="AB2" s="742"/>
      <c r="AC2" s="742"/>
      <c r="AD2" s="742"/>
      <c r="AE2" s="742"/>
      <c r="AF2" s="742"/>
      <c r="AG2" s="742"/>
      <c r="AH2" s="742"/>
      <c r="AI2" s="742"/>
      <c r="AJ2" s="742"/>
      <c r="AK2" s="742"/>
      <c r="AL2" s="742"/>
      <c r="AM2" s="742"/>
      <c r="AN2" s="742"/>
      <c r="AO2" s="742"/>
      <c r="AP2" s="742"/>
      <c r="AQ2" s="742"/>
      <c r="AR2" s="742"/>
      <c r="AS2" s="742"/>
    </row>
    <row r="3" s="644" customFormat="1" spans="1:45">
      <c r="A3" s="660"/>
      <c r="B3" s="661"/>
      <c r="C3" s="662"/>
      <c r="D3" s="663"/>
      <c r="E3" s="663"/>
      <c r="F3" s="664"/>
      <c r="G3" s="664"/>
      <c r="H3" s="664"/>
      <c r="I3" s="664"/>
      <c r="J3" s="664"/>
      <c r="K3" s="664"/>
      <c r="L3" s="717"/>
      <c r="M3" s="718"/>
      <c r="N3" s="718"/>
      <c r="O3" s="664"/>
      <c r="P3" s="664"/>
      <c r="Q3" s="664"/>
      <c r="R3" s="664"/>
      <c r="S3" s="743"/>
      <c r="T3" s="744"/>
      <c r="U3" s="745"/>
      <c r="V3" s="745"/>
      <c r="W3" s="745"/>
      <c r="X3" s="745"/>
      <c r="Y3" s="745"/>
      <c r="Z3" s="745"/>
      <c r="AA3" s="745"/>
      <c r="AB3" s="745"/>
      <c r="AC3" s="745"/>
      <c r="AD3" s="745"/>
      <c r="AE3" s="745"/>
      <c r="AF3" s="745"/>
      <c r="AG3" s="745"/>
      <c r="AH3" s="745"/>
      <c r="AI3" s="745"/>
      <c r="AJ3" s="745"/>
      <c r="AK3" s="745"/>
      <c r="AL3" s="745"/>
      <c r="AM3" s="745"/>
      <c r="AN3" s="745"/>
      <c r="AO3" s="745"/>
      <c r="AP3" s="745"/>
      <c r="AQ3" s="745"/>
      <c r="AR3" s="745"/>
      <c r="AS3" s="745"/>
    </row>
    <row r="4" s="644" customFormat="1" ht="13.95" spans="1:45">
      <c r="A4" s="665"/>
      <c r="B4" s="666"/>
      <c r="C4" s="667"/>
      <c r="D4" s="668"/>
      <c r="E4" s="668"/>
      <c r="F4" s="669"/>
      <c r="G4" s="669"/>
      <c r="H4" s="669"/>
      <c r="I4" s="669"/>
      <c r="J4" s="669"/>
      <c r="K4" s="669"/>
      <c r="L4" s="669"/>
      <c r="M4" s="719"/>
      <c r="N4" s="719"/>
      <c r="O4" s="669"/>
      <c r="P4" s="669"/>
      <c r="Q4" s="669"/>
      <c r="R4" s="669"/>
      <c r="S4" s="746"/>
      <c r="T4" s="747"/>
      <c r="U4" s="745"/>
      <c r="V4" s="745"/>
      <c r="W4" s="745"/>
      <c r="X4" s="745"/>
      <c r="Y4" s="745"/>
      <c r="Z4" s="745"/>
      <c r="AA4" s="745"/>
      <c r="AB4" s="745"/>
      <c r="AC4" s="745"/>
      <c r="AD4" s="745"/>
      <c r="AE4" s="745"/>
      <c r="AF4" s="745"/>
      <c r="AG4" s="745"/>
      <c r="AH4" s="745"/>
      <c r="AI4" s="745"/>
      <c r="AJ4" s="745"/>
      <c r="AK4" s="745"/>
      <c r="AL4" s="745"/>
      <c r="AM4" s="745"/>
      <c r="AN4" s="745"/>
      <c r="AO4" s="745"/>
      <c r="AP4" s="745"/>
      <c r="AQ4" s="745"/>
      <c r="AR4" s="745"/>
      <c r="AS4" s="745"/>
    </row>
    <row r="5" s="645" customFormat="1" spans="1:45">
      <c r="A5" s="670"/>
      <c r="B5" s="671" t="s">
        <v>2155</v>
      </c>
      <c r="C5" s="672"/>
      <c r="D5" s="673"/>
      <c r="E5" s="673"/>
      <c r="F5" s="674"/>
      <c r="G5" s="674"/>
      <c r="H5" s="674"/>
      <c r="I5" s="674"/>
      <c r="J5" s="674"/>
      <c r="K5" s="674"/>
      <c r="L5" s="720"/>
      <c r="M5" s="721"/>
      <c r="N5" s="721"/>
      <c r="O5" s="674"/>
      <c r="P5" s="674"/>
      <c r="Q5" s="674"/>
      <c r="R5" s="674"/>
      <c r="S5" s="748"/>
      <c r="T5" s="749"/>
      <c r="U5" s="750"/>
      <c r="V5" s="750"/>
      <c r="W5" s="750"/>
      <c r="X5" s="750"/>
      <c r="Y5" s="750"/>
      <c r="Z5" s="750"/>
      <c r="AA5" s="750"/>
      <c r="AB5" s="750"/>
      <c r="AC5" s="750"/>
      <c r="AD5" s="750"/>
      <c r="AE5" s="750"/>
      <c r="AF5" s="750"/>
      <c r="AG5" s="750"/>
      <c r="AH5" s="750"/>
      <c r="AI5" s="750"/>
      <c r="AJ5" s="750"/>
      <c r="AK5" s="750"/>
      <c r="AL5" s="750"/>
      <c r="AM5" s="750"/>
      <c r="AN5" s="750"/>
      <c r="AO5" s="750"/>
      <c r="AP5" s="750"/>
      <c r="AQ5" s="750"/>
      <c r="AR5" s="750"/>
      <c r="AS5" s="750"/>
    </row>
    <row r="6" s="645" customFormat="1" ht="13.95" spans="1:45">
      <c r="A6" s="670"/>
      <c r="B6" s="675"/>
      <c r="C6" s="676">
        <v>100</v>
      </c>
      <c r="D6" s="677">
        <f>C6-$T5</f>
        <v>100</v>
      </c>
      <c r="E6" s="677">
        <f t="shared" ref="E6:S6" si="7">D6-$T5</f>
        <v>100</v>
      </c>
      <c r="F6" s="678">
        <f t="shared" si="7"/>
        <v>100</v>
      </c>
      <c r="G6" s="678">
        <f t="shared" si="7"/>
        <v>100</v>
      </c>
      <c r="H6" s="678">
        <f t="shared" si="7"/>
        <v>100</v>
      </c>
      <c r="I6" s="678">
        <f t="shared" si="7"/>
        <v>100</v>
      </c>
      <c r="J6" s="678">
        <f t="shared" si="7"/>
        <v>100</v>
      </c>
      <c r="K6" s="678">
        <f t="shared" si="7"/>
        <v>100</v>
      </c>
      <c r="L6" s="678">
        <f t="shared" si="7"/>
        <v>100</v>
      </c>
      <c r="M6" s="678">
        <f t="shared" si="7"/>
        <v>100</v>
      </c>
      <c r="N6" s="678">
        <f t="shared" si="7"/>
        <v>100</v>
      </c>
      <c r="O6" s="678">
        <f t="shared" si="7"/>
        <v>100</v>
      </c>
      <c r="P6" s="678">
        <f t="shared" si="7"/>
        <v>100</v>
      </c>
      <c r="Q6" s="678">
        <f t="shared" si="7"/>
        <v>100</v>
      </c>
      <c r="R6" s="678">
        <f t="shared" si="7"/>
        <v>100</v>
      </c>
      <c r="S6" s="678">
        <f t="shared" si="7"/>
        <v>100</v>
      </c>
      <c r="T6" s="751"/>
      <c r="U6" s="750"/>
      <c r="V6" s="750"/>
      <c r="W6" s="750"/>
      <c r="X6" s="750"/>
      <c r="Y6" s="750"/>
      <c r="Z6" s="750"/>
      <c r="AA6" s="750"/>
      <c r="AB6" s="750"/>
      <c r="AC6" s="750"/>
      <c r="AD6" s="750"/>
      <c r="AE6" s="750"/>
      <c r="AF6" s="750"/>
      <c r="AG6" s="750"/>
      <c r="AH6" s="750"/>
      <c r="AI6" s="750"/>
      <c r="AJ6" s="750"/>
      <c r="AK6" s="750"/>
      <c r="AL6" s="750"/>
      <c r="AM6" s="750"/>
      <c r="AN6" s="750"/>
      <c r="AO6" s="750"/>
      <c r="AP6" s="750"/>
      <c r="AQ6" s="750"/>
      <c r="AR6" s="750"/>
      <c r="AS6" s="750"/>
    </row>
    <row r="7" s="645" customFormat="1" spans="1:45">
      <c r="A7" s="670"/>
      <c r="B7" s="679" t="s">
        <v>2156</v>
      </c>
      <c r="C7" s="680"/>
      <c r="D7" s="681"/>
      <c r="E7" s="681"/>
      <c r="F7" s="682"/>
      <c r="G7" s="682"/>
      <c r="H7" s="682"/>
      <c r="I7" s="682"/>
      <c r="J7" s="682"/>
      <c r="K7" s="682"/>
      <c r="L7" s="682"/>
      <c r="M7" s="722"/>
      <c r="N7" s="723"/>
      <c r="O7" s="724"/>
      <c r="P7" s="725"/>
      <c r="Q7" s="752"/>
      <c r="R7" s="753"/>
      <c r="S7" s="754"/>
      <c r="T7" s="755"/>
      <c r="U7" s="750"/>
      <c r="V7" s="750"/>
      <c r="W7" s="750"/>
      <c r="X7" s="750"/>
      <c r="Y7" s="750"/>
      <c r="Z7" s="750"/>
      <c r="AA7" s="750"/>
      <c r="AB7" s="750"/>
      <c r="AC7" s="750"/>
      <c r="AD7" s="750"/>
      <c r="AE7" s="750"/>
      <c r="AF7" s="750"/>
      <c r="AG7" s="750"/>
      <c r="AH7" s="750"/>
      <c r="AI7" s="750"/>
      <c r="AJ7" s="750"/>
      <c r="AK7" s="750"/>
      <c r="AL7" s="750"/>
      <c r="AM7" s="750"/>
      <c r="AN7" s="750"/>
      <c r="AO7" s="750"/>
      <c r="AP7" s="750"/>
      <c r="AQ7" s="750"/>
      <c r="AR7" s="750"/>
      <c r="AS7" s="750"/>
    </row>
    <row r="8" s="645" customFormat="1" ht="13.95" spans="1:45">
      <c r="A8" s="670"/>
      <c r="B8" s="675"/>
      <c r="C8" s="676">
        <v>100</v>
      </c>
      <c r="D8" s="677">
        <f>C8-$T7</f>
        <v>100</v>
      </c>
      <c r="E8" s="677">
        <f t="shared" ref="E8:S8" si="8">D8-$T7</f>
        <v>100</v>
      </c>
      <c r="F8" s="678">
        <f t="shared" si="8"/>
        <v>100</v>
      </c>
      <c r="G8" s="678">
        <f t="shared" si="8"/>
        <v>100</v>
      </c>
      <c r="H8" s="678">
        <f t="shared" si="8"/>
        <v>100</v>
      </c>
      <c r="I8" s="678">
        <f t="shared" si="8"/>
        <v>100</v>
      </c>
      <c r="J8" s="678">
        <f t="shared" si="8"/>
        <v>100</v>
      </c>
      <c r="K8" s="678">
        <f t="shared" si="8"/>
        <v>100</v>
      </c>
      <c r="L8" s="678">
        <f t="shared" si="8"/>
        <v>100</v>
      </c>
      <c r="M8" s="678">
        <f t="shared" si="8"/>
        <v>100</v>
      </c>
      <c r="N8" s="678">
        <f t="shared" si="8"/>
        <v>100</v>
      </c>
      <c r="O8" s="678">
        <f t="shared" si="8"/>
        <v>100</v>
      </c>
      <c r="P8" s="678">
        <f t="shared" si="8"/>
        <v>100</v>
      </c>
      <c r="Q8" s="678">
        <f t="shared" si="8"/>
        <v>100</v>
      </c>
      <c r="R8" s="678">
        <f t="shared" si="8"/>
        <v>100</v>
      </c>
      <c r="S8" s="678">
        <f t="shared" si="8"/>
        <v>100</v>
      </c>
      <c r="T8" s="751"/>
      <c r="U8" s="750"/>
      <c r="V8" s="750"/>
      <c r="W8" s="750"/>
      <c r="X8" s="750"/>
      <c r="Y8" s="750"/>
      <c r="Z8" s="750"/>
      <c r="AA8" s="750"/>
      <c r="AB8" s="750"/>
      <c r="AC8" s="750"/>
      <c r="AD8" s="750"/>
      <c r="AE8" s="750"/>
      <c r="AF8" s="750"/>
      <c r="AG8" s="750"/>
      <c r="AH8" s="750"/>
      <c r="AI8" s="750"/>
      <c r="AJ8" s="750"/>
      <c r="AK8" s="750"/>
      <c r="AL8" s="750"/>
      <c r="AM8" s="750"/>
      <c r="AN8" s="750"/>
      <c r="AO8" s="750"/>
      <c r="AP8" s="750"/>
      <c r="AQ8" s="750"/>
      <c r="AR8" s="750"/>
      <c r="AS8" s="750"/>
    </row>
    <row r="9" s="645" customFormat="1" spans="1:45">
      <c r="A9" s="670"/>
      <c r="B9" s="679" t="s">
        <v>2157</v>
      </c>
      <c r="C9" s="680"/>
      <c r="D9" s="681"/>
      <c r="E9" s="681"/>
      <c r="F9" s="682"/>
      <c r="G9" s="682"/>
      <c r="H9" s="682"/>
      <c r="I9" s="682"/>
      <c r="J9" s="682"/>
      <c r="K9" s="682"/>
      <c r="L9" s="726"/>
      <c r="M9" s="722"/>
      <c r="N9" s="723"/>
      <c r="O9" s="724"/>
      <c r="P9" s="725"/>
      <c r="Q9" s="752"/>
      <c r="R9" s="753"/>
      <c r="S9" s="754"/>
      <c r="T9" s="755"/>
      <c r="U9" s="750"/>
      <c r="V9" s="750"/>
      <c r="W9" s="750"/>
      <c r="X9" s="750"/>
      <c r="Y9" s="750"/>
      <c r="Z9" s="750"/>
      <c r="AA9" s="750"/>
      <c r="AB9" s="750"/>
      <c r="AC9" s="750"/>
      <c r="AD9" s="750"/>
      <c r="AE9" s="750"/>
      <c r="AF9" s="750"/>
      <c r="AG9" s="750"/>
      <c r="AH9" s="750"/>
      <c r="AI9" s="750"/>
      <c r="AJ9" s="750"/>
      <c r="AK9" s="750"/>
      <c r="AL9" s="750"/>
      <c r="AM9" s="750"/>
      <c r="AN9" s="750"/>
      <c r="AO9" s="750"/>
      <c r="AP9" s="750"/>
      <c r="AQ9" s="750"/>
      <c r="AR9" s="750"/>
      <c r="AS9" s="750"/>
    </row>
    <row r="10" s="645" customFormat="1" ht="13.95" spans="1:45">
      <c r="A10" s="670"/>
      <c r="B10" s="666"/>
      <c r="C10" s="683">
        <v>100</v>
      </c>
      <c r="D10" s="684">
        <f>C10-$T9</f>
        <v>100</v>
      </c>
      <c r="E10" s="684">
        <f t="shared" ref="E10:S10" si="9">D10-$T9</f>
        <v>100</v>
      </c>
      <c r="F10" s="685">
        <f t="shared" si="9"/>
        <v>100</v>
      </c>
      <c r="G10" s="685">
        <f t="shared" si="9"/>
        <v>100</v>
      </c>
      <c r="H10" s="685">
        <f t="shared" si="9"/>
        <v>100</v>
      </c>
      <c r="I10" s="685">
        <f t="shared" si="9"/>
        <v>100</v>
      </c>
      <c r="J10" s="685">
        <f t="shared" si="9"/>
        <v>100</v>
      </c>
      <c r="K10" s="685">
        <f t="shared" si="9"/>
        <v>100</v>
      </c>
      <c r="L10" s="685">
        <f t="shared" si="9"/>
        <v>100</v>
      </c>
      <c r="M10" s="685">
        <f t="shared" si="9"/>
        <v>100</v>
      </c>
      <c r="N10" s="685">
        <f t="shared" si="9"/>
        <v>100</v>
      </c>
      <c r="O10" s="685">
        <f t="shared" si="9"/>
        <v>100</v>
      </c>
      <c r="P10" s="685">
        <f t="shared" si="9"/>
        <v>100</v>
      </c>
      <c r="Q10" s="685">
        <f t="shared" si="9"/>
        <v>100</v>
      </c>
      <c r="R10" s="685">
        <f t="shared" si="9"/>
        <v>100</v>
      </c>
      <c r="S10" s="685">
        <f t="shared" si="9"/>
        <v>100</v>
      </c>
      <c r="T10" s="747"/>
      <c r="U10" s="750"/>
      <c r="V10" s="750"/>
      <c r="W10" s="750"/>
      <c r="X10" s="750"/>
      <c r="Y10" s="750"/>
      <c r="Z10" s="750"/>
      <c r="AA10" s="750"/>
      <c r="AB10" s="750"/>
      <c r="AC10" s="750"/>
      <c r="AD10" s="750"/>
      <c r="AE10" s="750"/>
      <c r="AF10" s="750"/>
      <c r="AG10" s="750"/>
      <c r="AH10" s="750"/>
      <c r="AI10" s="750"/>
      <c r="AJ10" s="750"/>
      <c r="AK10" s="750"/>
      <c r="AL10" s="750"/>
      <c r="AM10" s="750"/>
      <c r="AN10" s="750"/>
      <c r="AO10" s="750"/>
      <c r="AP10" s="750"/>
      <c r="AQ10" s="750"/>
      <c r="AR10" s="750"/>
      <c r="AS10" s="750"/>
    </row>
    <row r="11" s="645" customFormat="1" spans="1:45">
      <c r="A11" s="670"/>
      <c r="B11" s="671" t="s">
        <v>2158</v>
      </c>
      <c r="C11" s="672"/>
      <c r="D11" s="673"/>
      <c r="E11" s="673"/>
      <c r="F11" s="673"/>
      <c r="G11" s="673"/>
      <c r="H11" s="673"/>
      <c r="I11" s="673"/>
      <c r="J11" s="673"/>
      <c r="K11" s="673"/>
      <c r="L11" s="673"/>
      <c r="M11" s="727"/>
      <c r="N11" s="728"/>
      <c r="O11" s="729"/>
      <c r="P11" s="730"/>
      <c r="Q11" s="756"/>
      <c r="R11" s="757"/>
      <c r="S11" s="758"/>
      <c r="T11" s="749"/>
      <c r="U11" s="750"/>
      <c r="V11" s="750"/>
      <c r="W11" s="750"/>
      <c r="X11" s="750"/>
      <c r="Y11" s="750"/>
      <c r="Z11" s="750"/>
      <c r="AA11" s="750"/>
      <c r="AB11" s="750"/>
      <c r="AC11" s="750"/>
      <c r="AD11" s="750"/>
      <c r="AE11" s="750"/>
      <c r="AF11" s="750"/>
      <c r="AG11" s="750"/>
      <c r="AH11" s="750"/>
      <c r="AI11" s="750"/>
      <c r="AJ11" s="750"/>
      <c r="AK11" s="750"/>
      <c r="AL11" s="750"/>
      <c r="AM11" s="750"/>
      <c r="AN11" s="750"/>
      <c r="AO11" s="750"/>
      <c r="AP11" s="750"/>
      <c r="AQ11" s="750"/>
      <c r="AR11" s="750"/>
      <c r="AS11" s="750"/>
    </row>
    <row r="12" s="645" customFormat="1" ht="13.95" spans="1:45">
      <c r="A12" s="670"/>
      <c r="B12" s="675"/>
      <c r="C12" s="676">
        <v>100</v>
      </c>
      <c r="D12" s="677">
        <f>C12-$T11</f>
        <v>100</v>
      </c>
      <c r="E12" s="677">
        <f t="shared" ref="E12:S12" si="10">D12-$T11</f>
        <v>100</v>
      </c>
      <c r="F12" s="677">
        <f t="shared" si="10"/>
        <v>100</v>
      </c>
      <c r="G12" s="677">
        <f t="shared" si="10"/>
        <v>100</v>
      </c>
      <c r="H12" s="677">
        <f t="shared" si="10"/>
        <v>100</v>
      </c>
      <c r="I12" s="677">
        <f t="shared" si="10"/>
        <v>100</v>
      </c>
      <c r="J12" s="677">
        <f t="shared" si="10"/>
        <v>100</v>
      </c>
      <c r="K12" s="677">
        <f t="shared" si="10"/>
        <v>100</v>
      </c>
      <c r="L12" s="677">
        <f t="shared" si="10"/>
        <v>100</v>
      </c>
      <c r="M12" s="677">
        <f t="shared" si="10"/>
        <v>100</v>
      </c>
      <c r="N12" s="677">
        <f t="shared" si="10"/>
        <v>100</v>
      </c>
      <c r="O12" s="677">
        <f t="shared" si="10"/>
        <v>100</v>
      </c>
      <c r="P12" s="677">
        <f t="shared" si="10"/>
        <v>100</v>
      </c>
      <c r="Q12" s="677">
        <f t="shared" si="10"/>
        <v>100</v>
      </c>
      <c r="R12" s="677">
        <f t="shared" si="10"/>
        <v>100</v>
      </c>
      <c r="S12" s="677">
        <f t="shared" si="10"/>
        <v>100</v>
      </c>
      <c r="T12" s="751"/>
      <c r="U12" s="750"/>
      <c r="V12" s="750"/>
      <c r="W12" s="750"/>
      <c r="X12" s="750"/>
      <c r="Y12" s="750"/>
      <c r="Z12" s="750"/>
      <c r="AA12" s="750"/>
      <c r="AB12" s="750"/>
      <c r="AC12" s="750"/>
      <c r="AD12" s="750"/>
      <c r="AE12" s="750"/>
      <c r="AF12" s="750"/>
      <c r="AG12" s="750"/>
      <c r="AH12" s="750"/>
      <c r="AI12" s="750"/>
      <c r="AJ12" s="750"/>
      <c r="AK12" s="750"/>
      <c r="AL12" s="750"/>
      <c r="AM12" s="750"/>
      <c r="AN12" s="750"/>
      <c r="AO12" s="750"/>
      <c r="AP12" s="750"/>
      <c r="AQ12" s="750"/>
      <c r="AR12" s="750"/>
      <c r="AS12" s="750"/>
    </row>
    <row r="13" s="645" customFormat="1" spans="1:45">
      <c r="A13" s="670"/>
      <c r="B13" s="671" t="s">
        <v>2159</v>
      </c>
      <c r="C13" s="672"/>
      <c r="D13" s="673"/>
      <c r="E13" s="673"/>
      <c r="F13" s="673"/>
      <c r="G13" s="673"/>
      <c r="H13" s="673"/>
      <c r="I13" s="673"/>
      <c r="J13" s="673"/>
      <c r="K13" s="673"/>
      <c r="L13" s="673"/>
      <c r="M13" s="727"/>
      <c r="N13" s="728"/>
      <c r="O13" s="729"/>
      <c r="P13" s="730"/>
      <c r="Q13" s="756"/>
      <c r="R13" s="757"/>
      <c r="S13" s="758"/>
      <c r="T13" s="759"/>
      <c r="U13" s="750"/>
      <c r="V13" s="750"/>
      <c r="W13" s="750"/>
      <c r="X13" s="750"/>
      <c r="Y13" s="750"/>
      <c r="Z13" s="750"/>
      <c r="AA13" s="750"/>
      <c r="AB13" s="750"/>
      <c r="AC13" s="750"/>
      <c r="AD13" s="750"/>
      <c r="AE13" s="750"/>
      <c r="AF13" s="750"/>
      <c r="AG13" s="750"/>
      <c r="AH13" s="750"/>
      <c r="AI13" s="750"/>
      <c r="AJ13" s="750"/>
      <c r="AK13" s="750"/>
      <c r="AL13" s="750"/>
      <c r="AM13" s="750"/>
      <c r="AN13" s="750"/>
      <c r="AO13" s="750"/>
      <c r="AP13" s="750"/>
      <c r="AQ13" s="750"/>
      <c r="AR13" s="750"/>
      <c r="AS13" s="750"/>
    </row>
    <row r="14" s="645" customFormat="1" ht="13.95" spans="1:45">
      <c r="A14" s="670"/>
      <c r="B14" s="675"/>
      <c r="C14" s="686"/>
      <c r="D14" s="687"/>
      <c r="E14" s="687"/>
      <c r="F14" s="687"/>
      <c r="G14" s="687"/>
      <c r="H14" s="687"/>
      <c r="I14" s="687"/>
      <c r="J14" s="687"/>
      <c r="K14" s="687"/>
      <c r="L14" s="687"/>
      <c r="M14" s="731"/>
      <c r="N14" s="731"/>
      <c r="O14" s="687"/>
      <c r="P14" s="687"/>
      <c r="Q14" s="687"/>
      <c r="R14" s="687"/>
      <c r="S14" s="760"/>
      <c r="T14" s="751"/>
      <c r="U14" s="750"/>
      <c r="V14" s="750"/>
      <c r="W14" s="750"/>
      <c r="X14" s="750"/>
      <c r="Y14" s="750"/>
      <c r="Z14" s="750"/>
      <c r="AA14" s="750"/>
      <c r="AB14" s="750"/>
      <c r="AC14" s="750"/>
      <c r="AD14" s="750"/>
      <c r="AE14" s="750"/>
      <c r="AF14" s="750"/>
      <c r="AG14" s="750"/>
      <c r="AH14" s="750"/>
      <c r="AI14" s="750"/>
      <c r="AJ14" s="750"/>
      <c r="AK14" s="750"/>
      <c r="AL14" s="750"/>
      <c r="AM14" s="750"/>
      <c r="AN14" s="750"/>
      <c r="AO14" s="750"/>
      <c r="AP14" s="750"/>
      <c r="AQ14" s="750"/>
      <c r="AR14" s="750"/>
      <c r="AS14" s="750"/>
    </row>
    <row r="15" s="645" customFormat="1" spans="1:45">
      <c r="A15" s="670"/>
      <c r="B15" s="671" t="s">
        <v>2160</v>
      </c>
      <c r="C15" s="672"/>
      <c r="D15" s="673"/>
      <c r="E15" s="673"/>
      <c r="F15" s="673"/>
      <c r="G15" s="673"/>
      <c r="H15" s="673"/>
      <c r="I15" s="673"/>
      <c r="J15" s="673"/>
      <c r="K15" s="673"/>
      <c r="L15" s="673"/>
      <c r="M15" s="727"/>
      <c r="N15" s="728"/>
      <c r="O15" s="729"/>
      <c r="P15" s="730"/>
      <c r="Q15" s="756"/>
      <c r="R15" s="757"/>
      <c r="S15" s="758"/>
      <c r="T15" s="759"/>
      <c r="U15" s="750"/>
      <c r="V15" s="750"/>
      <c r="W15" s="750"/>
      <c r="X15" s="750"/>
      <c r="Y15" s="750"/>
      <c r="Z15" s="750"/>
      <c r="AA15" s="750"/>
      <c r="AB15" s="750"/>
      <c r="AC15" s="750"/>
      <c r="AD15" s="750"/>
      <c r="AE15" s="750"/>
      <c r="AF15" s="750"/>
      <c r="AG15" s="750"/>
      <c r="AH15" s="750"/>
      <c r="AI15" s="750"/>
      <c r="AJ15" s="750"/>
      <c r="AK15" s="750"/>
      <c r="AL15" s="750"/>
      <c r="AM15" s="750"/>
      <c r="AN15" s="750"/>
      <c r="AO15" s="750"/>
      <c r="AP15" s="750"/>
      <c r="AQ15" s="750"/>
      <c r="AR15" s="750"/>
      <c r="AS15" s="750"/>
    </row>
    <row r="16" s="645" customFormat="1" ht="13.95" spans="1:45">
      <c r="A16" s="670"/>
      <c r="B16" s="666"/>
      <c r="C16" s="667"/>
      <c r="D16" s="668"/>
      <c r="E16" s="668"/>
      <c r="F16" s="668"/>
      <c r="G16" s="668"/>
      <c r="H16" s="668"/>
      <c r="I16" s="668"/>
      <c r="J16" s="668"/>
      <c r="K16" s="668"/>
      <c r="L16" s="668"/>
      <c r="M16" s="732"/>
      <c r="N16" s="732"/>
      <c r="O16" s="668"/>
      <c r="P16" s="668"/>
      <c r="Q16" s="668"/>
      <c r="R16" s="668"/>
      <c r="S16" s="761"/>
      <c r="T16" s="747"/>
      <c r="U16" s="750"/>
      <c r="V16" s="750"/>
      <c r="W16" s="750"/>
      <c r="X16" s="750"/>
      <c r="Y16" s="750"/>
      <c r="Z16" s="750"/>
      <c r="AA16" s="750"/>
      <c r="AB16" s="750"/>
      <c r="AC16" s="750"/>
      <c r="AD16" s="750"/>
      <c r="AE16" s="750"/>
      <c r="AF16" s="750"/>
      <c r="AG16" s="750"/>
      <c r="AH16" s="750"/>
      <c r="AI16" s="750"/>
      <c r="AJ16" s="750"/>
      <c r="AK16" s="750"/>
      <c r="AL16" s="750"/>
      <c r="AM16" s="750"/>
      <c r="AN16" s="750"/>
      <c r="AO16" s="750"/>
      <c r="AP16" s="750"/>
      <c r="AQ16" s="750"/>
      <c r="AR16" s="750"/>
      <c r="AS16" s="750"/>
    </row>
    <row r="17" s="643" customFormat="1" spans="1:45">
      <c r="A17" s="688" t="s">
        <v>2161</v>
      </c>
      <c r="B17" s="689" t="s">
        <v>2162</v>
      </c>
      <c r="C17" s="690"/>
      <c r="D17" s="691"/>
      <c r="E17" s="691"/>
      <c r="F17" s="691"/>
      <c r="G17" s="691"/>
      <c r="H17" s="691"/>
      <c r="I17" s="691"/>
      <c r="J17" s="691"/>
      <c r="K17" s="691"/>
      <c r="L17" s="733"/>
      <c r="M17" s="734"/>
      <c r="N17" s="735"/>
      <c r="O17" s="736"/>
      <c r="P17" s="737"/>
      <c r="Q17" s="762"/>
      <c r="R17" s="763"/>
      <c r="S17" s="764"/>
      <c r="T17" s="764"/>
      <c r="U17" s="764"/>
      <c r="V17" s="764"/>
      <c r="W17" s="764"/>
      <c r="X17" s="764"/>
      <c r="Y17" s="764"/>
      <c r="Z17" s="764"/>
      <c r="AA17" s="764"/>
      <c r="AB17" s="764"/>
      <c r="AC17" s="764"/>
      <c r="AD17" s="764"/>
      <c r="AE17" s="764"/>
      <c r="AF17" s="764"/>
      <c r="AG17" s="764"/>
      <c r="AH17" s="764"/>
      <c r="AI17" s="764"/>
      <c r="AJ17" s="764"/>
      <c r="AK17" s="764"/>
      <c r="AL17" s="764"/>
      <c r="AM17" s="764"/>
      <c r="AN17" s="764"/>
      <c r="AO17" s="764"/>
      <c r="AP17" s="764"/>
      <c r="AQ17" s="764"/>
      <c r="AR17" s="742"/>
      <c r="AS17" s="742"/>
    </row>
    <row r="18" s="643" customFormat="1" ht="13.95" spans="1:45">
      <c r="A18" s="692"/>
      <c r="B18" s="693"/>
      <c r="C18" s="694"/>
      <c r="D18" s="695"/>
      <c r="E18" s="695"/>
      <c r="F18" s="695"/>
      <c r="G18" s="695"/>
      <c r="H18" s="695"/>
      <c r="I18" s="695"/>
      <c r="J18" s="695"/>
      <c r="K18" s="695"/>
      <c r="L18" s="695"/>
      <c r="M18" s="738"/>
      <c r="N18" s="738"/>
      <c r="O18" s="695"/>
      <c r="P18" s="695"/>
      <c r="Q18" s="695"/>
      <c r="R18" s="695"/>
      <c r="S18" s="765"/>
      <c r="T18" s="765"/>
      <c r="U18" s="765"/>
      <c r="V18" s="765"/>
      <c r="W18" s="765"/>
      <c r="X18" s="765"/>
      <c r="Y18" s="765"/>
      <c r="Z18" s="765"/>
      <c r="AA18" s="765"/>
      <c r="AB18" s="765"/>
      <c r="AC18" s="765"/>
      <c r="AD18" s="765"/>
      <c r="AE18" s="765"/>
      <c r="AF18" s="765"/>
      <c r="AG18" s="765"/>
      <c r="AH18" s="765"/>
      <c r="AI18" s="765"/>
      <c r="AJ18" s="765"/>
      <c r="AK18" s="765"/>
      <c r="AL18" s="765"/>
      <c r="AM18" s="765"/>
      <c r="AN18" s="765"/>
      <c r="AO18" s="765"/>
      <c r="AP18" s="765"/>
      <c r="AQ18" s="765"/>
      <c r="AR18" s="742"/>
      <c r="AS18" s="742"/>
    </row>
    <row r="19" spans="1:19">
      <c r="A19" s="696"/>
      <c r="B19" s="697"/>
      <c r="C19" s="697"/>
      <c r="D19" s="698" t="s">
        <v>2163</v>
      </c>
      <c r="E19" s="699"/>
      <c r="F19" s="699"/>
      <c r="G19" s="699"/>
      <c r="H19" s="700"/>
      <c r="I19" s="697"/>
      <c r="J19" s="697"/>
      <c r="K19" s="697"/>
      <c r="L19" s="697"/>
      <c r="M19" s="697"/>
      <c r="N19" s="697"/>
      <c r="O19" s="697"/>
      <c r="P19" s="697"/>
      <c r="Q19" s="697"/>
      <c r="R19" s="766"/>
      <c r="S19" s="696"/>
    </row>
    <row r="20" ht="16.35" spans="1:19">
      <c r="A20" s="701" t="s">
        <v>2164</v>
      </c>
      <c r="B20" s="702" t="e">
        <f ca="1">IF(D20="——",S22,S22-F20)</f>
        <v>#REF!</v>
      </c>
      <c r="C20" s="697"/>
      <c r="D20" s="703"/>
      <c r="E20" s="704"/>
      <c r="F20" s="653" t="e">
        <f ca="1">SUMIF(INDIRECT("'"&amp;H20&amp;"'"&amp;"!A:A"),"承租人权益价值",INDIRECT("'"&amp;H20&amp;"'"&amp;"!c:c"))</f>
        <v>#REF!</v>
      </c>
      <c r="G20" s="653" t="s">
        <v>752</v>
      </c>
      <c r="H20" s="705"/>
      <c r="I20" s="697"/>
      <c r="J20" s="697"/>
      <c r="K20" s="697"/>
      <c r="L20" s="697"/>
      <c r="M20" s="697"/>
      <c r="N20" s="697"/>
      <c r="O20" s="697"/>
      <c r="P20" s="697"/>
      <c r="Q20" s="697"/>
      <c r="R20" s="766"/>
      <c r="S20" s="696"/>
    </row>
    <row r="21" ht="15.6" spans="1:19">
      <c r="A21" s="701" t="s">
        <v>2165</v>
      </c>
      <c r="B21" s="702" t="e">
        <f ca="1">ROUND(B20*10000/B22,0)</f>
        <v>#REF!</v>
      </c>
      <c r="C21" s="697"/>
      <c r="D21" s="697"/>
      <c r="E21" s="697"/>
      <c r="F21" s="697"/>
      <c r="G21" s="697"/>
      <c r="H21" s="697"/>
      <c r="I21" s="697"/>
      <c r="J21" s="697"/>
      <c r="K21" s="697"/>
      <c r="L21" s="697"/>
      <c r="M21" s="697"/>
      <c r="N21" s="697"/>
      <c r="O21" s="697"/>
      <c r="P21" s="697"/>
      <c r="Q21" s="697"/>
      <c r="R21" s="766"/>
      <c r="S21" s="696"/>
    </row>
    <row r="22" spans="1:19">
      <c r="A22" s="706" t="s">
        <v>2166</v>
      </c>
      <c r="B22" s="707">
        <f>SUM(B24:B10000)</f>
        <v>100</v>
      </c>
      <c r="C22" s="708" t="s">
        <v>124</v>
      </c>
      <c r="D22" s="709"/>
      <c r="E22" s="709"/>
      <c r="F22" s="709"/>
      <c r="G22" s="709"/>
      <c r="H22" s="709"/>
      <c r="I22" s="709"/>
      <c r="J22" s="709"/>
      <c r="K22" s="709"/>
      <c r="L22" s="709"/>
      <c r="M22" s="709"/>
      <c r="N22" s="709"/>
      <c r="O22" s="709"/>
      <c r="P22" s="709"/>
      <c r="Q22" s="767"/>
      <c r="R22" s="768">
        <f>ROUND(S22*10000/B22,0)</f>
        <v>10000</v>
      </c>
      <c r="S22" s="707">
        <f>SUM(S24:S10000)</f>
        <v>100</v>
      </c>
    </row>
    <row r="23" s="646" customFormat="1" ht="24" spans="1:45">
      <c r="A23" s="710" t="s">
        <v>2167</v>
      </c>
      <c r="B23" s="710" t="s">
        <v>361</v>
      </c>
      <c r="C23" s="710" t="s">
        <v>1679</v>
      </c>
      <c r="D23" s="710" t="str">
        <f>B5</f>
        <v>修正项2</v>
      </c>
      <c r="E23" s="710" t="s">
        <v>1679</v>
      </c>
      <c r="F23" s="710" t="str">
        <f>B7</f>
        <v>修正项3</v>
      </c>
      <c r="G23" s="710" t="s">
        <v>1679</v>
      </c>
      <c r="H23" s="710" t="str">
        <f>B9</f>
        <v>修正项4</v>
      </c>
      <c r="I23" s="710" t="s">
        <v>1679</v>
      </c>
      <c r="J23" s="710" t="str">
        <f>B11</f>
        <v>修正项5</v>
      </c>
      <c r="K23" s="710" t="s">
        <v>1679</v>
      </c>
      <c r="L23" s="710" t="str">
        <f>B13</f>
        <v>修正项6</v>
      </c>
      <c r="M23" s="710" t="s">
        <v>1679</v>
      </c>
      <c r="N23" s="710" t="str">
        <f>B15</f>
        <v>修正项7</v>
      </c>
      <c r="O23" s="710" t="s">
        <v>1679</v>
      </c>
      <c r="P23" s="710" t="str">
        <f>B17</f>
        <v>楼层</v>
      </c>
      <c r="Q23" s="710" t="s">
        <v>1679</v>
      </c>
      <c r="R23" s="769" t="s">
        <v>2168</v>
      </c>
      <c r="S23" s="710" t="s">
        <v>2169</v>
      </c>
      <c r="T23" s="770"/>
      <c r="U23" s="770"/>
      <c r="V23" s="770"/>
      <c r="W23" s="770"/>
      <c r="X23" s="770"/>
      <c r="Y23" s="770"/>
      <c r="Z23" s="770"/>
      <c r="AA23" s="770"/>
      <c r="AB23" s="770"/>
      <c r="AC23" s="770"/>
      <c r="AD23" s="770"/>
      <c r="AE23" s="770"/>
      <c r="AF23" s="770"/>
      <c r="AG23" s="770"/>
      <c r="AH23" s="770"/>
      <c r="AI23" s="770"/>
      <c r="AJ23" s="770"/>
      <c r="AK23" s="770"/>
      <c r="AL23" s="770"/>
      <c r="AM23" s="770"/>
      <c r="AN23" s="770"/>
      <c r="AO23" s="770"/>
      <c r="AP23" s="770"/>
      <c r="AQ23" s="770"/>
      <c r="AR23" s="770"/>
      <c r="AS23" s="770"/>
    </row>
    <row r="24" s="647" customFormat="1" spans="1:45">
      <c r="A24" s="711" t="s">
        <v>2170</v>
      </c>
      <c r="B24" s="711">
        <v>100</v>
      </c>
      <c r="C24" s="712">
        <v>1</v>
      </c>
      <c r="D24" s="713"/>
      <c r="E24" s="712">
        <v>1</v>
      </c>
      <c r="F24" s="713"/>
      <c r="G24" s="712">
        <v>1</v>
      </c>
      <c r="H24" s="713"/>
      <c r="I24" s="712">
        <v>1</v>
      </c>
      <c r="J24" s="713"/>
      <c r="K24" s="712">
        <v>1</v>
      </c>
      <c r="L24" s="713"/>
      <c r="M24" s="712">
        <v>1</v>
      </c>
      <c r="N24" s="713"/>
      <c r="O24" s="712">
        <v>1</v>
      </c>
      <c r="P24" s="713"/>
      <c r="Q24" s="712">
        <v>1</v>
      </c>
      <c r="R24" s="771">
        <v>10000</v>
      </c>
      <c r="S24" s="772">
        <f t="shared" ref="S24:S54" si="11">ROUND(R24*B24/10000,0)</f>
        <v>100</v>
      </c>
      <c r="T24" s="773"/>
      <c r="U24" s="773"/>
      <c r="V24" s="773"/>
      <c r="W24" s="773"/>
      <c r="X24" s="773"/>
      <c r="Y24" s="773"/>
      <c r="Z24" s="773"/>
      <c r="AA24" s="773"/>
      <c r="AB24" s="773"/>
      <c r="AC24" s="773"/>
      <c r="AD24" s="773"/>
      <c r="AE24" s="773"/>
      <c r="AF24" s="773"/>
      <c r="AG24" s="773"/>
      <c r="AH24" s="773"/>
      <c r="AI24" s="773"/>
      <c r="AJ24" s="773"/>
      <c r="AK24" s="773"/>
      <c r="AL24" s="773"/>
      <c r="AM24" s="773"/>
      <c r="AN24" s="773"/>
      <c r="AO24" s="773"/>
      <c r="AP24" s="773"/>
      <c r="AQ24" s="773"/>
      <c r="AR24" s="773"/>
      <c r="AS24" s="773"/>
    </row>
    <row r="25" spans="1:19">
      <c r="A25" s="714"/>
      <c r="B25" s="715"/>
      <c r="C25" s="707">
        <f>IF(B25="",1,(LOOKUP(B25,$3:$3,$4:$4)-LOOKUP($B$24,$3:$3,$4:$4)+100)/100)</f>
        <v>1</v>
      </c>
      <c r="D25" s="716"/>
      <c r="E25" s="707">
        <f>(SUMIF($5:$5,D25,$6:$6)-SUMIF($5:$5,$D$24,$6:$6)+100)/100</f>
        <v>1</v>
      </c>
      <c r="F25" s="716"/>
      <c r="G25" s="707">
        <f>(SUMIF($7:$7,F25,$8:$8)-SUMIF($7:$7,$F$24,$8:$8)+100)/100</f>
        <v>1</v>
      </c>
      <c r="H25" s="716"/>
      <c r="I25" s="707">
        <f>(SUMIF($9:$9,H25,$10:$10)-SUMIF($9:$9,$H$24,$10:$10)+100)/100</f>
        <v>1</v>
      </c>
      <c r="J25" s="716"/>
      <c r="K25" s="707">
        <f>(SUMIF($11:$11,J25,$12:$12)-SUMIF($11:$11,$J$24,$12:$12)+100)/100</f>
        <v>1</v>
      </c>
      <c r="L25" s="716"/>
      <c r="M25" s="707">
        <f>(SUMIF($13:$13,L25,$14:$14)-SUMIF($13:$13,$L$24,$14:$14)+100)/100</f>
        <v>1</v>
      </c>
      <c r="N25" s="716"/>
      <c r="O25" s="707">
        <f>(SUMIF($15:$15,N25,$16:$16)-SUMIF($15:$15,$N$24,$16:$16)+100)/100</f>
        <v>1</v>
      </c>
      <c r="P25" s="716"/>
      <c r="Q25" s="707">
        <f>(SUMIF($17:$17,P25,$18:$18)-SUMIF($17:$17,$P$24,$18:$18)+100)/100</f>
        <v>1</v>
      </c>
      <c r="R25" s="768">
        <f>IF(B25="",0,ROUND($R$24*C25*E25*G25*I25*K25*M25*O25*Q25,0))</f>
        <v>0</v>
      </c>
      <c r="S25" s="706">
        <f t="shared" si="11"/>
        <v>0</v>
      </c>
    </row>
    <row r="26" spans="1:19">
      <c r="A26" s="714"/>
      <c r="B26" s="715"/>
      <c r="C26" s="707">
        <f t="shared" ref="C26:C89" si="12">IF(B26="",1,(LOOKUP(B26,$3:$3,$4:$4)-LOOKUP($B$24,$3:$3,$4:$4)+100)/100)</f>
        <v>1</v>
      </c>
      <c r="D26" s="716"/>
      <c r="E26" s="707">
        <f t="shared" ref="E26:E89" si="13">(SUMIF($5:$5,D26,$6:$6)-SUMIF($5:$5,$D$24,$6:$6)+100)/100</f>
        <v>1</v>
      </c>
      <c r="F26" s="716"/>
      <c r="G26" s="707">
        <f t="shared" ref="G26:G89" si="14">(SUMIF($7:$7,F26,$8:$8)-SUMIF($7:$7,$F$24,$8:$8)+100)/100</f>
        <v>1</v>
      </c>
      <c r="H26" s="716"/>
      <c r="I26" s="707">
        <f t="shared" ref="I26:I89" si="15">(SUMIF($9:$9,H26,$10:$10)-SUMIF($9:$9,$H$24,$10:$10)+100)/100</f>
        <v>1</v>
      </c>
      <c r="J26" s="716"/>
      <c r="K26" s="707">
        <f t="shared" ref="K26:K89" si="16">(SUMIF($11:$11,J26,$12:$12)-SUMIF($11:$11,$J$24,$12:$12)+100)/100</f>
        <v>1</v>
      </c>
      <c r="L26" s="716"/>
      <c r="M26" s="707">
        <f t="shared" ref="M26:M89" si="17">(SUMIF($13:$13,L26,$14:$14)-SUMIF($13:$13,$L$24,$14:$14)+100)/100</f>
        <v>1</v>
      </c>
      <c r="N26" s="716"/>
      <c r="O26" s="707">
        <f t="shared" ref="O26:O89" si="18">(SUMIF($15:$15,N26,$16:$16)-SUMIF($15:$15,$N$24,$16:$16)+100)/100</f>
        <v>1</v>
      </c>
      <c r="P26" s="716"/>
      <c r="Q26" s="707">
        <f t="shared" ref="Q26:Q89" si="19">(SUMIF($17:$17,P26,$18:$18)-SUMIF($17:$17,$P$24,$18:$18)+100)/100</f>
        <v>1</v>
      </c>
      <c r="R26" s="768">
        <f t="shared" ref="R26:R89" si="20">IF(B26="",0,ROUND($R$24*C26*E26*G26*I26*K26*M26*O26*Q26,0))</f>
        <v>0</v>
      </c>
      <c r="S26" s="706">
        <f t="shared" si="11"/>
        <v>0</v>
      </c>
    </row>
    <row r="27" spans="1:19">
      <c r="A27" s="714"/>
      <c r="B27" s="715"/>
      <c r="C27" s="707">
        <f t="shared" si="12"/>
        <v>1</v>
      </c>
      <c r="D27" s="716"/>
      <c r="E27" s="707">
        <f t="shared" si="13"/>
        <v>1</v>
      </c>
      <c r="F27" s="716"/>
      <c r="G27" s="707">
        <f t="shared" si="14"/>
        <v>1</v>
      </c>
      <c r="H27" s="716"/>
      <c r="I27" s="707">
        <f t="shared" si="15"/>
        <v>1</v>
      </c>
      <c r="J27" s="716"/>
      <c r="K27" s="707">
        <f t="shared" si="16"/>
        <v>1</v>
      </c>
      <c r="L27" s="716"/>
      <c r="M27" s="707">
        <f t="shared" si="17"/>
        <v>1</v>
      </c>
      <c r="N27" s="716"/>
      <c r="O27" s="707">
        <f t="shared" si="18"/>
        <v>1</v>
      </c>
      <c r="P27" s="716"/>
      <c r="Q27" s="707">
        <f t="shared" si="19"/>
        <v>1</v>
      </c>
      <c r="R27" s="768">
        <f t="shared" si="20"/>
        <v>0</v>
      </c>
      <c r="S27" s="706">
        <f t="shared" si="11"/>
        <v>0</v>
      </c>
    </row>
    <row r="28" spans="1:19">
      <c r="A28" s="714"/>
      <c r="B28" s="715"/>
      <c r="C28" s="707">
        <f t="shared" si="12"/>
        <v>1</v>
      </c>
      <c r="D28" s="716"/>
      <c r="E28" s="707">
        <f t="shared" si="13"/>
        <v>1</v>
      </c>
      <c r="F28" s="716"/>
      <c r="G28" s="707">
        <f t="shared" si="14"/>
        <v>1</v>
      </c>
      <c r="H28" s="716"/>
      <c r="I28" s="707">
        <f t="shared" si="15"/>
        <v>1</v>
      </c>
      <c r="J28" s="716"/>
      <c r="K28" s="707">
        <f t="shared" si="16"/>
        <v>1</v>
      </c>
      <c r="L28" s="716"/>
      <c r="M28" s="707">
        <f t="shared" si="17"/>
        <v>1</v>
      </c>
      <c r="N28" s="716"/>
      <c r="O28" s="707">
        <f t="shared" si="18"/>
        <v>1</v>
      </c>
      <c r="P28" s="716"/>
      <c r="Q28" s="707">
        <f t="shared" si="19"/>
        <v>1</v>
      </c>
      <c r="R28" s="768">
        <f t="shared" si="20"/>
        <v>0</v>
      </c>
      <c r="S28" s="706">
        <f t="shared" si="11"/>
        <v>0</v>
      </c>
    </row>
    <row r="29" spans="1:19">
      <c r="A29" s="714"/>
      <c r="B29" s="715"/>
      <c r="C29" s="707">
        <f t="shared" si="12"/>
        <v>1</v>
      </c>
      <c r="D29" s="716"/>
      <c r="E29" s="707">
        <f t="shared" si="13"/>
        <v>1</v>
      </c>
      <c r="F29" s="716"/>
      <c r="G29" s="707">
        <f t="shared" si="14"/>
        <v>1</v>
      </c>
      <c r="H29" s="716"/>
      <c r="I29" s="707">
        <f t="shared" si="15"/>
        <v>1</v>
      </c>
      <c r="J29" s="716"/>
      <c r="K29" s="707">
        <f t="shared" si="16"/>
        <v>1</v>
      </c>
      <c r="L29" s="716"/>
      <c r="M29" s="707">
        <f t="shared" si="17"/>
        <v>1</v>
      </c>
      <c r="N29" s="716"/>
      <c r="O29" s="707">
        <f t="shared" si="18"/>
        <v>1</v>
      </c>
      <c r="P29" s="716"/>
      <c r="Q29" s="707">
        <f t="shared" si="19"/>
        <v>1</v>
      </c>
      <c r="R29" s="768">
        <f t="shared" si="20"/>
        <v>0</v>
      </c>
      <c r="S29" s="706">
        <f t="shared" si="11"/>
        <v>0</v>
      </c>
    </row>
    <row r="30" spans="1:19">
      <c r="A30" s="714"/>
      <c r="B30" s="715"/>
      <c r="C30" s="707">
        <f t="shared" si="12"/>
        <v>1</v>
      </c>
      <c r="D30" s="716"/>
      <c r="E30" s="707">
        <f t="shared" si="13"/>
        <v>1</v>
      </c>
      <c r="F30" s="716"/>
      <c r="G30" s="707">
        <f t="shared" si="14"/>
        <v>1</v>
      </c>
      <c r="H30" s="716"/>
      <c r="I30" s="707">
        <f t="shared" si="15"/>
        <v>1</v>
      </c>
      <c r="J30" s="716"/>
      <c r="K30" s="707">
        <f t="shared" si="16"/>
        <v>1</v>
      </c>
      <c r="L30" s="716"/>
      <c r="M30" s="707">
        <f t="shared" si="17"/>
        <v>1</v>
      </c>
      <c r="N30" s="716"/>
      <c r="O30" s="707">
        <f t="shared" si="18"/>
        <v>1</v>
      </c>
      <c r="P30" s="716"/>
      <c r="Q30" s="707">
        <f t="shared" si="19"/>
        <v>1</v>
      </c>
      <c r="R30" s="768">
        <f t="shared" si="20"/>
        <v>0</v>
      </c>
      <c r="S30" s="706">
        <f t="shared" si="11"/>
        <v>0</v>
      </c>
    </row>
    <row r="31" spans="1:19">
      <c r="A31" s="714"/>
      <c r="B31" s="715"/>
      <c r="C31" s="707">
        <f t="shared" si="12"/>
        <v>1</v>
      </c>
      <c r="D31" s="716"/>
      <c r="E31" s="707">
        <f t="shared" si="13"/>
        <v>1</v>
      </c>
      <c r="F31" s="716"/>
      <c r="G31" s="707">
        <f t="shared" si="14"/>
        <v>1</v>
      </c>
      <c r="H31" s="716"/>
      <c r="I31" s="707">
        <f t="shared" si="15"/>
        <v>1</v>
      </c>
      <c r="J31" s="716"/>
      <c r="K31" s="707">
        <f t="shared" si="16"/>
        <v>1</v>
      </c>
      <c r="L31" s="716"/>
      <c r="M31" s="707">
        <f t="shared" si="17"/>
        <v>1</v>
      </c>
      <c r="N31" s="716"/>
      <c r="O31" s="707">
        <f t="shared" si="18"/>
        <v>1</v>
      </c>
      <c r="P31" s="716"/>
      <c r="Q31" s="707">
        <f t="shared" si="19"/>
        <v>1</v>
      </c>
      <c r="R31" s="768">
        <f t="shared" si="20"/>
        <v>0</v>
      </c>
      <c r="S31" s="706">
        <f t="shared" si="11"/>
        <v>0</v>
      </c>
    </row>
    <row r="32" spans="1:19">
      <c r="A32" s="714"/>
      <c r="B32" s="715"/>
      <c r="C32" s="707">
        <f t="shared" si="12"/>
        <v>1</v>
      </c>
      <c r="D32" s="716"/>
      <c r="E32" s="707">
        <f t="shared" si="13"/>
        <v>1</v>
      </c>
      <c r="F32" s="716"/>
      <c r="G32" s="707">
        <f t="shared" si="14"/>
        <v>1</v>
      </c>
      <c r="H32" s="716"/>
      <c r="I32" s="707">
        <f t="shared" si="15"/>
        <v>1</v>
      </c>
      <c r="J32" s="716"/>
      <c r="K32" s="707">
        <f t="shared" si="16"/>
        <v>1</v>
      </c>
      <c r="L32" s="716"/>
      <c r="M32" s="707">
        <f t="shared" si="17"/>
        <v>1</v>
      </c>
      <c r="N32" s="716"/>
      <c r="O32" s="707">
        <f t="shared" si="18"/>
        <v>1</v>
      </c>
      <c r="P32" s="716"/>
      <c r="Q32" s="707">
        <f t="shared" si="19"/>
        <v>1</v>
      </c>
      <c r="R32" s="768">
        <f t="shared" si="20"/>
        <v>0</v>
      </c>
      <c r="S32" s="706">
        <f t="shared" si="11"/>
        <v>0</v>
      </c>
    </row>
    <row r="33" spans="1:19">
      <c r="A33" s="714"/>
      <c r="B33" s="715"/>
      <c r="C33" s="707">
        <f t="shared" si="12"/>
        <v>1</v>
      </c>
      <c r="D33" s="716"/>
      <c r="E33" s="707">
        <f t="shared" si="13"/>
        <v>1</v>
      </c>
      <c r="F33" s="716"/>
      <c r="G33" s="707">
        <f t="shared" si="14"/>
        <v>1</v>
      </c>
      <c r="H33" s="716"/>
      <c r="I33" s="707">
        <f t="shared" si="15"/>
        <v>1</v>
      </c>
      <c r="J33" s="716"/>
      <c r="K33" s="707">
        <f t="shared" si="16"/>
        <v>1</v>
      </c>
      <c r="L33" s="716"/>
      <c r="M33" s="707">
        <f t="shared" si="17"/>
        <v>1</v>
      </c>
      <c r="N33" s="716"/>
      <c r="O33" s="707">
        <f t="shared" si="18"/>
        <v>1</v>
      </c>
      <c r="P33" s="716"/>
      <c r="Q33" s="707">
        <f t="shared" si="19"/>
        <v>1</v>
      </c>
      <c r="R33" s="768">
        <f t="shared" si="20"/>
        <v>0</v>
      </c>
      <c r="S33" s="706">
        <f t="shared" si="11"/>
        <v>0</v>
      </c>
    </row>
    <row r="34" spans="1:19">
      <c r="A34" s="714"/>
      <c r="B34" s="715"/>
      <c r="C34" s="707">
        <f t="shared" si="12"/>
        <v>1</v>
      </c>
      <c r="D34" s="716"/>
      <c r="E34" s="707">
        <f t="shared" si="13"/>
        <v>1</v>
      </c>
      <c r="F34" s="716"/>
      <c r="G34" s="707">
        <f t="shared" si="14"/>
        <v>1</v>
      </c>
      <c r="H34" s="716"/>
      <c r="I34" s="707">
        <f t="shared" si="15"/>
        <v>1</v>
      </c>
      <c r="J34" s="716"/>
      <c r="K34" s="707">
        <f t="shared" si="16"/>
        <v>1</v>
      </c>
      <c r="L34" s="716"/>
      <c r="M34" s="707">
        <f t="shared" si="17"/>
        <v>1</v>
      </c>
      <c r="N34" s="716"/>
      <c r="O34" s="707">
        <f t="shared" si="18"/>
        <v>1</v>
      </c>
      <c r="P34" s="716"/>
      <c r="Q34" s="707">
        <f t="shared" si="19"/>
        <v>1</v>
      </c>
      <c r="R34" s="768">
        <f t="shared" si="20"/>
        <v>0</v>
      </c>
      <c r="S34" s="706">
        <f t="shared" si="11"/>
        <v>0</v>
      </c>
    </row>
    <row r="35" spans="1:19">
      <c r="A35" s="714"/>
      <c r="B35" s="715"/>
      <c r="C35" s="707">
        <f t="shared" si="12"/>
        <v>1</v>
      </c>
      <c r="D35" s="716"/>
      <c r="E35" s="707">
        <f t="shared" si="13"/>
        <v>1</v>
      </c>
      <c r="F35" s="716"/>
      <c r="G35" s="707">
        <f t="shared" si="14"/>
        <v>1</v>
      </c>
      <c r="H35" s="716"/>
      <c r="I35" s="707">
        <f t="shared" si="15"/>
        <v>1</v>
      </c>
      <c r="J35" s="716"/>
      <c r="K35" s="707">
        <f t="shared" si="16"/>
        <v>1</v>
      </c>
      <c r="L35" s="716"/>
      <c r="M35" s="707">
        <f t="shared" si="17"/>
        <v>1</v>
      </c>
      <c r="N35" s="716"/>
      <c r="O35" s="707">
        <f t="shared" si="18"/>
        <v>1</v>
      </c>
      <c r="P35" s="716"/>
      <c r="Q35" s="707">
        <f t="shared" si="19"/>
        <v>1</v>
      </c>
      <c r="R35" s="768">
        <f t="shared" si="20"/>
        <v>0</v>
      </c>
      <c r="S35" s="706">
        <f t="shared" si="11"/>
        <v>0</v>
      </c>
    </row>
    <row r="36" spans="1:19">
      <c r="A36" s="714"/>
      <c r="B36" s="715"/>
      <c r="C36" s="707">
        <f t="shared" si="12"/>
        <v>1</v>
      </c>
      <c r="D36" s="716"/>
      <c r="E36" s="707">
        <f t="shared" si="13"/>
        <v>1</v>
      </c>
      <c r="F36" s="716"/>
      <c r="G36" s="707">
        <f t="shared" si="14"/>
        <v>1</v>
      </c>
      <c r="H36" s="716"/>
      <c r="I36" s="707">
        <f t="shared" si="15"/>
        <v>1</v>
      </c>
      <c r="J36" s="716"/>
      <c r="K36" s="707">
        <f t="shared" si="16"/>
        <v>1</v>
      </c>
      <c r="L36" s="716"/>
      <c r="M36" s="707">
        <f t="shared" si="17"/>
        <v>1</v>
      </c>
      <c r="N36" s="716"/>
      <c r="O36" s="707">
        <f t="shared" si="18"/>
        <v>1</v>
      </c>
      <c r="P36" s="716"/>
      <c r="Q36" s="707">
        <f t="shared" si="19"/>
        <v>1</v>
      </c>
      <c r="R36" s="768">
        <f t="shared" si="20"/>
        <v>0</v>
      </c>
      <c r="S36" s="706">
        <f t="shared" si="11"/>
        <v>0</v>
      </c>
    </row>
    <row r="37" spans="1:19">
      <c r="A37" s="714"/>
      <c r="B37" s="715"/>
      <c r="C37" s="707">
        <f t="shared" si="12"/>
        <v>1</v>
      </c>
      <c r="D37" s="716"/>
      <c r="E37" s="707">
        <f t="shared" si="13"/>
        <v>1</v>
      </c>
      <c r="F37" s="716"/>
      <c r="G37" s="707">
        <f t="shared" si="14"/>
        <v>1</v>
      </c>
      <c r="H37" s="716"/>
      <c r="I37" s="707">
        <f t="shared" si="15"/>
        <v>1</v>
      </c>
      <c r="J37" s="716"/>
      <c r="K37" s="707">
        <f t="shared" si="16"/>
        <v>1</v>
      </c>
      <c r="L37" s="716"/>
      <c r="M37" s="707">
        <f t="shared" si="17"/>
        <v>1</v>
      </c>
      <c r="N37" s="716"/>
      <c r="O37" s="707">
        <f t="shared" si="18"/>
        <v>1</v>
      </c>
      <c r="P37" s="716"/>
      <c r="Q37" s="707">
        <f t="shared" si="19"/>
        <v>1</v>
      </c>
      <c r="R37" s="768">
        <f t="shared" si="20"/>
        <v>0</v>
      </c>
      <c r="S37" s="706">
        <f t="shared" si="11"/>
        <v>0</v>
      </c>
    </row>
    <row r="38" spans="1:19">
      <c r="A38" s="714"/>
      <c r="B38" s="715"/>
      <c r="C38" s="707">
        <f t="shared" si="12"/>
        <v>1</v>
      </c>
      <c r="D38" s="716"/>
      <c r="E38" s="707">
        <f t="shared" si="13"/>
        <v>1</v>
      </c>
      <c r="F38" s="716"/>
      <c r="G38" s="707">
        <f t="shared" si="14"/>
        <v>1</v>
      </c>
      <c r="H38" s="716"/>
      <c r="I38" s="707">
        <f t="shared" si="15"/>
        <v>1</v>
      </c>
      <c r="J38" s="716"/>
      <c r="K38" s="707">
        <f t="shared" si="16"/>
        <v>1</v>
      </c>
      <c r="L38" s="716"/>
      <c r="M38" s="707">
        <f t="shared" si="17"/>
        <v>1</v>
      </c>
      <c r="N38" s="716"/>
      <c r="O38" s="707">
        <f t="shared" si="18"/>
        <v>1</v>
      </c>
      <c r="P38" s="716"/>
      <c r="Q38" s="707">
        <f t="shared" si="19"/>
        <v>1</v>
      </c>
      <c r="R38" s="768">
        <f t="shared" si="20"/>
        <v>0</v>
      </c>
      <c r="S38" s="706">
        <f t="shared" si="11"/>
        <v>0</v>
      </c>
    </row>
    <row r="39" spans="1:19">
      <c r="A39" s="714"/>
      <c r="B39" s="715"/>
      <c r="C39" s="707">
        <f t="shared" si="12"/>
        <v>1</v>
      </c>
      <c r="D39" s="716"/>
      <c r="E39" s="707">
        <f t="shared" si="13"/>
        <v>1</v>
      </c>
      <c r="F39" s="716"/>
      <c r="G39" s="707">
        <f t="shared" si="14"/>
        <v>1</v>
      </c>
      <c r="H39" s="716"/>
      <c r="I39" s="707">
        <f t="shared" si="15"/>
        <v>1</v>
      </c>
      <c r="J39" s="716"/>
      <c r="K39" s="707">
        <f t="shared" si="16"/>
        <v>1</v>
      </c>
      <c r="L39" s="716"/>
      <c r="M39" s="707">
        <f t="shared" si="17"/>
        <v>1</v>
      </c>
      <c r="N39" s="716"/>
      <c r="O39" s="707">
        <f t="shared" si="18"/>
        <v>1</v>
      </c>
      <c r="P39" s="716"/>
      <c r="Q39" s="707">
        <f t="shared" si="19"/>
        <v>1</v>
      </c>
      <c r="R39" s="768">
        <f t="shared" si="20"/>
        <v>0</v>
      </c>
      <c r="S39" s="706">
        <f t="shared" si="11"/>
        <v>0</v>
      </c>
    </row>
    <row r="40" spans="1:19">
      <c r="A40" s="714"/>
      <c r="B40" s="715"/>
      <c r="C40" s="707">
        <f t="shared" si="12"/>
        <v>1</v>
      </c>
      <c r="D40" s="716"/>
      <c r="E40" s="707">
        <f t="shared" si="13"/>
        <v>1</v>
      </c>
      <c r="F40" s="716"/>
      <c r="G40" s="707">
        <f t="shared" si="14"/>
        <v>1</v>
      </c>
      <c r="H40" s="716"/>
      <c r="I40" s="707">
        <f t="shared" si="15"/>
        <v>1</v>
      </c>
      <c r="J40" s="716"/>
      <c r="K40" s="707">
        <f t="shared" si="16"/>
        <v>1</v>
      </c>
      <c r="L40" s="716"/>
      <c r="M40" s="707">
        <f t="shared" si="17"/>
        <v>1</v>
      </c>
      <c r="N40" s="716"/>
      <c r="O40" s="707">
        <f t="shared" si="18"/>
        <v>1</v>
      </c>
      <c r="P40" s="716"/>
      <c r="Q40" s="707">
        <f t="shared" si="19"/>
        <v>1</v>
      </c>
      <c r="R40" s="768">
        <f t="shared" si="20"/>
        <v>0</v>
      </c>
      <c r="S40" s="706">
        <f t="shared" si="11"/>
        <v>0</v>
      </c>
    </row>
    <row r="41" spans="1:19">
      <c r="A41" s="714"/>
      <c r="B41" s="715"/>
      <c r="C41" s="707">
        <f t="shared" si="12"/>
        <v>1</v>
      </c>
      <c r="D41" s="716"/>
      <c r="E41" s="707">
        <f t="shared" si="13"/>
        <v>1</v>
      </c>
      <c r="F41" s="716"/>
      <c r="G41" s="707">
        <f t="shared" si="14"/>
        <v>1</v>
      </c>
      <c r="H41" s="716"/>
      <c r="I41" s="707">
        <f t="shared" si="15"/>
        <v>1</v>
      </c>
      <c r="J41" s="716"/>
      <c r="K41" s="707">
        <f t="shared" si="16"/>
        <v>1</v>
      </c>
      <c r="L41" s="716"/>
      <c r="M41" s="707">
        <f t="shared" si="17"/>
        <v>1</v>
      </c>
      <c r="N41" s="716"/>
      <c r="O41" s="707">
        <f t="shared" si="18"/>
        <v>1</v>
      </c>
      <c r="P41" s="716"/>
      <c r="Q41" s="707">
        <f t="shared" si="19"/>
        <v>1</v>
      </c>
      <c r="R41" s="768">
        <f t="shared" si="20"/>
        <v>0</v>
      </c>
      <c r="S41" s="706">
        <f t="shared" si="11"/>
        <v>0</v>
      </c>
    </row>
    <row r="42" spans="1:19">
      <c r="A42" s="714"/>
      <c r="B42" s="715"/>
      <c r="C42" s="707">
        <f t="shared" si="12"/>
        <v>1</v>
      </c>
      <c r="D42" s="716"/>
      <c r="E42" s="707">
        <f t="shared" si="13"/>
        <v>1</v>
      </c>
      <c r="F42" s="716"/>
      <c r="G42" s="707">
        <f t="shared" si="14"/>
        <v>1</v>
      </c>
      <c r="H42" s="716"/>
      <c r="I42" s="707">
        <f t="shared" si="15"/>
        <v>1</v>
      </c>
      <c r="J42" s="716"/>
      <c r="K42" s="707">
        <f t="shared" si="16"/>
        <v>1</v>
      </c>
      <c r="L42" s="716"/>
      <c r="M42" s="707">
        <f t="shared" si="17"/>
        <v>1</v>
      </c>
      <c r="N42" s="716"/>
      <c r="O42" s="707">
        <f t="shared" si="18"/>
        <v>1</v>
      </c>
      <c r="P42" s="716"/>
      <c r="Q42" s="707">
        <f t="shared" si="19"/>
        <v>1</v>
      </c>
      <c r="R42" s="768">
        <f t="shared" si="20"/>
        <v>0</v>
      </c>
      <c r="S42" s="706">
        <f t="shared" si="11"/>
        <v>0</v>
      </c>
    </row>
    <row r="43" spans="1:19">
      <c r="A43" s="714"/>
      <c r="B43" s="715"/>
      <c r="C43" s="707">
        <f t="shared" si="12"/>
        <v>1</v>
      </c>
      <c r="D43" s="716"/>
      <c r="E43" s="707">
        <f t="shared" si="13"/>
        <v>1</v>
      </c>
      <c r="F43" s="716"/>
      <c r="G43" s="707">
        <f t="shared" si="14"/>
        <v>1</v>
      </c>
      <c r="H43" s="716"/>
      <c r="I43" s="707">
        <f t="shared" si="15"/>
        <v>1</v>
      </c>
      <c r="J43" s="716"/>
      <c r="K43" s="707">
        <f t="shared" si="16"/>
        <v>1</v>
      </c>
      <c r="L43" s="716"/>
      <c r="M43" s="707">
        <f t="shared" si="17"/>
        <v>1</v>
      </c>
      <c r="N43" s="716"/>
      <c r="O43" s="707">
        <f t="shared" si="18"/>
        <v>1</v>
      </c>
      <c r="P43" s="716"/>
      <c r="Q43" s="707">
        <f t="shared" si="19"/>
        <v>1</v>
      </c>
      <c r="R43" s="768">
        <f t="shared" si="20"/>
        <v>0</v>
      </c>
      <c r="S43" s="706">
        <f t="shared" si="11"/>
        <v>0</v>
      </c>
    </row>
    <row r="44" spans="1:19">
      <c r="A44" s="714"/>
      <c r="B44" s="715"/>
      <c r="C44" s="707">
        <f t="shared" si="12"/>
        <v>1</v>
      </c>
      <c r="D44" s="716"/>
      <c r="E44" s="707">
        <f t="shared" si="13"/>
        <v>1</v>
      </c>
      <c r="F44" s="716"/>
      <c r="G44" s="707">
        <f t="shared" si="14"/>
        <v>1</v>
      </c>
      <c r="H44" s="716"/>
      <c r="I44" s="707">
        <f t="shared" si="15"/>
        <v>1</v>
      </c>
      <c r="J44" s="716"/>
      <c r="K44" s="707">
        <f t="shared" si="16"/>
        <v>1</v>
      </c>
      <c r="L44" s="716"/>
      <c r="M44" s="707">
        <f t="shared" si="17"/>
        <v>1</v>
      </c>
      <c r="N44" s="716"/>
      <c r="O44" s="707">
        <f t="shared" si="18"/>
        <v>1</v>
      </c>
      <c r="P44" s="716"/>
      <c r="Q44" s="707">
        <f t="shared" si="19"/>
        <v>1</v>
      </c>
      <c r="R44" s="768">
        <f t="shared" si="20"/>
        <v>0</v>
      </c>
      <c r="S44" s="706">
        <f t="shared" si="11"/>
        <v>0</v>
      </c>
    </row>
    <row r="45" spans="1:19">
      <c r="A45" s="714"/>
      <c r="B45" s="715"/>
      <c r="C45" s="707">
        <f t="shared" si="12"/>
        <v>1</v>
      </c>
      <c r="D45" s="716"/>
      <c r="E45" s="707">
        <f t="shared" si="13"/>
        <v>1</v>
      </c>
      <c r="F45" s="716"/>
      <c r="G45" s="707">
        <f t="shared" si="14"/>
        <v>1</v>
      </c>
      <c r="H45" s="716"/>
      <c r="I45" s="707">
        <f t="shared" si="15"/>
        <v>1</v>
      </c>
      <c r="J45" s="716"/>
      <c r="K45" s="707">
        <f t="shared" si="16"/>
        <v>1</v>
      </c>
      <c r="L45" s="716"/>
      <c r="M45" s="707">
        <f t="shared" si="17"/>
        <v>1</v>
      </c>
      <c r="N45" s="716"/>
      <c r="O45" s="707">
        <f t="shared" si="18"/>
        <v>1</v>
      </c>
      <c r="P45" s="716"/>
      <c r="Q45" s="707">
        <f t="shared" si="19"/>
        <v>1</v>
      </c>
      <c r="R45" s="768">
        <f t="shared" si="20"/>
        <v>0</v>
      </c>
      <c r="S45" s="706">
        <f t="shared" si="11"/>
        <v>0</v>
      </c>
    </row>
    <row r="46" spans="1:19">
      <c r="A46" s="714"/>
      <c r="B46" s="715"/>
      <c r="C46" s="707">
        <f t="shared" si="12"/>
        <v>1</v>
      </c>
      <c r="D46" s="716"/>
      <c r="E46" s="707">
        <f t="shared" si="13"/>
        <v>1</v>
      </c>
      <c r="F46" s="716"/>
      <c r="G46" s="707">
        <f t="shared" si="14"/>
        <v>1</v>
      </c>
      <c r="H46" s="716"/>
      <c r="I46" s="707">
        <f t="shared" si="15"/>
        <v>1</v>
      </c>
      <c r="J46" s="716"/>
      <c r="K46" s="707">
        <f t="shared" si="16"/>
        <v>1</v>
      </c>
      <c r="L46" s="716"/>
      <c r="M46" s="707">
        <f t="shared" si="17"/>
        <v>1</v>
      </c>
      <c r="N46" s="716"/>
      <c r="O46" s="707">
        <f t="shared" si="18"/>
        <v>1</v>
      </c>
      <c r="P46" s="716"/>
      <c r="Q46" s="707">
        <f t="shared" si="19"/>
        <v>1</v>
      </c>
      <c r="R46" s="768">
        <f t="shared" si="20"/>
        <v>0</v>
      </c>
      <c r="S46" s="706">
        <f t="shared" si="11"/>
        <v>0</v>
      </c>
    </row>
    <row r="47" spans="1:19">
      <c r="A47" s="714"/>
      <c r="B47" s="715"/>
      <c r="C47" s="707">
        <f t="shared" si="12"/>
        <v>1</v>
      </c>
      <c r="D47" s="716"/>
      <c r="E47" s="707">
        <f t="shared" si="13"/>
        <v>1</v>
      </c>
      <c r="F47" s="716"/>
      <c r="G47" s="707">
        <f t="shared" si="14"/>
        <v>1</v>
      </c>
      <c r="H47" s="716"/>
      <c r="I47" s="707">
        <f t="shared" si="15"/>
        <v>1</v>
      </c>
      <c r="J47" s="716"/>
      <c r="K47" s="707">
        <f t="shared" si="16"/>
        <v>1</v>
      </c>
      <c r="L47" s="716"/>
      <c r="M47" s="707">
        <f t="shared" si="17"/>
        <v>1</v>
      </c>
      <c r="N47" s="716"/>
      <c r="O47" s="707">
        <f t="shared" si="18"/>
        <v>1</v>
      </c>
      <c r="P47" s="716"/>
      <c r="Q47" s="707">
        <f t="shared" si="19"/>
        <v>1</v>
      </c>
      <c r="R47" s="768">
        <f t="shared" si="20"/>
        <v>0</v>
      </c>
      <c r="S47" s="706">
        <f t="shared" si="11"/>
        <v>0</v>
      </c>
    </row>
    <row r="48" spans="1:19">
      <c r="A48" s="714"/>
      <c r="B48" s="715"/>
      <c r="C48" s="707">
        <f t="shared" si="12"/>
        <v>1</v>
      </c>
      <c r="D48" s="716"/>
      <c r="E48" s="707">
        <f t="shared" si="13"/>
        <v>1</v>
      </c>
      <c r="F48" s="716"/>
      <c r="G48" s="707">
        <f t="shared" si="14"/>
        <v>1</v>
      </c>
      <c r="H48" s="716"/>
      <c r="I48" s="707">
        <f t="shared" si="15"/>
        <v>1</v>
      </c>
      <c r="J48" s="716"/>
      <c r="K48" s="707">
        <f t="shared" si="16"/>
        <v>1</v>
      </c>
      <c r="L48" s="716"/>
      <c r="M48" s="707">
        <f t="shared" si="17"/>
        <v>1</v>
      </c>
      <c r="N48" s="716"/>
      <c r="O48" s="707">
        <f t="shared" si="18"/>
        <v>1</v>
      </c>
      <c r="P48" s="716"/>
      <c r="Q48" s="707">
        <f t="shared" si="19"/>
        <v>1</v>
      </c>
      <c r="R48" s="768">
        <f t="shared" si="20"/>
        <v>0</v>
      </c>
      <c r="S48" s="706">
        <f t="shared" si="11"/>
        <v>0</v>
      </c>
    </row>
    <row r="49" spans="1:19">
      <c r="A49" s="714"/>
      <c r="B49" s="715"/>
      <c r="C49" s="707">
        <f t="shared" si="12"/>
        <v>1</v>
      </c>
      <c r="D49" s="716"/>
      <c r="E49" s="707">
        <f t="shared" si="13"/>
        <v>1</v>
      </c>
      <c r="F49" s="716"/>
      <c r="G49" s="707">
        <f t="shared" si="14"/>
        <v>1</v>
      </c>
      <c r="H49" s="716"/>
      <c r="I49" s="707">
        <f t="shared" si="15"/>
        <v>1</v>
      </c>
      <c r="J49" s="716"/>
      <c r="K49" s="707">
        <f t="shared" si="16"/>
        <v>1</v>
      </c>
      <c r="L49" s="716"/>
      <c r="M49" s="707">
        <f t="shared" si="17"/>
        <v>1</v>
      </c>
      <c r="N49" s="716"/>
      <c r="O49" s="707">
        <f t="shared" si="18"/>
        <v>1</v>
      </c>
      <c r="P49" s="716"/>
      <c r="Q49" s="707">
        <f t="shared" si="19"/>
        <v>1</v>
      </c>
      <c r="R49" s="768">
        <f t="shared" si="20"/>
        <v>0</v>
      </c>
      <c r="S49" s="706">
        <f t="shared" si="11"/>
        <v>0</v>
      </c>
    </row>
    <row r="50" spans="1:19">
      <c r="A50" s="714"/>
      <c r="B50" s="715"/>
      <c r="C50" s="707">
        <f t="shared" si="12"/>
        <v>1</v>
      </c>
      <c r="D50" s="716"/>
      <c r="E50" s="707">
        <f t="shared" si="13"/>
        <v>1</v>
      </c>
      <c r="F50" s="716"/>
      <c r="G50" s="707">
        <f t="shared" si="14"/>
        <v>1</v>
      </c>
      <c r="H50" s="716"/>
      <c r="I50" s="707">
        <f t="shared" si="15"/>
        <v>1</v>
      </c>
      <c r="J50" s="716"/>
      <c r="K50" s="707">
        <f t="shared" si="16"/>
        <v>1</v>
      </c>
      <c r="L50" s="716"/>
      <c r="M50" s="707">
        <f t="shared" si="17"/>
        <v>1</v>
      </c>
      <c r="N50" s="716"/>
      <c r="O50" s="707">
        <f t="shared" si="18"/>
        <v>1</v>
      </c>
      <c r="P50" s="716"/>
      <c r="Q50" s="707">
        <f t="shared" si="19"/>
        <v>1</v>
      </c>
      <c r="R50" s="768">
        <f t="shared" si="20"/>
        <v>0</v>
      </c>
      <c r="S50" s="706">
        <f t="shared" si="11"/>
        <v>0</v>
      </c>
    </row>
    <row r="51" spans="1:19">
      <c r="A51" s="714"/>
      <c r="B51" s="715"/>
      <c r="C51" s="707">
        <f t="shared" si="12"/>
        <v>1</v>
      </c>
      <c r="D51" s="716"/>
      <c r="E51" s="707">
        <f t="shared" si="13"/>
        <v>1</v>
      </c>
      <c r="F51" s="716"/>
      <c r="G51" s="707">
        <f t="shared" si="14"/>
        <v>1</v>
      </c>
      <c r="H51" s="716"/>
      <c r="I51" s="707">
        <f t="shared" si="15"/>
        <v>1</v>
      </c>
      <c r="J51" s="716"/>
      <c r="K51" s="707">
        <f t="shared" si="16"/>
        <v>1</v>
      </c>
      <c r="L51" s="716"/>
      <c r="M51" s="707">
        <f t="shared" si="17"/>
        <v>1</v>
      </c>
      <c r="N51" s="716"/>
      <c r="O51" s="707">
        <f t="shared" si="18"/>
        <v>1</v>
      </c>
      <c r="P51" s="716"/>
      <c r="Q51" s="707">
        <f t="shared" si="19"/>
        <v>1</v>
      </c>
      <c r="R51" s="768">
        <f t="shared" si="20"/>
        <v>0</v>
      </c>
      <c r="S51" s="706">
        <f t="shared" si="11"/>
        <v>0</v>
      </c>
    </row>
    <row r="52" spans="1:19">
      <c r="A52" s="714"/>
      <c r="B52" s="715"/>
      <c r="C52" s="707">
        <f t="shared" si="12"/>
        <v>1</v>
      </c>
      <c r="D52" s="716"/>
      <c r="E52" s="707">
        <f t="shared" si="13"/>
        <v>1</v>
      </c>
      <c r="F52" s="716"/>
      <c r="G52" s="707">
        <f t="shared" si="14"/>
        <v>1</v>
      </c>
      <c r="H52" s="716"/>
      <c r="I52" s="707">
        <f t="shared" si="15"/>
        <v>1</v>
      </c>
      <c r="J52" s="716"/>
      <c r="K52" s="707">
        <f t="shared" si="16"/>
        <v>1</v>
      </c>
      <c r="L52" s="716"/>
      <c r="M52" s="707">
        <f t="shared" si="17"/>
        <v>1</v>
      </c>
      <c r="N52" s="716"/>
      <c r="O52" s="707">
        <f t="shared" si="18"/>
        <v>1</v>
      </c>
      <c r="P52" s="716"/>
      <c r="Q52" s="707">
        <f t="shared" si="19"/>
        <v>1</v>
      </c>
      <c r="R52" s="768">
        <f t="shared" si="20"/>
        <v>0</v>
      </c>
      <c r="S52" s="706">
        <f t="shared" si="11"/>
        <v>0</v>
      </c>
    </row>
    <row r="53" spans="1:19">
      <c r="A53" s="714"/>
      <c r="B53" s="715"/>
      <c r="C53" s="707">
        <f t="shared" si="12"/>
        <v>1</v>
      </c>
      <c r="D53" s="716"/>
      <c r="E53" s="707">
        <f t="shared" si="13"/>
        <v>1</v>
      </c>
      <c r="F53" s="716"/>
      <c r="G53" s="707">
        <f t="shared" si="14"/>
        <v>1</v>
      </c>
      <c r="H53" s="716"/>
      <c r="I53" s="707">
        <f t="shared" si="15"/>
        <v>1</v>
      </c>
      <c r="J53" s="716"/>
      <c r="K53" s="707">
        <f t="shared" si="16"/>
        <v>1</v>
      </c>
      <c r="L53" s="716"/>
      <c r="M53" s="707">
        <f t="shared" si="17"/>
        <v>1</v>
      </c>
      <c r="N53" s="716"/>
      <c r="O53" s="707">
        <f t="shared" si="18"/>
        <v>1</v>
      </c>
      <c r="P53" s="716"/>
      <c r="Q53" s="707">
        <f t="shared" si="19"/>
        <v>1</v>
      </c>
      <c r="R53" s="768">
        <f t="shared" si="20"/>
        <v>0</v>
      </c>
      <c r="S53" s="706">
        <f t="shared" si="11"/>
        <v>0</v>
      </c>
    </row>
    <row r="54" spans="1:19">
      <c r="A54" s="714"/>
      <c r="B54" s="715"/>
      <c r="C54" s="707">
        <f t="shared" si="12"/>
        <v>1</v>
      </c>
      <c r="D54" s="716"/>
      <c r="E54" s="707">
        <f t="shared" si="13"/>
        <v>1</v>
      </c>
      <c r="F54" s="716"/>
      <c r="G54" s="707">
        <f t="shared" si="14"/>
        <v>1</v>
      </c>
      <c r="H54" s="716"/>
      <c r="I54" s="707">
        <f t="shared" si="15"/>
        <v>1</v>
      </c>
      <c r="J54" s="716"/>
      <c r="K54" s="707">
        <f t="shared" si="16"/>
        <v>1</v>
      </c>
      <c r="L54" s="716"/>
      <c r="M54" s="707">
        <f t="shared" si="17"/>
        <v>1</v>
      </c>
      <c r="N54" s="716"/>
      <c r="O54" s="707">
        <f t="shared" si="18"/>
        <v>1</v>
      </c>
      <c r="P54" s="716"/>
      <c r="Q54" s="707">
        <f t="shared" si="19"/>
        <v>1</v>
      </c>
      <c r="R54" s="768">
        <f t="shared" si="20"/>
        <v>0</v>
      </c>
      <c r="S54" s="706">
        <f t="shared" si="11"/>
        <v>0</v>
      </c>
    </row>
    <row r="55" spans="1:19">
      <c r="A55" s="714"/>
      <c r="B55" s="715"/>
      <c r="C55" s="707">
        <f t="shared" si="12"/>
        <v>1</v>
      </c>
      <c r="D55" s="716"/>
      <c r="E55" s="707">
        <f t="shared" si="13"/>
        <v>1</v>
      </c>
      <c r="F55" s="716"/>
      <c r="G55" s="707">
        <f t="shared" si="14"/>
        <v>1</v>
      </c>
      <c r="H55" s="716"/>
      <c r="I55" s="707">
        <f t="shared" si="15"/>
        <v>1</v>
      </c>
      <c r="J55" s="716"/>
      <c r="K55" s="707">
        <f t="shared" si="16"/>
        <v>1</v>
      </c>
      <c r="L55" s="716"/>
      <c r="M55" s="707">
        <f t="shared" si="17"/>
        <v>1</v>
      </c>
      <c r="N55" s="716"/>
      <c r="O55" s="707">
        <f t="shared" si="18"/>
        <v>1</v>
      </c>
      <c r="P55" s="716"/>
      <c r="Q55" s="707">
        <f t="shared" si="19"/>
        <v>1</v>
      </c>
      <c r="R55" s="768">
        <f t="shared" si="20"/>
        <v>0</v>
      </c>
      <c r="S55" s="706">
        <f t="shared" ref="S55:S77" si="21">ROUND(R55*B55/10000,0)</f>
        <v>0</v>
      </c>
    </row>
    <row r="56" spans="1:19">
      <c r="A56" s="714"/>
      <c r="B56" s="715"/>
      <c r="C56" s="707">
        <f t="shared" si="12"/>
        <v>1</v>
      </c>
      <c r="D56" s="716"/>
      <c r="E56" s="707">
        <f t="shared" si="13"/>
        <v>1</v>
      </c>
      <c r="F56" s="716"/>
      <c r="G56" s="707">
        <f t="shared" si="14"/>
        <v>1</v>
      </c>
      <c r="H56" s="716"/>
      <c r="I56" s="707">
        <f t="shared" si="15"/>
        <v>1</v>
      </c>
      <c r="J56" s="716"/>
      <c r="K56" s="707">
        <f t="shared" si="16"/>
        <v>1</v>
      </c>
      <c r="L56" s="716"/>
      <c r="M56" s="707">
        <f t="shared" si="17"/>
        <v>1</v>
      </c>
      <c r="N56" s="716"/>
      <c r="O56" s="707">
        <f t="shared" si="18"/>
        <v>1</v>
      </c>
      <c r="P56" s="716"/>
      <c r="Q56" s="707">
        <f t="shared" si="19"/>
        <v>1</v>
      </c>
      <c r="R56" s="768">
        <f t="shared" si="20"/>
        <v>0</v>
      </c>
      <c r="S56" s="706">
        <f t="shared" si="21"/>
        <v>0</v>
      </c>
    </row>
    <row r="57" spans="1:19">
      <c r="A57" s="714"/>
      <c r="B57" s="715"/>
      <c r="C57" s="707">
        <f t="shared" si="12"/>
        <v>1</v>
      </c>
      <c r="D57" s="716"/>
      <c r="E57" s="707">
        <f t="shared" si="13"/>
        <v>1</v>
      </c>
      <c r="F57" s="716"/>
      <c r="G57" s="707">
        <f t="shared" si="14"/>
        <v>1</v>
      </c>
      <c r="H57" s="716"/>
      <c r="I57" s="707">
        <f t="shared" si="15"/>
        <v>1</v>
      </c>
      <c r="J57" s="716"/>
      <c r="K57" s="707">
        <f t="shared" si="16"/>
        <v>1</v>
      </c>
      <c r="L57" s="716"/>
      <c r="M57" s="707">
        <f t="shared" si="17"/>
        <v>1</v>
      </c>
      <c r="N57" s="716"/>
      <c r="O57" s="707">
        <f t="shared" si="18"/>
        <v>1</v>
      </c>
      <c r="P57" s="716"/>
      <c r="Q57" s="707">
        <f t="shared" si="19"/>
        <v>1</v>
      </c>
      <c r="R57" s="768">
        <f t="shared" si="20"/>
        <v>0</v>
      </c>
      <c r="S57" s="706">
        <f t="shared" si="21"/>
        <v>0</v>
      </c>
    </row>
    <row r="58" spans="1:19">
      <c r="A58" s="714"/>
      <c r="B58" s="715"/>
      <c r="C58" s="707">
        <f t="shared" si="12"/>
        <v>1</v>
      </c>
      <c r="D58" s="716"/>
      <c r="E58" s="707">
        <f t="shared" si="13"/>
        <v>1</v>
      </c>
      <c r="F58" s="716"/>
      <c r="G58" s="707">
        <f t="shared" si="14"/>
        <v>1</v>
      </c>
      <c r="H58" s="716"/>
      <c r="I58" s="707">
        <f t="shared" si="15"/>
        <v>1</v>
      </c>
      <c r="J58" s="716"/>
      <c r="K58" s="707">
        <f t="shared" si="16"/>
        <v>1</v>
      </c>
      <c r="L58" s="716"/>
      <c r="M58" s="707">
        <f t="shared" si="17"/>
        <v>1</v>
      </c>
      <c r="N58" s="716"/>
      <c r="O58" s="707">
        <f t="shared" si="18"/>
        <v>1</v>
      </c>
      <c r="P58" s="716"/>
      <c r="Q58" s="707">
        <f t="shared" si="19"/>
        <v>1</v>
      </c>
      <c r="R58" s="768">
        <f t="shared" si="20"/>
        <v>0</v>
      </c>
      <c r="S58" s="706">
        <f t="shared" si="21"/>
        <v>0</v>
      </c>
    </row>
    <row r="59" spans="1:19">
      <c r="A59" s="714"/>
      <c r="B59" s="715"/>
      <c r="C59" s="707">
        <f t="shared" si="12"/>
        <v>1</v>
      </c>
      <c r="D59" s="716"/>
      <c r="E59" s="707">
        <f t="shared" si="13"/>
        <v>1</v>
      </c>
      <c r="F59" s="716"/>
      <c r="G59" s="707">
        <f t="shared" si="14"/>
        <v>1</v>
      </c>
      <c r="H59" s="716"/>
      <c r="I59" s="707">
        <f t="shared" si="15"/>
        <v>1</v>
      </c>
      <c r="J59" s="716"/>
      <c r="K59" s="707">
        <f t="shared" si="16"/>
        <v>1</v>
      </c>
      <c r="L59" s="716"/>
      <c r="M59" s="707">
        <f t="shared" si="17"/>
        <v>1</v>
      </c>
      <c r="N59" s="716"/>
      <c r="O59" s="707">
        <f t="shared" si="18"/>
        <v>1</v>
      </c>
      <c r="P59" s="716"/>
      <c r="Q59" s="707">
        <f t="shared" si="19"/>
        <v>1</v>
      </c>
      <c r="R59" s="768">
        <f t="shared" si="20"/>
        <v>0</v>
      </c>
      <c r="S59" s="706">
        <f t="shared" si="21"/>
        <v>0</v>
      </c>
    </row>
    <row r="60" spans="1:19">
      <c r="A60" s="714"/>
      <c r="B60" s="715"/>
      <c r="C60" s="707">
        <f t="shared" si="12"/>
        <v>1</v>
      </c>
      <c r="D60" s="716"/>
      <c r="E60" s="707">
        <f t="shared" si="13"/>
        <v>1</v>
      </c>
      <c r="F60" s="716"/>
      <c r="G60" s="707">
        <f t="shared" si="14"/>
        <v>1</v>
      </c>
      <c r="H60" s="716"/>
      <c r="I60" s="707">
        <f t="shared" si="15"/>
        <v>1</v>
      </c>
      <c r="J60" s="716"/>
      <c r="K60" s="707">
        <f t="shared" si="16"/>
        <v>1</v>
      </c>
      <c r="L60" s="716"/>
      <c r="M60" s="707">
        <f t="shared" si="17"/>
        <v>1</v>
      </c>
      <c r="N60" s="716"/>
      <c r="O60" s="707">
        <f t="shared" si="18"/>
        <v>1</v>
      </c>
      <c r="P60" s="716"/>
      <c r="Q60" s="707">
        <f t="shared" si="19"/>
        <v>1</v>
      </c>
      <c r="R60" s="768">
        <f t="shared" si="20"/>
        <v>0</v>
      </c>
      <c r="S60" s="706">
        <f t="shared" si="21"/>
        <v>0</v>
      </c>
    </row>
    <row r="61" spans="1:19">
      <c r="A61" s="714"/>
      <c r="B61" s="715"/>
      <c r="C61" s="707">
        <f t="shared" si="12"/>
        <v>1</v>
      </c>
      <c r="D61" s="716"/>
      <c r="E61" s="707">
        <f t="shared" si="13"/>
        <v>1</v>
      </c>
      <c r="F61" s="716"/>
      <c r="G61" s="707">
        <f t="shared" si="14"/>
        <v>1</v>
      </c>
      <c r="H61" s="716"/>
      <c r="I61" s="707">
        <f t="shared" si="15"/>
        <v>1</v>
      </c>
      <c r="J61" s="716"/>
      <c r="K61" s="707">
        <f t="shared" si="16"/>
        <v>1</v>
      </c>
      <c r="L61" s="716"/>
      <c r="M61" s="707">
        <f t="shared" si="17"/>
        <v>1</v>
      </c>
      <c r="N61" s="716"/>
      <c r="O61" s="707">
        <f t="shared" si="18"/>
        <v>1</v>
      </c>
      <c r="P61" s="716"/>
      <c r="Q61" s="707">
        <f t="shared" si="19"/>
        <v>1</v>
      </c>
      <c r="R61" s="768">
        <f t="shared" si="20"/>
        <v>0</v>
      </c>
      <c r="S61" s="706">
        <f t="shared" si="21"/>
        <v>0</v>
      </c>
    </row>
    <row r="62" spans="1:19">
      <c r="A62" s="714"/>
      <c r="B62" s="715"/>
      <c r="C62" s="707">
        <f t="shared" si="12"/>
        <v>1</v>
      </c>
      <c r="D62" s="716"/>
      <c r="E62" s="707">
        <f t="shared" si="13"/>
        <v>1</v>
      </c>
      <c r="F62" s="716"/>
      <c r="G62" s="707">
        <f t="shared" si="14"/>
        <v>1</v>
      </c>
      <c r="H62" s="716"/>
      <c r="I62" s="707">
        <f t="shared" si="15"/>
        <v>1</v>
      </c>
      <c r="J62" s="716"/>
      <c r="K62" s="707">
        <f t="shared" si="16"/>
        <v>1</v>
      </c>
      <c r="L62" s="716"/>
      <c r="M62" s="707">
        <f t="shared" si="17"/>
        <v>1</v>
      </c>
      <c r="N62" s="716"/>
      <c r="O62" s="707">
        <f t="shared" si="18"/>
        <v>1</v>
      </c>
      <c r="P62" s="716"/>
      <c r="Q62" s="707">
        <f t="shared" si="19"/>
        <v>1</v>
      </c>
      <c r="R62" s="768">
        <f t="shared" si="20"/>
        <v>0</v>
      </c>
      <c r="S62" s="706">
        <f t="shared" si="21"/>
        <v>0</v>
      </c>
    </row>
    <row r="63" spans="1:19">
      <c r="A63" s="714"/>
      <c r="B63" s="715"/>
      <c r="C63" s="707">
        <f t="shared" si="12"/>
        <v>1</v>
      </c>
      <c r="D63" s="716"/>
      <c r="E63" s="707">
        <f t="shared" si="13"/>
        <v>1</v>
      </c>
      <c r="F63" s="716"/>
      <c r="G63" s="707">
        <f t="shared" si="14"/>
        <v>1</v>
      </c>
      <c r="H63" s="716"/>
      <c r="I63" s="707">
        <f t="shared" si="15"/>
        <v>1</v>
      </c>
      <c r="J63" s="716"/>
      <c r="K63" s="707">
        <f t="shared" si="16"/>
        <v>1</v>
      </c>
      <c r="L63" s="716"/>
      <c r="M63" s="707">
        <f t="shared" si="17"/>
        <v>1</v>
      </c>
      <c r="N63" s="716"/>
      <c r="O63" s="707">
        <f t="shared" si="18"/>
        <v>1</v>
      </c>
      <c r="P63" s="716"/>
      <c r="Q63" s="707">
        <f t="shared" si="19"/>
        <v>1</v>
      </c>
      <c r="R63" s="768">
        <f t="shared" si="20"/>
        <v>0</v>
      </c>
      <c r="S63" s="706">
        <f t="shared" si="21"/>
        <v>0</v>
      </c>
    </row>
    <row r="64" spans="1:19">
      <c r="A64" s="714"/>
      <c r="B64" s="715"/>
      <c r="C64" s="707">
        <f t="shared" si="12"/>
        <v>1</v>
      </c>
      <c r="D64" s="716"/>
      <c r="E64" s="707">
        <f t="shared" si="13"/>
        <v>1</v>
      </c>
      <c r="F64" s="716"/>
      <c r="G64" s="707">
        <f t="shared" si="14"/>
        <v>1</v>
      </c>
      <c r="H64" s="716"/>
      <c r="I64" s="707">
        <f t="shared" si="15"/>
        <v>1</v>
      </c>
      <c r="J64" s="716"/>
      <c r="K64" s="707">
        <f t="shared" si="16"/>
        <v>1</v>
      </c>
      <c r="L64" s="716"/>
      <c r="M64" s="707">
        <f t="shared" si="17"/>
        <v>1</v>
      </c>
      <c r="N64" s="716"/>
      <c r="O64" s="707">
        <f t="shared" si="18"/>
        <v>1</v>
      </c>
      <c r="P64" s="716"/>
      <c r="Q64" s="707">
        <f t="shared" si="19"/>
        <v>1</v>
      </c>
      <c r="R64" s="768">
        <f t="shared" si="20"/>
        <v>0</v>
      </c>
      <c r="S64" s="706">
        <f t="shared" si="21"/>
        <v>0</v>
      </c>
    </row>
    <row r="65" spans="1:19">
      <c r="A65" s="714"/>
      <c r="B65" s="715"/>
      <c r="C65" s="707">
        <f t="shared" si="12"/>
        <v>1</v>
      </c>
      <c r="D65" s="716"/>
      <c r="E65" s="707">
        <f t="shared" si="13"/>
        <v>1</v>
      </c>
      <c r="F65" s="716"/>
      <c r="G65" s="707">
        <f t="shared" si="14"/>
        <v>1</v>
      </c>
      <c r="H65" s="716"/>
      <c r="I65" s="707">
        <f t="shared" si="15"/>
        <v>1</v>
      </c>
      <c r="J65" s="716"/>
      <c r="K65" s="707">
        <f t="shared" si="16"/>
        <v>1</v>
      </c>
      <c r="L65" s="716"/>
      <c r="M65" s="707">
        <f t="shared" si="17"/>
        <v>1</v>
      </c>
      <c r="N65" s="716"/>
      <c r="O65" s="707">
        <f t="shared" si="18"/>
        <v>1</v>
      </c>
      <c r="P65" s="716"/>
      <c r="Q65" s="707">
        <f t="shared" si="19"/>
        <v>1</v>
      </c>
      <c r="R65" s="768">
        <f t="shared" si="20"/>
        <v>0</v>
      </c>
      <c r="S65" s="706">
        <f t="shared" si="21"/>
        <v>0</v>
      </c>
    </row>
    <row r="66" spans="1:19">
      <c r="A66" s="714"/>
      <c r="B66" s="715"/>
      <c r="C66" s="707">
        <f t="shared" si="12"/>
        <v>1</v>
      </c>
      <c r="D66" s="716"/>
      <c r="E66" s="707">
        <f t="shared" si="13"/>
        <v>1</v>
      </c>
      <c r="F66" s="716"/>
      <c r="G66" s="707">
        <f t="shared" si="14"/>
        <v>1</v>
      </c>
      <c r="H66" s="716"/>
      <c r="I66" s="707">
        <f t="shared" si="15"/>
        <v>1</v>
      </c>
      <c r="J66" s="716"/>
      <c r="K66" s="707">
        <f t="shared" si="16"/>
        <v>1</v>
      </c>
      <c r="L66" s="716"/>
      <c r="M66" s="707">
        <f t="shared" si="17"/>
        <v>1</v>
      </c>
      <c r="N66" s="716"/>
      <c r="O66" s="707">
        <f t="shared" si="18"/>
        <v>1</v>
      </c>
      <c r="P66" s="716"/>
      <c r="Q66" s="707">
        <f t="shared" si="19"/>
        <v>1</v>
      </c>
      <c r="R66" s="768">
        <f t="shared" si="20"/>
        <v>0</v>
      </c>
      <c r="S66" s="706">
        <f t="shared" si="21"/>
        <v>0</v>
      </c>
    </row>
    <row r="67" spans="1:19">
      <c r="A67" s="714"/>
      <c r="B67" s="715"/>
      <c r="C67" s="707">
        <f t="shared" si="12"/>
        <v>1</v>
      </c>
      <c r="D67" s="716"/>
      <c r="E67" s="707">
        <f t="shared" si="13"/>
        <v>1</v>
      </c>
      <c r="F67" s="716"/>
      <c r="G67" s="707">
        <f t="shared" si="14"/>
        <v>1</v>
      </c>
      <c r="H67" s="716"/>
      <c r="I67" s="707">
        <f t="shared" si="15"/>
        <v>1</v>
      </c>
      <c r="J67" s="716"/>
      <c r="K67" s="707">
        <f t="shared" si="16"/>
        <v>1</v>
      </c>
      <c r="L67" s="716"/>
      <c r="M67" s="707">
        <f t="shared" si="17"/>
        <v>1</v>
      </c>
      <c r="N67" s="716"/>
      <c r="O67" s="707">
        <f t="shared" si="18"/>
        <v>1</v>
      </c>
      <c r="P67" s="716"/>
      <c r="Q67" s="707">
        <f t="shared" si="19"/>
        <v>1</v>
      </c>
      <c r="R67" s="768">
        <f t="shared" si="20"/>
        <v>0</v>
      </c>
      <c r="S67" s="706">
        <f t="shared" si="21"/>
        <v>0</v>
      </c>
    </row>
    <row r="68" spans="1:19">
      <c r="A68" s="714"/>
      <c r="B68" s="715"/>
      <c r="C68" s="707">
        <f t="shared" si="12"/>
        <v>1</v>
      </c>
      <c r="D68" s="716"/>
      <c r="E68" s="707">
        <f t="shared" si="13"/>
        <v>1</v>
      </c>
      <c r="F68" s="716"/>
      <c r="G68" s="707">
        <f t="shared" si="14"/>
        <v>1</v>
      </c>
      <c r="H68" s="716"/>
      <c r="I68" s="707">
        <f t="shared" si="15"/>
        <v>1</v>
      </c>
      <c r="J68" s="716"/>
      <c r="K68" s="707">
        <f t="shared" si="16"/>
        <v>1</v>
      </c>
      <c r="L68" s="716"/>
      <c r="M68" s="707">
        <f t="shared" si="17"/>
        <v>1</v>
      </c>
      <c r="N68" s="716"/>
      <c r="O68" s="707">
        <f t="shared" si="18"/>
        <v>1</v>
      </c>
      <c r="P68" s="716"/>
      <c r="Q68" s="707">
        <f t="shared" si="19"/>
        <v>1</v>
      </c>
      <c r="R68" s="768">
        <f t="shared" si="20"/>
        <v>0</v>
      </c>
      <c r="S68" s="706">
        <f t="shared" si="21"/>
        <v>0</v>
      </c>
    </row>
    <row r="69" spans="1:19">
      <c r="A69" s="714"/>
      <c r="B69" s="715"/>
      <c r="C69" s="707">
        <f t="shared" si="12"/>
        <v>1</v>
      </c>
      <c r="D69" s="716"/>
      <c r="E69" s="707">
        <f t="shared" si="13"/>
        <v>1</v>
      </c>
      <c r="F69" s="716"/>
      <c r="G69" s="707">
        <f t="shared" si="14"/>
        <v>1</v>
      </c>
      <c r="H69" s="716"/>
      <c r="I69" s="707">
        <f t="shared" si="15"/>
        <v>1</v>
      </c>
      <c r="J69" s="716"/>
      <c r="K69" s="707">
        <f t="shared" si="16"/>
        <v>1</v>
      </c>
      <c r="L69" s="716"/>
      <c r="M69" s="707">
        <f t="shared" si="17"/>
        <v>1</v>
      </c>
      <c r="N69" s="716"/>
      <c r="O69" s="707">
        <f t="shared" si="18"/>
        <v>1</v>
      </c>
      <c r="P69" s="716"/>
      <c r="Q69" s="707">
        <f t="shared" si="19"/>
        <v>1</v>
      </c>
      <c r="R69" s="768">
        <f t="shared" si="20"/>
        <v>0</v>
      </c>
      <c r="S69" s="706">
        <f t="shared" si="21"/>
        <v>0</v>
      </c>
    </row>
    <row r="70" spans="1:19">
      <c r="A70" s="714"/>
      <c r="B70" s="715"/>
      <c r="C70" s="707">
        <f t="shared" si="12"/>
        <v>1</v>
      </c>
      <c r="D70" s="716"/>
      <c r="E70" s="707">
        <f t="shared" si="13"/>
        <v>1</v>
      </c>
      <c r="F70" s="716"/>
      <c r="G70" s="707">
        <f t="shared" si="14"/>
        <v>1</v>
      </c>
      <c r="H70" s="716"/>
      <c r="I70" s="707">
        <f t="shared" si="15"/>
        <v>1</v>
      </c>
      <c r="J70" s="716"/>
      <c r="K70" s="707">
        <f t="shared" si="16"/>
        <v>1</v>
      </c>
      <c r="L70" s="716"/>
      <c r="M70" s="707">
        <f t="shared" si="17"/>
        <v>1</v>
      </c>
      <c r="N70" s="716"/>
      <c r="O70" s="707">
        <f t="shared" si="18"/>
        <v>1</v>
      </c>
      <c r="P70" s="716"/>
      <c r="Q70" s="707">
        <f t="shared" si="19"/>
        <v>1</v>
      </c>
      <c r="R70" s="768">
        <f t="shared" si="20"/>
        <v>0</v>
      </c>
      <c r="S70" s="706">
        <f t="shared" si="21"/>
        <v>0</v>
      </c>
    </row>
    <row r="71" spans="1:19">
      <c r="A71" s="714"/>
      <c r="B71" s="715"/>
      <c r="C71" s="707">
        <f t="shared" si="12"/>
        <v>1</v>
      </c>
      <c r="D71" s="716"/>
      <c r="E71" s="707">
        <f t="shared" si="13"/>
        <v>1</v>
      </c>
      <c r="F71" s="716"/>
      <c r="G71" s="707">
        <f t="shared" si="14"/>
        <v>1</v>
      </c>
      <c r="H71" s="716"/>
      <c r="I71" s="707">
        <f t="shared" si="15"/>
        <v>1</v>
      </c>
      <c r="J71" s="716"/>
      <c r="K71" s="707">
        <f t="shared" si="16"/>
        <v>1</v>
      </c>
      <c r="L71" s="716"/>
      <c r="M71" s="707">
        <f t="shared" si="17"/>
        <v>1</v>
      </c>
      <c r="N71" s="716"/>
      <c r="O71" s="707">
        <f t="shared" si="18"/>
        <v>1</v>
      </c>
      <c r="P71" s="716"/>
      <c r="Q71" s="707">
        <f t="shared" si="19"/>
        <v>1</v>
      </c>
      <c r="R71" s="768">
        <f t="shared" si="20"/>
        <v>0</v>
      </c>
      <c r="S71" s="706">
        <f t="shared" si="21"/>
        <v>0</v>
      </c>
    </row>
    <row r="72" spans="1:19">
      <c r="A72" s="714"/>
      <c r="B72" s="715"/>
      <c r="C72" s="707">
        <f t="shared" si="12"/>
        <v>1</v>
      </c>
      <c r="D72" s="716"/>
      <c r="E72" s="707">
        <f t="shared" si="13"/>
        <v>1</v>
      </c>
      <c r="F72" s="716"/>
      <c r="G72" s="707">
        <f t="shared" si="14"/>
        <v>1</v>
      </c>
      <c r="H72" s="716"/>
      <c r="I72" s="707">
        <f t="shared" si="15"/>
        <v>1</v>
      </c>
      <c r="J72" s="716"/>
      <c r="K72" s="707">
        <f t="shared" si="16"/>
        <v>1</v>
      </c>
      <c r="L72" s="716"/>
      <c r="M72" s="707">
        <f t="shared" si="17"/>
        <v>1</v>
      </c>
      <c r="N72" s="716"/>
      <c r="O72" s="707">
        <f t="shared" si="18"/>
        <v>1</v>
      </c>
      <c r="P72" s="716"/>
      <c r="Q72" s="707">
        <f t="shared" si="19"/>
        <v>1</v>
      </c>
      <c r="R72" s="768">
        <f t="shared" si="20"/>
        <v>0</v>
      </c>
      <c r="S72" s="706">
        <f t="shared" si="21"/>
        <v>0</v>
      </c>
    </row>
    <row r="73" spans="1:19">
      <c r="A73" s="714"/>
      <c r="B73" s="715"/>
      <c r="C73" s="707">
        <f t="shared" si="12"/>
        <v>1</v>
      </c>
      <c r="D73" s="716"/>
      <c r="E73" s="707">
        <f t="shared" si="13"/>
        <v>1</v>
      </c>
      <c r="F73" s="716"/>
      <c r="G73" s="707">
        <f t="shared" si="14"/>
        <v>1</v>
      </c>
      <c r="H73" s="716"/>
      <c r="I73" s="707">
        <f t="shared" si="15"/>
        <v>1</v>
      </c>
      <c r="J73" s="716"/>
      <c r="K73" s="707">
        <f t="shared" si="16"/>
        <v>1</v>
      </c>
      <c r="L73" s="716"/>
      <c r="M73" s="707">
        <f t="shared" si="17"/>
        <v>1</v>
      </c>
      <c r="N73" s="716"/>
      <c r="O73" s="707">
        <f t="shared" si="18"/>
        <v>1</v>
      </c>
      <c r="P73" s="716"/>
      <c r="Q73" s="707">
        <f t="shared" si="19"/>
        <v>1</v>
      </c>
      <c r="R73" s="768">
        <f t="shared" si="20"/>
        <v>0</v>
      </c>
      <c r="S73" s="706">
        <f t="shared" si="21"/>
        <v>0</v>
      </c>
    </row>
    <row r="74" spans="1:19">
      <c r="A74" s="714"/>
      <c r="B74" s="715"/>
      <c r="C74" s="707">
        <f t="shared" si="12"/>
        <v>1</v>
      </c>
      <c r="D74" s="716"/>
      <c r="E74" s="707">
        <f t="shared" si="13"/>
        <v>1</v>
      </c>
      <c r="F74" s="716"/>
      <c r="G74" s="707">
        <f t="shared" si="14"/>
        <v>1</v>
      </c>
      <c r="H74" s="716"/>
      <c r="I74" s="707">
        <f t="shared" si="15"/>
        <v>1</v>
      </c>
      <c r="J74" s="716"/>
      <c r="K74" s="707">
        <f t="shared" si="16"/>
        <v>1</v>
      </c>
      <c r="L74" s="716"/>
      <c r="M74" s="707">
        <f t="shared" si="17"/>
        <v>1</v>
      </c>
      <c r="N74" s="716"/>
      <c r="O74" s="707">
        <f t="shared" si="18"/>
        <v>1</v>
      </c>
      <c r="P74" s="716"/>
      <c r="Q74" s="707">
        <f t="shared" si="19"/>
        <v>1</v>
      </c>
      <c r="R74" s="768">
        <f t="shared" si="20"/>
        <v>0</v>
      </c>
      <c r="S74" s="706">
        <f t="shared" si="21"/>
        <v>0</v>
      </c>
    </row>
    <row r="75" spans="1:19">
      <c r="A75" s="714"/>
      <c r="B75" s="715"/>
      <c r="C75" s="707">
        <f t="shared" si="12"/>
        <v>1</v>
      </c>
      <c r="D75" s="716"/>
      <c r="E75" s="707">
        <f t="shared" si="13"/>
        <v>1</v>
      </c>
      <c r="F75" s="716"/>
      <c r="G75" s="707">
        <f t="shared" si="14"/>
        <v>1</v>
      </c>
      <c r="H75" s="716"/>
      <c r="I75" s="707">
        <f t="shared" si="15"/>
        <v>1</v>
      </c>
      <c r="J75" s="716"/>
      <c r="K75" s="707">
        <f t="shared" si="16"/>
        <v>1</v>
      </c>
      <c r="L75" s="716"/>
      <c r="M75" s="707">
        <f t="shared" si="17"/>
        <v>1</v>
      </c>
      <c r="N75" s="716"/>
      <c r="O75" s="707">
        <f t="shared" si="18"/>
        <v>1</v>
      </c>
      <c r="P75" s="716"/>
      <c r="Q75" s="707">
        <f t="shared" si="19"/>
        <v>1</v>
      </c>
      <c r="R75" s="768">
        <f t="shared" si="20"/>
        <v>0</v>
      </c>
      <c r="S75" s="706">
        <f t="shared" si="21"/>
        <v>0</v>
      </c>
    </row>
    <row r="76" spans="1:19">
      <c r="A76" s="714"/>
      <c r="B76" s="715"/>
      <c r="C76" s="707">
        <f t="shared" si="12"/>
        <v>1</v>
      </c>
      <c r="D76" s="716"/>
      <c r="E76" s="707">
        <f t="shared" si="13"/>
        <v>1</v>
      </c>
      <c r="F76" s="716"/>
      <c r="G76" s="707">
        <f t="shared" si="14"/>
        <v>1</v>
      </c>
      <c r="H76" s="716"/>
      <c r="I76" s="707">
        <f t="shared" si="15"/>
        <v>1</v>
      </c>
      <c r="J76" s="716"/>
      <c r="K76" s="707">
        <f t="shared" si="16"/>
        <v>1</v>
      </c>
      <c r="L76" s="716"/>
      <c r="M76" s="707">
        <f t="shared" si="17"/>
        <v>1</v>
      </c>
      <c r="N76" s="716"/>
      <c r="O76" s="707">
        <f t="shared" si="18"/>
        <v>1</v>
      </c>
      <c r="P76" s="716"/>
      <c r="Q76" s="707">
        <f t="shared" si="19"/>
        <v>1</v>
      </c>
      <c r="R76" s="768">
        <f t="shared" si="20"/>
        <v>0</v>
      </c>
      <c r="S76" s="706">
        <f t="shared" si="21"/>
        <v>0</v>
      </c>
    </row>
    <row r="77" spans="1:19">
      <c r="A77" s="714"/>
      <c r="B77" s="715"/>
      <c r="C77" s="707">
        <f t="shared" si="12"/>
        <v>1</v>
      </c>
      <c r="D77" s="716"/>
      <c r="E77" s="707">
        <f t="shared" si="13"/>
        <v>1</v>
      </c>
      <c r="F77" s="716"/>
      <c r="G77" s="707">
        <f t="shared" si="14"/>
        <v>1</v>
      </c>
      <c r="H77" s="716"/>
      <c r="I77" s="707">
        <f t="shared" si="15"/>
        <v>1</v>
      </c>
      <c r="J77" s="716"/>
      <c r="K77" s="707">
        <f t="shared" si="16"/>
        <v>1</v>
      </c>
      <c r="L77" s="716"/>
      <c r="M77" s="707">
        <f t="shared" si="17"/>
        <v>1</v>
      </c>
      <c r="N77" s="716"/>
      <c r="O77" s="707">
        <f t="shared" si="18"/>
        <v>1</v>
      </c>
      <c r="P77" s="716"/>
      <c r="Q77" s="707">
        <f t="shared" si="19"/>
        <v>1</v>
      </c>
      <c r="R77" s="768">
        <f t="shared" si="20"/>
        <v>0</v>
      </c>
      <c r="S77" s="706">
        <f t="shared" si="21"/>
        <v>0</v>
      </c>
    </row>
    <row r="78" spans="1:19">
      <c r="A78" s="714"/>
      <c r="B78" s="715"/>
      <c r="C78" s="707">
        <f t="shared" si="12"/>
        <v>1</v>
      </c>
      <c r="D78" s="716"/>
      <c r="E78" s="707">
        <f t="shared" si="13"/>
        <v>1</v>
      </c>
      <c r="F78" s="716"/>
      <c r="G78" s="707">
        <f t="shared" si="14"/>
        <v>1</v>
      </c>
      <c r="H78" s="716"/>
      <c r="I78" s="707">
        <f t="shared" si="15"/>
        <v>1</v>
      </c>
      <c r="J78" s="716"/>
      <c r="K78" s="707">
        <f t="shared" si="16"/>
        <v>1</v>
      </c>
      <c r="L78" s="716"/>
      <c r="M78" s="707">
        <f t="shared" si="17"/>
        <v>1</v>
      </c>
      <c r="N78" s="716"/>
      <c r="O78" s="707">
        <f t="shared" si="18"/>
        <v>1</v>
      </c>
      <c r="P78" s="716"/>
      <c r="Q78" s="707">
        <f t="shared" si="19"/>
        <v>1</v>
      </c>
      <c r="R78" s="768">
        <f t="shared" si="20"/>
        <v>0</v>
      </c>
      <c r="S78" s="706">
        <f t="shared" ref="S78:S122" si="22">ROUND(R78*B78/10000,0)</f>
        <v>0</v>
      </c>
    </row>
    <row r="79" spans="1:19">
      <c r="A79" s="714"/>
      <c r="B79" s="715"/>
      <c r="C79" s="707">
        <f t="shared" si="12"/>
        <v>1</v>
      </c>
      <c r="D79" s="716"/>
      <c r="E79" s="707">
        <f t="shared" si="13"/>
        <v>1</v>
      </c>
      <c r="F79" s="716"/>
      <c r="G79" s="707">
        <f t="shared" si="14"/>
        <v>1</v>
      </c>
      <c r="H79" s="716"/>
      <c r="I79" s="707">
        <f t="shared" si="15"/>
        <v>1</v>
      </c>
      <c r="J79" s="716"/>
      <c r="K79" s="707">
        <f t="shared" si="16"/>
        <v>1</v>
      </c>
      <c r="L79" s="716"/>
      <c r="M79" s="707">
        <f t="shared" si="17"/>
        <v>1</v>
      </c>
      <c r="N79" s="716"/>
      <c r="O79" s="707">
        <f t="shared" si="18"/>
        <v>1</v>
      </c>
      <c r="P79" s="716"/>
      <c r="Q79" s="707">
        <f t="shared" si="19"/>
        <v>1</v>
      </c>
      <c r="R79" s="768">
        <f t="shared" si="20"/>
        <v>0</v>
      </c>
      <c r="S79" s="706">
        <f t="shared" si="22"/>
        <v>0</v>
      </c>
    </row>
    <row r="80" spans="1:19">
      <c r="A80" s="714"/>
      <c r="B80" s="715"/>
      <c r="C80" s="707">
        <f t="shared" si="12"/>
        <v>1</v>
      </c>
      <c r="D80" s="716"/>
      <c r="E80" s="707">
        <f t="shared" si="13"/>
        <v>1</v>
      </c>
      <c r="F80" s="716"/>
      <c r="G80" s="707">
        <f t="shared" si="14"/>
        <v>1</v>
      </c>
      <c r="H80" s="716"/>
      <c r="I80" s="707">
        <f t="shared" si="15"/>
        <v>1</v>
      </c>
      <c r="J80" s="716"/>
      <c r="K80" s="707">
        <f t="shared" si="16"/>
        <v>1</v>
      </c>
      <c r="L80" s="716"/>
      <c r="M80" s="707">
        <f t="shared" si="17"/>
        <v>1</v>
      </c>
      <c r="N80" s="716"/>
      <c r="O80" s="707">
        <f t="shared" si="18"/>
        <v>1</v>
      </c>
      <c r="P80" s="716"/>
      <c r="Q80" s="707">
        <f t="shared" si="19"/>
        <v>1</v>
      </c>
      <c r="R80" s="768">
        <f t="shared" si="20"/>
        <v>0</v>
      </c>
      <c r="S80" s="706">
        <f t="shared" si="22"/>
        <v>0</v>
      </c>
    </row>
    <row r="81" spans="1:19">
      <c r="A81" s="714"/>
      <c r="B81" s="715"/>
      <c r="C81" s="707">
        <f t="shared" si="12"/>
        <v>1</v>
      </c>
      <c r="D81" s="716"/>
      <c r="E81" s="707">
        <f t="shared" si="13"/>
        <v>1</v>
      </c>
      <c r="F81" s="716"/>
      <c r="G81" s="707">
        <f t="shared" si="14"/>
        <v>1</v>
      </c>
      <c r="H81" s="716"/>
      <c r="I81" s="707">
        <f t="shared" si="15"/>
        <v>1</v>
      </c>
      <c r="J81" s="716"/>
      <c r="K81" s="707">
        <f t="shared" si="16"/>
        <v>1</v>
      </c>
      <c r="L81" s="716"/>
      <c r="M81" s="707">
        <f t="shared" si="17"/>
        <v>1</v>
      </c>
      <c r="N81" s="716"/>
      <c r="O81" s="707">
        <f t="shared" si="18"/>
        <v>1</v>
      </c>
      <c r="P81" s="716"/>
      <c r="Q81" s="707">
        <f t="shared" si="19"/>
        <v>1</v>
      </c>
      <c r="R81" s="768">
        <f t="shared" si="20"/>
        <v>0</v>
      </c>
      <c r="S81" s="706">
        <f t="shared" si="22"/>
        <v>0</v>
      </c>
    </row>
    <row r="82" spans="1:19">
      <c r="A82" s="714"/>
      <c r="B82" s="715"/>
      <c r="C82" s="707">
        <f t="shared" si="12"/>
        <v>1</v>
      </c>
      <c r="D82" s="716"/>
      <c r="E82" s="707">
        <f t="shared" si="13"/>
        <v>1</v>
      </c>
      <c r="F82" s="716"/>
      <c r="G82" s="707">
        <f t="shared" si="14"/>
        <v>1</v>
      </c>
      <c r="H82" s="716"/>
      <c r="I82" s="707">
        <f t="shared" si="15"/>
        <v>1</v>
      </c>
      <c r="J82" s="716"/>
      <c r="K82" s="707">
        <f t="shared" si="16"/>
        <v>1</v>
      </c>
      <c r="L82" s="716"/>
      <c r="M82" s="707">
        <f t="shared" si="17"/>
        <v>1</v>
      </c>
      <c r="N82" s="716"/>
      <c r="O82" s="707">
        <f t="shared" si="18"/>
        <v>1</v>
      </c>
      <c r="P82" s="716"/>
      <c r="Q82" s="707">
        <f t="shared" si="19"/>
        <v>1</v>
      </c>
      <c r="R82" s="768">
        <f t="shared" si="20"/>
        <v>0</v>
      </c>
      <c r="S82" s="706">
        <f t="shared" si="22"/>
        <v>0</v>
      </c>
    </row>
    <row r="83" spans="1:19">
      <c r="A83" s="714"/>
      <c r="B83" s="715"/>
      <c r="C83" s="707">
        <f t="shared" si="12"/>
        <v>1</v>
      </c>
      <c r="D83" s="716"/>
      <c r="E83" s="707">
        <f t="shared" si="13"/>
        <v>1</v>
      </c>
      <c r="F83" s="716"/>
      <c r="G83" s="707">
        <f t="shared" si="14"/>
        <v>1</v>
      </c>
      <c r="H83" s="716"/>
      <c r="I83" s="707">
        <f t="shared" si="15"/>
        <v>1</v>
      </c>
      <c r="J83" s="716"/>
      <c r="K83" s="707">
        <f t="shared" si="16"/>
        <v>1</v>
      </c>
      <c r="L83" s="716"/>
      <c r="M83" s="707">
        <f t="shared" si="17"/>
        <v>1</v>
      </c>
      <c r="N83" s="716"/>
      <c r="O83" s="707">
        <f t="shared" si="18"/>
        <v>1</v>
      </c>
      <c r="P83" s="716"/>
      <c r="Q83" s="707">
        <f t="shared" si="19"/>
        <v>1</v>
      </c>
      <c r="R83" s="768">
        <f t="shared" si="20"/>
        <v>0</v>
      </c>
      <c r="S83" s="706">
        <f t="shared" si="22"/>
        <v>0</v>
      </c>
    </row>
    <row r="84" spans="1:19">
      <c r="A84" s="714"/>
      <c r="B84" s="715"/>
      <c r="C84" s="707">
        <f t="shared" si="12"/>
        <v>1</v>
      </c>
      <c r="D84" s="716"/>
      <c r="E84" s="707">
        <f t="shared" si="13"/>
        <v>1</v>
      </c>
      <c r="F84" s="716"/>
      <c r="G84" s="707">
        <f t="shared" si="14"/>
        <v>1</v>
      </c>
      <c r="H84" s="716"/>
      <c r="I84" s="707">
        <f t="shared" si="15"/>
        <v>1</v>
      </c>
      <c r="J84" s="716"/>
      <c r="K84" s="707">
        <f t="shared" si="16"/>
        <v>1</v>
      </c>
      <c r="L84" s="716"/>
      <c r="M84" s="707">
        <f t="shared" si="17"/>
        <v>1</v>
      </c>
      <c r="N84" s="716"/>
      <c r="O84" s="707">
        <f t="shared" si="18"/>
        <v>1</v>
      </c>
      <c r="P84" s="716"/>
      <c r="Q84" s="707">
        <f t="shared" si="19"/>
        <v>1</v>
      </c>
      <c r="R84" s="768">
        <f t="shared" si="20"/>
        <v>0</v>
      </c>
      <c r="S84" s="706">
        <f t="shared" si="22"/>
        <v>0</v>
      </c>
    </row>
    <row r="85" spans="1:19">
      <c r="A85" s="714"/>
      <c r="B85" s="715"/>
      <c r="C85" s="707">
        <f t="shared" si="12"/>
        <v>1</v>
      </c>
      <c r="D85" s="716"/>
      <c r="E85" s="707">
        <f t="shared" si="13"/>
        <v>1</v>
      </c>
      <c r="F85" s="716"/>
      <c r="G85" s="707">
        <f t="shared" si="14"/>
        <v>1</v>
      </c>
      <c r="H85" s="716"/>
      <c r="I85" s="707">
        <f t="shared" si="15"/>
        <v>1</v>
      </c>
      <c r="J85" s="716"/>
      <c r="K85" s="707">
        <f t="shared" si="16"/>
        <v>1</v>
      </c>
      <c r="L85" s="716"/>
      <c r="M85" s="707">
        <f t="shared" si="17"/>
        <v>1</v>
      </c>
      <c r="N85" s="716"/>
      <c r="O85" s="707">
        <f t="shared" si="18"/>
        <v>1</v>
      </c>
      <c r="P85" s="716"/>
      <c r="Q85" s="707">
        <f t="shared" si="19"/>
        <v>1</v>
      </c>
      <c r="R85" s="768">
        <f t="shared" si="20"/>
        <v>0</v>
      </c>
      <c r="S85" s="706">
        <f t="shared" si="22"/>
        <v>0</v>
      </c>
    </row>
    <row r="86" spans="1:19">
      <c r="A86" s="714"/>
      <c r="B86" s="715"/>
      <c r="C86" s="707">
        <f t="shared" si="12"/>
        <v>1</v>
      </c>
      <c r="D86" s="716"/>
      <c r="E86" s="707">
        <f t="shared" si="13"/>
        <v>1</v>
      </c>
      <c r="F86" s="716"/>
      <c r="G86" s="707">
        <f t="shared" si="14"/>
        <v>1</v>
      </c>
      <c r="H86" s="716"/>
      <c r="I86" s="707">
        <f t="shared" si="15"/>
        <v>1</v>
      </c>
      <c r="J86" s="716"/>
      <c r="K86" s="707">
        <f t="shared" si="16"/>
        <v>1</v>
      </c>
      <c r="L86" s="716"/>
      <c r="M86" s="707">
        <f t="shared" si="17"/>
        <v>1</v>
      </c>
      <c r="N86" s="716"/>
      <c r="O86" s="707">
        <f t="shared" si="18"/>
        <v>1</v>
      </c>
      <c r="P86" s="716"/>
      <c r="Q86" s="707">
        <f t="shared" si="19"/>
        <v>1</v>
      </c>
      <c r="R86" s="768">
        <f t="shared" si="20"/>
        <v>0</v>
      </c>
      <c r="S86" s="706">
        <f t="shared" si="22"/>
        <v>0</v>
      </c>
    </row>
    <row r="87" spans="1:19">
      <c r="A87" s="714"/>
      <c r="B87" s="715"/>
      <c r="C87" s="707">
        <f t="shared" si="12"/>
        <v>1</v>
      </c>
      <c r="D87" s="716"/>
      <c r="E87" s="707">
        <f t="shared" si="13"/>
        <v>1</v>
      </c>
      <c r="F87" s="716"/>
      <c r="G87" s="707">
        <f t="shared" si="14"/>
        <v>1</v>
      </c>
      <c r="H87" s="716"/>
      <c r="I87" s="707">
        <f t="shared" si="15"/>
        <v>1</v>
      </c>
      <c r="J87" s="716"/>
      <c r="K87" s="707">
        <f t="shared" si="16"/>
        <v>1</v>
      </c>
      <c r="L87" s="716"/>
      <c r="M87" s="707">
        <f t="shared" si="17"/>
        <v>1</v>
      </c>
      <c r="N87" s="716"/>
      <c r="O87" s="707">
        <f t="shared" si="18"/>
        <v>1</v>
      </c>
      <c r="P87" s="716"/>
      <c r="Q87" s="707">
        <f t="shared" si="19"/>
        <v>1</v>
      </c>
      <c r="R87" s="768">
        <f t="shared" si="20"/>
        <v>0</v>
      </c>
      <c r="S87" s="706">
        <f t="shared" si="22"/>
        <v>0</v>
      </c>
    </row>
    <row r="88" spans="1:19">
      <c r="A88" s="714"/>
      <c r="B88" s="715"/>
      <c r="C88" s="707">
        <f t="shared" si="12"/>
        <v>1</v>
      </c>
      <c r="D88" s="716"/>
      <c r="E88" s="707">
        <f t="shared" si="13"/>
        <v>1</v>
      </c>
      <c r="F88" s="716"/>
      <c r="G88" s="707">
        <f t="shared" si="14"/>
        <v>1</v>
      </c>
      <c r="H88" s="716"/>
      <c r="I88" s="707">
        <f t="shared" si="15"/>
        <v>1</v>
      </c>
      <c r="J88" s="716"/>
      <c r="K88" s="707">
        <f t="shared" si="16"/>
        <v>1</v>
      </c>
      <c r="L88" s="716"/>
      <c r="M88" s="707">
        <f t="shared" si="17"/>
        <v>1</v>
      </c>
      <c r="N88" s="716"/>
      <c r="O88" s="707">
        <f t="shared" si="18"/>
        <v>1</v>
      </c>
      <c r="P88" s="716"/>
      <c r="Q88" s="707">
        <f t="shared" si="19"/>
        <v>1</v>
      </c>
      <c r="R88" s="768">
        <f t="shared" si="20"/>
        <v>0</v>
      </c>
      <c r="S88" s="706">
        <f t="shared" si="22"/>
        <v>0</v>
      </c>
    </row>
    <row r="89" spans="1:19">
      <c r="A89" s="714"/>
      <c r="B89" s="715"/>
      <c r="C89" s="707">
        <f t="shared" si="12"/>
        <v>1</v>
      </c>
      <c r="D89" s="716"/>
      <c r="E89" s="707">
        <f t="shared" si="13"/>
        <v>1</v>
      </c>
      <c r="F89" s="716"/>
      <c r="G89" s="707">
        <f t="shared" si="14"/>
        <v>1</v>
      </c>
      <c r="H89" s="716"/>
      <c r="I89" s="707">
        <f t="shared" si="15"/>
        <v>1</v>
      </c>
      <c r="J89" s="716"/>
      <c r="K89" s="707">
        <f t="shared" si="16"/>
        <v>1</v>
      </c>
      <c r="L89" s="716"/>
      <c r="M89" s="707">
        <f t="shared" si="17"/>
        <v>1</v>
      </c>
      <c r="N89" s="716"/>
      <c r="O89" s="707">
        <f t="shared" si="18"/>
        <v>1</v>
      </c>
      <c r="P89" s="716"/>
      <c r="Q89" s="707">
        <f t="shared" si="19"/>
        <v>1</v>
      </c>
      <c r="R89" s="768">
        <f t="shared" si="20"/>
        <v>0</v>
      </c>
      <c r="S89" s="706">
        <f t="shared" si="22"/>
        <v>0</v>
      </c>
    </row>
    <row r="90" spans="1:19">
      <c r="A90" s="714"/>
      <c r="B90" s="715"/>
      <c r="C90" s="707">
        <f t="shared" ref="C90:C153" si="23">IF(B90="",1,(LOOKUP(B90,$3:$3,$4:$4)-LOOKUP($B$24,$3:$3,$4:$4)+100)/100)</f>
        <v>1</v>
      </c>
      <c r="D90" s="716"/>
      <c r="E90" s="707">
        <f t="shared" ref="E90:E153" si="24">(SUMIF($5:$5,D90,$6:$6)-SUMIF($5:$5,$D$24,$6:$6)+100)/100</f>
        <v>1</v>
      </c>
      <c r="F90" s="716"/>
      <c r="G90" s="707">
        <f t="shared" ref="G90:G153" si="25">(SUMIF($7:$7,F90,$8:$8)-SUMIF($7:$7,$F$24,$8:$8)+100)/100</f>
        <v>1</v>
      </c>
      <c r="H90" s="716"/>
      <c r="I90" s="707">
        <f t="shared" ref="I90:I153" si="26">(SUMIF($9:$9,H90,$10:$10)-SUMIF($9:$9,$H$24,$10:$10)+100)/100</f>
        <v>1</v>
      </c>
      <c r="J90" s="716"/>
      <c r="K90" s="707">
        <f t="shared" ref="K90:K153" si="27">(SUMIF($11:$11,J90,$12:$12)-SUMIF($11:$11,$J$24,$12:$12)+100)/100</f>
        <v>1</v>
      </c>
      <c r="L90" s="716"/>
      <c r="M90" s="707">
        <f t="shared" ref="M90:M153" si="28">(SUMIF($13:$13,L90,$14:$14)-SUMIF($13:$13,$L$24,$14:$14)+100)/100</f>
        <v>1</v>
      </c>
      <c r="N90" s="716"/>
      <c r="O90" s="707">
        <f t="shared" ref="O90:O153" si="29">(SUMIF($15:$15,N90,$16:$16)-SUMIF($15:$15,$N$24,$16:$16)+100)/100</f>
        <v>1</v>
      </c>
      <c r="P90" s="716"/>
      <c r="Q90" s="707">
        <f t="shared" ref="Q90:Q153" si="30">(SUMIF($17:$17,P90,$18:$18)-SUMIF($17:$17,$P$24,$18:$18)+100)/100</f>
        <v>1</v>
      </c>
      <c r="R90" s="768">
        <f t="shared" ref="R90:R153" si="31">IF(B90="",0,ROUND($R$24*C90*E90*G90*I90*K90*M90*O90*Q90,0))</f>
        <v>0</v>
      </c>
      <c r="S90" s="706">
        <f t="shared" si="22"/>
        <v>0</v>
      </c>
    </row>
    <row r="91" spans="1:19">
      <c r="A91" s="714"/>
      <c r="B91" s="715"/>
      <c r="C91" s="707">
        <f t="shared" si="23"/>
        <v>1</v>
      </c>
      <c r="D91" s="716"/>
      <c r="E91" s="707">
        <f t="shared" si="24"/>
        <v>1</v>
      </c>
      <c r="F91" s="716"/>
      <c r="G91" s="707">
        <f t="shared" si="25"/>
        <v>1</v>
      </c>
      <c r="H91" s="716"/>
      <c r="I91" s="707">
        <f t="shared" si="26"/>
        <v>1</v>
      </c>
      <c r="J91" s="716"/>
      <c r="K91" s="707">
        <f t="shared" si="27"/>
        <v>1</v>
      </c>
      <c r="L91" s="716"/>
      <c r="M91" s="707">
        <f t="shared" si="28"/>
        <v>1</v>
      </c>
      <c r="N91" s="716"/>
      <c r="O91" s="707">
        <f t="shared" si="29"/>
        <v>1</v>
      </c>
      <c r="P91" s="716"/>
      <c r="Q91" s="707">
        <f t="shared" si="30"/>
        <v>1</v>
      </c>
      <c r="R91" s="768">
        <f t="shared" si="31"/>
        <v>0</v>
      </c>
      <c r="S91" s="706">
        <f t="shared" si="22"/>
        <v>0</v>
      </c>
    </row>
    <row r="92" spans="1:19">
      <c r="A92" s="714"/>
      <c r="B92" s="715"/>
      <c r="C92" s="707">
        <f t="shared" si="23"/>
        <v>1</v>
      </c>
      <c r="D92" s="716"/>
      <c r="E92" s="707">
        <f t="shared" si="24"/>
        <v>1</v>
      </c>
      <c r="F92" s="716"/>
      <c r="G92" s="707">
        <f t="shared" si="25"/>
        <v>1</v>
      </c>
      <c r="H92" s="716"/>
      <c r="I92" s="707">
        <f t="shared" si="26"/>
        <v>1</v>
      </c>
      <c r="J92" s="716"/>
      <c r="K92" s="707">
        <f t="shared" si="27"/>
        <v>1</v>
      </c>
      <c r="L92" s="716"/>
      <c r="M92" s="707">
        <f t="shared" si="28"/>
        <v>1</v>
      </c>
      <c r="N92" s="716"/>
      <c r="O92" s="707">
        <f t="shared" si="29"/>
        <v>1</v>
      </c>
      <c r="P92" s="716"/>
      <c r="Q92" s="707">
        <f t="shared" si="30"/>
        <v>1</v>
      </c>
      <c r="R92" s="768">
        <f t="shared" si="31"/>
        <v>0</v>
      </c>
      <c r="S92" s="706">
        <f t="shared" si="22"/>
        <v>0</v>
      </c>
    </row>
    <row r="93" spans="1:19">
      <c r="A93" s="714"/>
      <c r="B93" s="715"/>
      <c r="C93" s="707">
        <f t="shared" si="23"/>
        <v>1</v>
      </c>
      <c r="D93" s="716"/>
      <c r="E93" s="707">
        <f t="shared" si="24"/>
        <v>1</v>
      </c>
      <c r="F93" s="716"/>
      <c r="G93" s="707">
        <f t="shared" si="25"/>
        <v>1</v>
      </c>
      <c r="H93" s="716"/>
      <c r="I93" s="707">
        <f t="shared" si="26"/>
        <v>1</v>
      </c>
      <c r="J93" s="716"/>
      <c r="K93" s="707">
        <f t="shared" si="27"/>
        <v>1</v>
      </c>
      <c r="L93" s="716"/>
      <c r="M93" s="707">
        <f t="shared" si="28"/>
        <v>1</v>
      </c>
      <c r="N93" s="716"/>
      <c r="O93" s="707">
        <f t="shared" si="29"/>
        <v>1</v>
      </c>
      <c r="P93" s="716"/>
      <c r="Q93" s="707">
        <f t="shared" si="30"/>
        <v>1</v>
      </c>
      <c r="R93" s="768">
        <f t="shared" si="31"/>
        <v>0</v>
      </c>
      <c r="S93" s="706">
        <f t="shared" si="22"/>
        <v>0</v>
      </c>
    </row>
    <row r="94" spans="1:19">
      <c r="A94" s="714"/>
      <c r="B94" s="715"/>
      <c r="C94" s="707">
        <f t="shared" si="23"/>
        <v>1</v>
      </c>
      <c r="D94" s="716"/>
      <c r="E94" s="707">
        <f t="shared" si="24"/>
        <v>1</v>
      </c>
      <c r="F94" s="716"/>
      <c r="G94" s="707">
        <f t="shared" si="25"/>
        <v>1</v>
      </c>
      <c r="H94" s="716"/>
      <c r="I94" s="707">
        <f t="shared" si="26"/>
        <v>1</v>
      </c>
      <c r="J94" s="716"/>
      <c r="K94" s="707">
        <f t="shared" si="27"/>
        <v>1</v>
      </c>
      <c r="L94" s="716"/>
      <c r="M94" s="707">
        <f t="shared" si="28"/>
        <v>1</v>
      </c>
      <c r="N94" s="716"/>
      <c r="O94" s="707">
        <f t="shared" si="29"/>
        <v>1</v>
      </c>
      <c r="P94" s="716"/>
      <c r="Q94" s="707">
        <f t="shared" si="30"/>
        <v>1</v>
      </c>
      <c r="R94" s="768">
        <f t="shared" si="31"/>
        <v>0</v>
      </c>
      <c r="S94" s="706">
        <f t="shared" si="22"/>
        <v>0</v>
      </c>
    </row>
    <row r="95" spans="1:19">
      <c r="A95" s="714"/>
      <c r="B95" s="715"/>
      <c r="C95" s="707">
        <f t="shared" si="23"/>
        <v>1</v>
      </c>
      <c r="D95" s="716"/>
      <c r="E95" s="707">
        <f t="shared" si="24"/>
        <v>1</v>
      </c>
      <c r="F95" s="716"/>
      <c r="G95" s="707">
        <f t="shared" si="25"/>
        <v>1</v>
      </c>
      <c r="H95" s="716"/>
      <c r="I95" s="707">
        <f t="shared" si="26"/>
        <v>1</v>
      </c>
      <c r="J95" s="716"/>
      <c r="K95" s="707">
        <f t="shared" si="27"/>
        <v>1</v>
      </c>
      <c r="L95" s="716"/>
      <c r="M95" s="707">
        <f t="shared" si="28"/>
        <v>1</v>
      </c>
      <c r="N95" s="716"/>
      <c r="O95" s="707">
        <f t="shared" si="29"/>
        <v>1</v>
      </c>
      <c r="P95" s="716"/>
      <c r="Q95" s="707">
        <f t="shared" si="30"/>
        <v>1</v>
      </c>
      <c r="R95" s="768">
        <f t="shared" si="31"/>
        <v>0</v>
      </c>
      <c r="S95" s="706">
        <f t="shared" si="22"/>
        <v>0</v>
      </c>
    </row>
    <row r="96" spans="1:19">
      <c r="A96" s="714"/>
      <c r="B96" s="715"/>
      <c r="C96" s="707">
        <f t="shared" si="23"/>
        <v>1</v>
      </c>
      <c r="D96" s="716"/>
      <c r="E96" s="707">
        <f t="shared" si="24"/>
        <v>1</v>
      </c>
      <c r="F96" s="716"/>
      <c r="G96" s="707">
        <f t="shared" si="25"/>
        <v>1</v>
      </c>
      <c r="H96" s="716"/>
      <c r="I96" s="707">
        <f t="shared" si="26"/>
        <v>1</v>
      </c>
      <c r="J96" s="716"/>
      <c r="K96" s="707">
        <f t="shared" si="27"/>
        <v>1</v>
      </c>
      <c r="L96" s="716"/>
      <c r="M96" s="707">
        <f t="shared" si="28"/>
        <v>1</v>
      </c>
      <c r="N96" s="716"/>
      <c r="O96" s="707">
        <f t="shared" si="29"/>
        <v>1</v>
      </c>
      <c r="P96" s="716"/>
      <c r="Q96" s="707">
        <f t="shared" si="30"/>
        <v>1</v>
      </c>
      <c r="R96" s="768">
        <f t="shared" si="31"/>
        <v>0</v>
      </c>
      <c r="S96" s="706">
        <f t="shared" si="22"/>
        <v>0</v>
      </c>
    </row>
    <row r="97" spans="1:19">
      <c r="A97" s="714"/>
      <c r="B97" s="715"/>
      <c r="C97" s="707">
        <f t="shared" si="23"/>
        <v>1</v>
      </c>
      <c r="D97" s="716"/>
      <c r="E97" s="707">
        <f t="shared" si="24"/>
        <v>1</v>
      </c>
      <c r="F97" s="716"/>
      <c r="G97" s="707">
        <f t="shared" si="25"/>
        <v>1</v>
      </c>
      <c r="H97" s="716"/>
      <c r="I97" s="707">
        <f t="shared" si="26"/>
        <v>1</v>
      </c>
      <c r="J97" s="716"/>
      <c r="K97" s="707">
        <f t="shared" si="27"/>
        <v>1</v>
      </c>
      <c r="L97" s="716"/>
      <c r="M97" s="707">
        <f t="shared" si="28"/>
        <v>1</v>
      </c>
      <c r="N97" s="716"/>
      <c r="O97" s="707">
        <f t="shared" si="29"/>
        <v>1</v>
      </c>
      <c r="P97" s="716"/>
      <c r="Q97" s="707">
        <f t="shared" si="30"/>
        <v>1</v>
      </c>
      <c r="R97" s="768">
        <f t="shared" si="31"/>
        <v>0</v>
      </c>
      <c r="S97" s="706">
        <f t="shared" si="22"/>
        <v>0</v>
      </c>
    </row>
    <row r="98" spans="1:19">
      <c r="A98" s="714"/>
      <c r="B98" s="715"/>
      <c r="C98" s="707">
        <f t="shared" si="23"/>
        <v>1</v>
      </c>
      <c r="D98" s="716"/>
      <c r="E98" s="707">
        <f t="shared" si="24"/>
        <v>1</v>
      </c>
      <c r="F98" s="716"/>
      <c r="G98" s="707">
        <f t="shared" si="25"/>
        <v>1</v>
      </c>
      <c r="H98" s="716"/>
      <c r="I98" s="707">
        <f t="shared" si="26"/>
        <v>1</v>
      </c>
      <c r="J98" s="716"/>
      <c r="K98" s="707">
        <f t="shared" si="27"/>
        <v>1</v>
      </c>
      <c r="L98" s="716"/>
      <c r="M98" s="707">
        <f t="shared" si="28"/>
        <v>1</v>
      </c>
      <c r="N98" s="716"/>
      <c r="O98" s="707">
        <f t="shared" si="29"/>
        <v>1</v>
      </c>
      <c r="P98" s="716"/>
      <c r="Q98" s="707">
        <f t="shared" si="30"/>
        <v>1</v>
      </c>
      <c r="R98" s="768">
        <f t="shared" si="31"/>
        <v>0</v>
      </c>
      <c r="S98" s="706">
        <f t="shared" si="22"/>
        <v>0</v>
      </c>
    </row>
    <row r="99" spans="1:19">
      <c r="A99" s="714"/>
      <c r="B99" s="715"/>
      <c r="C99" s="707">
        <f t="shared" si="23"/>
        <v>1</v>
      </c>
      <c r="D99" s="716"/>
      <c r="E99" s="707">
        <f t="shared" si="24"/>
        <v>1</v>
      </c>
      <c r="F99" s="716"/>
      <c r="G99" s="707">
        <f t="shared" si="25"/>
        <v>1</v>
      </c>
      <c r="H99" s="716"/>
      <c r="I99" s="707">
        <f t="shared" si="26"/>
        <v>1</v>
      </c>
      <c r="J99" s="716"/>
      <c r="K99" s="707">
        <f t="shared" si="27"/>
        <v>1</v>
      </c>
      <c r="L99" s="716"/>
      <c r="M99" s="707">
        <f t="shared" si="28"/>
        <v>1</v>
      </c>
      <c r="N99" s="716"/>
      <c r="O99" s="707">
        <f t="shared" si="29"/>
        <v>1</v>
      </c>
      <c r="P99" s="716"/>
      <c r="Q99" s="707">
        <f t="shared" si="30"/>
        <v>1</v>
      </c>
      <c r="R99" s="768">
        <f t="shared" si="31"/>
        <v>0</v>
      </c>
      <c r="S99" s="706">
        <f t="shared" si="22"/>
        <v>0</v>
      </c>
    </row>
    <row r="100" spans="1:19">
      <c r="A100" s="714"/>
      <c r="B100" s="715"/>
      <c r="C100" s="707">
        <f t="shared" si="23"/>
        <v>1</v>
      </c>
      <c r="D100" s="716"/>
      <c r="E100" s="707">
        <f t="shared" si="24"/>
        <v>1</v>
      </c>
      <c r="F100" s="716"/>
      <c r="G100" s="707">
        <f t="shared" si="25"/>
        <v>1</v>
      </c>
      <c r="H100" s="716"/>
      <c r="I100" s="707">
        <f t="shared" si="26"/>
        <v>1</v>
      </c>
      <c r="J100" s="716"/>
      <c r="K100" s="707">
        <f t="shared" si="27"/>
        <v>1</v>
      </c>
      <c r="L100" s="716"/>
      <c r="M100" s="707">
        <f t="shared" si="28"/>
        <v>1</v>
      </c>
      <c r="N100" s="716"/>
      <c r="O100" s="707">
        <f t="shared" si="29"/>
        <v>1</v>
      </c>
      <c r="P100" s="716"/>
      <c r="Q100" s="707">
        <f t="shared" si="30"/>
        <v>1</v>
      </c>
      <c r="R100" s="768">
        <f t="shared" si="31"/>
        <v>0</v>
      </c>
      <c r="S100" s="706">
        <f t="shared" si="22"/>
        <v>0</v>
      </c>
    </row>
    <row r="101" spans="1:19">
      <c r="A101" s="714"/>
      <c r="B101" s="715"/>
      <c r="C101" s="707">
        <f t="shared" si="23"/>
        <v>1</v>
      </c>
      <c r="D101" s="716"/>
      <c r="E101" s="707">
        <f t="shared" si="24"/>
        <v>1</v>
      </c>
      <c r="F101" s="716"/>
      <c r="G101" s="707">
        <f t="shared" si="25"/>
        <v>1</v>
      </c>
      <c r="H101" s="716"/>
      <c r="I101" s="707">
        <f t="shared" si="26"/>
        <v>1</v>
      </c>
      <c r="J101" s="716"/>
      <c r="K101" s="707">
        <f t="shared" si="27"/>
        <v>1</v>
      </c>
      <c r="L101" s="716"/>
      <c r="M101" s="707">
        <f t="shared" si="28"/>
        <v>1</v>
      </c>
      <c r="N101" s="716"/>
      <c r="O101" s="707">
        <f t="shared" si="29"/>
        <v>1</v>
      </c>
      <c r="P101" s="716"/>
      <c r="Q101" s="707">
        <f t="shared" si="30"/>
        <v>1</v>
      </c>
      <c r="R101" s="768">
        <f t="shared" si="31"/>
        <v>0</v>
      </c>
      <c r="S101" s="706">
        <f t="shared" si="22"/>
        <v>0</v>
      </c>
    </row>
    <row r="102" spans="1:19">
      <c r="A102" s="714"/>
      <c r="B102" s="715"/>
      <c r="C102" s="707">
        <f t="shared" si="23"/>
        <v>1</v>
      </c>
      <c r="D102" s="716"/>
      <c r="E102" s="707">
        <f t="shared" si="24"/>
        <v>1</v>
      </c>
      <c r="F102" s="716"/>
      <c r="G102" s="707">
        <f t="shared" si="25"/>
        <v>1</v>
      </c>
      <c r="H102" s="716"/>
      <c r="I102" s="707">
        <f t="shared" si="26"/>
        <v>1</v>
      </c>
      <c r="J102" s="716"/>
      <c r="K102" s="707">
        <f t="shared" si="27"/>
        <v>1</v>
      </c>
      <c r="L102" s="716"/>
      <c r="M102" s="707">
        <f t="shared" si="28"/>
        <v>1</v>
      </c>
      <c r="N102" s="716"/>
      <c r="O102" s="707">
        <f t="shared" si="29"/>
        <v>1</v>
      </c>
      <c r="P102" s="716"/>
      <c r="Q102" s="707">
        <f t="shared" si="30"/>
        <v>1</v>
      </c>
      <c r="R102" s="768">
        <f t="shared" si="31"/>
        <v>0</v>
      </c>
      <c r="S102" s="706">
        <f t="shared" si="22"/>
        <v>0</v>
      </c>
    </row>
    <row r="103" spans="1:19">
      <c r="A103" s="714"/>
      <c r="B103" s="715"/>
      <c r="C103" s="707">
        <f t="shared" si="23"/>
        <v>1</v>
      </c>
      <c r="D103" s="716"/>
      <c r="E103" s="707">
        <f t="shared" si="24"/>
        <v>1</v>
      </c>
      <c r="F103" s="716"/>
      <c r="G103" s="707">
        <f t="shared" si="25"/>
        <v>1</v>
      </c>
      <c r="H103" s="716"/>
      <c r="I103" s="707">
        <f t="shared" si="26"/>
        <v>1</v>
      </c>
      <c r="J103" s="716"/>
      <c r="K103" s="707">
        <f t="shared" si="27"/>
        <v>1</v>
      </c>
      <c r="L103" s="716"/>
      <c r="M103" s="707">
        <f t="shared" si="28"/>
        <v>1</v>
      </c>
      <c r="N103" s="716"/>
      <c r="O103" s="707">
        <f t="shared" si="29"/>
        <v>1</v>
      </c>
      <c r="P103" s="716"/>
      <c r="Q103" s="707">
        <f t="shared" si="30"/>
        <v>1</v>
      </c>
      <c r="R103" s="768">
        <f t="shared" si="31"/>
        <v>0</v>
      </c>
      <c r="S103" s="706">
        <f t="shared" si="22"/>
        <v>0</v>
      </c>
    </row>
    <row r="104" spans="1:19">
      <c r="A104" s="714"/>
      <c r="B104" s="715"/>
      <c r="C104" s="707">
        <f t="shared" si="23"/>
        <v>1</v>
      </c>
      <c r="D104" s="716"/>
      <c r="E104" s="707">
        <f t="shared" si="24"/>
        <v>1</v>
      </c>
      <c r="F104" s="716"/>
      <c r="G104" s="707">
        <f t="shared" si="25"/>
        <v>1</v>
      </c>
      <c r="H104" s="716"/>
      <c r="I104" s="707">
        <f t="shared" si="26"/>
        <v>1</v>
      </c>
      <c r="J104" s="716"/>
      <c r="K104" s="707">
        <f t="shared" si="27"/>
        <v>1</v>
      </c>
      <c r="L104" s="716"/>
      <c r="M104" s="707">
        <f t="shared" si="28"/>
        <v>1</v>
      </c>
      <c r="N104" s="716"/>
      <c r="O104" s="707">
        <f t="shared" si="29"/>
        <v>1</v>
      </c>
      <c r="P104" s="716"/>
      <c r="Q104" s="707">
        <f t="shared" si="30"/>
        <v>1</v>
      </c>
      <c r="R104" s="768">
        <f t="shared" si="31"/>
        <v>0</v>
      </c>
      <c r="S104" s="706">
        <f t="shared" si="22"/>
        <v>0</v>
      </c>
    </row>
    <row r="105" spans="1:19">
      <c r="A105" s="714"/>
      <c r="B105" s="715"/>
      <c r="C105" s="707">
        <f t="shared" si="23"/>
        <v>1</v>
      </c>
      <c r="D105" s="716"/>
      <c r="E105" s="707">
        <f t="shared" si="24"/>
        <v>1</v>
      </c>
      <c r="F105" s="716"/>
      <c r="G105" s="707">
        <f t="shared" si="25"/>
        <v>1</v>
      </c>
      <c r="H105" s="716"/>
      <c r="I105" s="707">
        <f t="shared" si="26"/>
        <v>1</v>
      </c>
      <c r="J105" s="716"/>
      <c r="K105" s="707">
        <f t="shared" si="27"/>
        <v>1</v>
      </c>
      <c r="L105" s="716"/>
      <c r="M105" s="707">
        <f t="shared" si="28"/>
        <v>1</v>
      </c>
      <c r="N105" s="716"/>
      <c r="O105" s="707">
        <f t="shared" si="29"/>
        <v>1</v>
      </c>
      <c r="P105" s="716"/>
      <c r="Q105" s="707">
        <f t="shared" si="30"/>
        <v>1</v>
      </c>
      <c r="R105" s="768">
        <f t="shared" si="31"/>
        <v>0</v>
      </c>
      <c r="S105" s="706">
        <f t="shared" si="22"/>
        <v>0</v>
      </c>
    </row>
    <row r="106" spans="1:19">
      <c r="A106" s="714"/>
      <c r="B106" s="715"/>
      <c r="C106" s="707">
        <f t="shared" si="23"/>
        <v>1</v>
      </c>
      <c r="D106" s="716"/>
      <c r="E106" s="707">
        <f t="shared" si="24"/>
        <v>1</v>
      </c>
      <c r="F106" s="716"/>
      <c r="G106" s="707">
        <f t="shared" si="25"/>
        <v>1</v>
      </c>
      <c r="H106" s="716"/>
      <c r="I106" s="707">
        <f t="shared" si="26"/>
        <v>1</v>
      </c>
      <c r="J106" s="716"/>
      <c r="K106" s="707">
        <f t="shared" si="27"/>
        <v>1</v>
      </c>
      <c r="L106" s="716"/>
      <c r="M106" s="707">
        <f t="shared" si="28"/>
        <v>1</v>
      </c>
      <c r="N106" s="716"/>
      <c r="O106" s="707">
        <f t="shared" si="29"/>
        <v>1</v>
      </c>
      <c r="P106" s="716"/>
      <c r="Q106" s="707">
        <f t="shared" si="30"/>
        <v>1</v>
      </c>
      <c r="R106" s="768">
        <f t="shared" si="31"/>
        <v>0</v>
      </c>
      <c r="S106" s="706">
        <f t="shared" si="22"/>
        <v>0</v>
      </c>
    </row>
    <row r="107" spans="1:19">
      <c r="A107" s="714"/>
      <c r="B107" s="715"/>
      <c r="C107" s="707">
        <f t="shared" si="23"/>
        <v>1</v>
      </c>
      <c r="D107" s="716"/>
      <c r="E107" s="707">
        <f t="shared" si="24"/>
        <v>1</v>
      </c>
      <c r="F107" s="716"/>
      <c r="G107" s="707">
        <f t="shared" si="25"/>
        <v>1</v>
      </c>
      <c r="H107" s="716"/>
      <c r="I107" s="707">
        <f t="shared" si="26"/>
        <v>1</v>
      </c>
      <c r="J107" s="716"/>
      <c r="K107" s="707">
        <f t="shared" si="27"/>
        <v>1</v>
      </c>
      <c r="L107" s="716"/>
      <c r="M107" s="707">
        <f t="shared" si="28"/>
        <v>1</v>
      </c>
      <c r="N107" s="716"/>
      <c r="O107" s="707">
        <f t="shared" si="29"/>
        <v>1</v>
      </c>
      <c r="P107" s="716"/>
      <c r="Q107" s="707">
        <f t="shared" si="30"/>
        <v>1</v>
      </c>
      <c r="R107" s="768">
        <f t="shared" si="31"/>
        <v>0</v>
      </c>
      <c r="S107" s="706">
        <f t="shared" si="22"/>
        <v>0</v>
      </c>
    </row>
    <row r="108" spans="1:19">
      <c r="A108" s="714"/>
      <c r="B108" s="715"/>
      <c r="C108" s="707">
        <f t="shared" si="23"/>
        <v>1</v>
      </c>
      <c r="D108" s="716"/>
      <c r="E108" s="707">
        <f t="shared" si="24"/>
        <v>1</v>
      </c>
      <c r="F108" s="716"/>
      <c r="G108" s="707">
        <f t="shared" si="25"/>
        <v>1</v>
      </c>
      <c r="H108" s="716"/>
      <c r="I108" s="707">
        <f t="shared" si="26"/>
        <v>1</v>
      </c>
      <c r="J108" s="716"/>
      <c r="K108" s="707">
        <f t="shared" si="27"/>
        <v>1</v>
      </c>
      <c r="L108" s="716"/>
      <c r="M108" s="707">
        <f t="shared" si="28"/>
        <v>1</v>
      </c>
      <c r="N108" s="716"/>
      <c r="O108" s="707">
        <f t="shared" si="29"/>
        <v>1</v>
      </c>
      <c r="P108" s="716"/>
      <c r="Q108" s="707">
        <f t="shared" si="30"/>
        <v>1</v>
      </c>
      <c r="R108" s="768">
        <f t="shared" si="31"/>
        <v>0</v>
      </c>
      <c r="S108" s="706">
        <f t="shared" si="22"/>
        <v>0</v>
      </c>
    </row>
    <row r="109" spans="1:19">
      <c r="A109" s="714"/>
      <c r="B109" s="715"/>
      <c r="C109" s="707">
        <f t="shared" si="23"/>
        <v>1</v>
      </c>
      <c r="D109" s="716"/>
      <c r="E109" s="707">
        <f t="shared" si="24"/>
        <v>1</v>
      </c>
      <c r="F109" s="716"/>
      <c r="G109" s="707">
        <f t="shared" si="25"/>
        <v>1</v>
      </c>
      <c r="H109" s="716"/>
      <c r="I109" s="707">
        <f t="shared" si="26"/>
        <v>1</v>
      </c>
      <c r="J109" s="716"/>
      <c r="K109" s="707">
        <f t="shared" si="27"/>
        <v>1</v>
      </c>
      <c r="L109" s="716"/>
      <c r="M109" s="707">
        <f t="shared" si="28"/>
        <v>1</v>
      </c>
      <c r="N109" s="716"/>
      <c r="O109" s="707">
        <f t="shared" si="29"/>
        <v>1</v>
      </c>
      <c r="P109" s="716"/>
      <c r="Q109" s="707">
        <f t="shared" si="30"/>
        <v>1</v>
      </c>
      <c r="R109" s="768">
        <f t="shared" si="31"/>
        <v>0</v>
      </c>
      <c r="S109" s="706">
        <f t="shared" si="22"/>
        <v>0</v>
      </c>
    </row>
    <row r="110" spans="1:19">
      <c r="A110" s="714"/>
      <c r="B110" s="715"/>
      <c r="C110" s="707">
        <f t="shared" si="23"/>
        <v>1</v>
      </c>
      <c r="D110" s="716"/>
      <c r="E110" s="707">
        <f t="shared" si="24"/>
        <v>1</v>
      </c>
      <c r="F110" s="716"/>
      <c r="G110" s="707">
        <f t="shared" si="25"/>
        <v>1</v>
      </c>
      <c r="H110" s="716"/>
      <c r="I110" s="707">
        <f t="shared" si="26"/>
        <v>1</v>
      </c>
      <c r="J110" s="716"/>
      <c r="K110" s="707">
        <f t="shared" si="27"/>
        <v>1</v>
      </c>
      <c r="L110" s="716"/>
      <c r="M110" s="707">
        <f t="shared" si="28"/>
        <v>1</v>
      </c>
      <c r="N110" s="716"/>
      <c r="O110" s="707">
        <f t="shared" si="29"/>
        <v>1</v>
      </c>
      <c r="P110" s="716"/>
      <c r="Q110" s="707">
        <f t="shared" si="30"/>
        <v>1</v>
      </c>
      <c r="R110" s="768">
        <f t="shared" si="31"/>
        <v>0</v>
      </c>
      <c r="S110" s="706">
        <f t="shared" si="22"/>
        <v>0</v>
      </c>
    </row>
    <row r="111" spans="1:19">
      <c r="A111" s="714"/>
      <c r="B111" s="715"/>
      <c r="C111" s="707">
        <f t="shared" si="23"/>
        <v>1</v>
      </c>
      <c r="D111" s="716"/>
      <c r="E111" s="707">
        <f t="shared" si="24"/>
        <v>1</v>
      </c>
      <c r="F111" s="716"/>
      <c r="G111" s="707">
        <f t="shared" si="25"/>
        <v>1</v>
      </c>
      <c r="H111" s="716"/>
      <c r="I111" s="707">
        <f t="shared" si="26"/>
        <v>1</v>
      </c>
      <c r="J111" s="716"/>
      <c r="K111" s="707">
        <f t="shared" si="27"/>
        <v>1</v>
      </c>
      <c r="L111" s="716"/>
      <c r="M111" s="707">
        <f t="shared" si="28"/>
        <v>1</v>
      </c>
      <c r="N111" s="716"/>
      <c r="O111" s="707">
        <f t="shared" si="29"/>
        <v>1</v>
      </c>
      <c r="P111" s="716"/>
      <c r="Q111" s="707">
        <f t="shared" si="30"/>
        <v>1</v>
      </c>
      <c r="R111" s="768">
        <f t="shared" si="31"/>
        <v>0</v>
      </c>
      <c r="S111" s="706">
        <f t="shared" si="22"/>
        <v>0</v>
      </c>
    </row>
    <row r="112" spans="1:19">
      <c r="A112" s="714"/>
      <c r="B112" s="715"/>
      <c r="C112" s="707">
        <f t="shared" si="23"/>
        <v>1</v>
      </c>
      <c r="D112" s="716"/>
      <c r="E112" s="707">
        <f t="shared" si="24"/>
        <v>1</v>
      </c>
      <c r="F112" s="716"/>
      <c r="G112" s="707">
        <f t="shared" si="25"/>
        <v>1</v>
      </c>
      <c r="H112" s="716"/>
      <c r="I112" s="707">
        <f t="shared" si="26"/>
        <v>1</v>
      </c>
      <c r="J112" s="716"/>
      <c r="K112" s="707">
        <f t="shared" si="27"/>
        <v>1</v>
      </c>
      <c r="L112" s="716"/>
      <c r="M112" s="707">
        <f t="shared" si="28"/>
        <v>1</v>
      </c>
      <c r="N112" s="716"/>
      <c r="O112" s="707">
        <f t="shared" si="29"/>
        <v>1</v>
      </c>
      <c r="P112" s="716"/>
      <c r="Q112" s="707">
        <f t="shared" si="30"/>
        <v>1</v>
      </c>
      <c r="R112" s="768">
        <f t="shared" si="31"/>
        <v>0</v>
      </c>
      <c r="S112" s="706">
        <f t="shared" si="22"/>
        <v>0</v>
      </c>
    </row>
    <row r="113" spans="1:19">
      <c r="A113" s="714"/>
      <c r="B113" s="715"/>
      <c r="C113" s="707">
        <f t="shared" si="23"/>
        <v>1</v>
      </c>
      <c r="D113" s="716"/>
      <c r="E113" s="707">
        <f t="shared" si="24"/>
        <v>1</v>
      </c>
      <c r="F113" s="716"/>
      <c r="G113" s="707">
        <f t="shared" si="25"/>
        <v>1</v>
      </c>
      <c r="H113" s="716"/>
      <c r="I113" s="707">
        <f t="shared" si="26"/>
        <v>1</v>
      </c>
      <c r="J113" s="716"/>
      <c r="K113" s="707">
        <f t="shared" si="27"/>
        <v>1</v>
      </c>
      <c r="L113" s="716"/>
      <c r="M113" s="707">
        <f t="shared" si="28"/>
        <v>1</v>
      </c>
      <c r="N113" s="716"/>
      <c r="O113" s="707">
        <f t="shared" si="29"/>
        <v>1</v>
      </c>
      <c r="P113" s="716"/>
      <c r="Q113" s="707">
        <f t="shared" si="30"/>
        <v>1</v>
      </c>
      <c r="R113" s="768">
        <f t="shared" si="31"/>
        <v>0</v>
      </c>
      <c r="S113" s="706">
        <f t="shared" si="22"/>
        <v>0</v>
      </c>
    </row>
    <row r="114" spans="1:19">
      <c r="A114" s="714"/>
      <c r="B114" s="715"/>
      <c r="C114" s="707">
        <f t="shared" si="23"/>
        <v>1</v>
      </c>
      <c r="D114" s="716"/>
      <c r="E114" s="707">
        <f t="shared" si="24"/>
        <v>1</v>
      </c>
      <c r="F114" s="716"/>
      <c r="G114" s="707">
        <f t="shared" si="25"/>
        <v>1</v>
      </c>
      <c r="H114" s="716"/>
      <c r="I114" s="707">
        <f t="shared" si="26"/>
        <v>1</v>
      </c>
      <c r="J114" s="716"/>
      <c r="K114" s="707">
        <f t="shared" si="27"/>
        <v>1</v>
      </c>
      <c r="L114" s="716"/>
      <c r="M114" s="707">
        <f t="shared" si="28"/>
        <v>1</v>
      </c>
      <c r="N114" s="716"/>
      <c r="O114" s="707">
        <f t="shared" si="29"/>
        <v>1</v>
      </c>
      <c r="P114" s="716"/>
      <c r="Q114" s="707">
        <f t="shared" si="30"/>
        <v>1</v>
      </c>
      <c r="R114" s="768">
        <f t="shared" si="31"/>
        <v>0</v>
      </c>
      <c r="S114" s="706">
        <f t="shared" si="22"/>
        <v>0</v>
      </c>
    </row>
    <row r="115" spans="1:19">
      <c r="A115" s="714"/>
      <c r="B115" s="715"/>
      <c r="C115" s="707">
        <f t="shared" si="23"/>
        <v>1</v>
      </c>
      <c r="D115" s="716"/>
      <c r="E115" s="707">
        <f t="shared" si="24"/>
        <v>1</v>
      </c>
      <c r="F115" s="716"/>
      <c r="G115" s="707">
        <f t="shared" si="25"/>
        <v>1</v>
      </c>
      <c r="H115" s="716"/>
      <c r="I115" s="707">
        <f t="shared" si="26"/>
        <v>1</v>
      </c>
      <c r="J115" s="716"/>
      <c r="K115" s="707">
        <f t="shared" si="27"/>
        <v>1</v>
      </c>
      <c r="L115" s="716"/>
      <c r="M115" s="707">
        <f t="shared" si="28"/>
        <v>1</v>
      </c>
      <c r="N115" s="716"/>
      <c r="O115" s="707">
        <f t="shared" si="29"/>
        <v>1</v>
      </c>
      <c r="P115" s="716"/>
      <c r="Q115" s="707">
        <f t="shared" si="30"/>
        <v>1</v>
      </c>
      <c r="R115" s="768">
        <f t="shared" si="31"/>
        <v>0</v>
      </c>
      <c r="S115" s="706">
        <f t="shared" si="22"/>
        <v>0</v>
      </c>
    </row>
    <row r="116" spans="1:19">
      <c r="A116" s="714"/>
      <c r="B116" s="715"/>
      <c r="C116" s="707">
        <f t="shared" si="23"/>
        <v>1</v>
      </c>
      <c r="D116" s="716"/>
      <c r="E116" s="707">
        <f t="shared" si="24"/>
        <v>1</v>
      </c>
      <c r="F116" s="716"/>
      <c r="G116" s="707">
        <f t="shared" si="25"/>
        <v>1</v>
      </c>
      <c r="H116" s="716"/>
      <c r="I116" s="707">
        <f t="shared" si="26"/>
        <v>1</v>
      </c>
      <c r="J116" s="716"/>
      <c r="K116" s="707">
        <f t="shared" si="27"/>
        <v>1</v>
      </c>
      <c r="L116" s="716"/>
      <c r="M116" s="707">
        <f t="shared" si="28"/>
        <v>1</v>
      </c>
      <c r="N116" s="716"/>
      <c r="O116" s="707">
        <f t="shared" si="29"/>
        <v>1</v>
      </c>
      <c r="P116" s="716"/>
      <c r="Q116" s="707">
        <f t="shared" si="30"/>
        <v>1</v>
      </c>
      <c r="R116" s="768">
        <f t="shared" si="31"/>
        <v>0</v>
      </c>
      <c r="S116" s="706">
        <f t="shared" si="22"/>
        <v>0</v>
      </c>
    </row>
    <row r="117" spans="1:19">
      <c r="A117" s="714"/>
      <c r="B117" s="715"/>
      <c r="C117" s="707">
        <f t="shared" si="23"/>
        <v>1</v>
      </c>
      <c r="D117" s="716"/>
      <c r="E117" s="707">
        <f t="shared" si="24"/>
        <v>1</v>
      </c>
      <c r="F117" s="716"/>
      <c r="G117" s="707">
        <f t="shared" si="25"/>
        <v>1</v>
      </c>
      <c r="H117" s="716"/>
      <c r="I117" s="707">
        <f t="shared" si="26"/>
        <v>1</v>
      </c>
      <c r="J117" s="716"/>
      <c r="K117" s="707">
        <f t="shared" si="27"/>
        <v>1</v>
      </c>
      <c r="L117" s="716"/>
      <c r="M117" s="707">
        <f t="shared" si="28"/>
        <v>1</v>
      </c>
      <c r="N117" s="716"/>
      <c r="O117" s="707">
        <f t="shared" si="29"/>
        <v>1</v>
      </c>
      <c r="P117" s="716"/>
      <c r="Q117" s="707">
        <f t="shared" si="30"/>
        <v>1</v>
      </c>
      <c r="R117" s="768">
        <f t="shared" si="31"/>
        <v>0</v>
      </c>
      <c r="S117" s="706">
        <f t="shared" si="22"/>
        <v>0</v>
      </c>
    </row>
    <row r="118" spans="1:19">
      <c r="A118" s="714"/>
      <c r="B118" s="715"/>
      <c r="C118" s="707">
        <f t="shared" si="23"/>
        <v>1</v>
      </c>
      <c r="D118" s="716"/>
      <c r="E118" s="707">
        <f t="shared" si="24"/>
        <v>1</v>
      </c>
      <c r="F118" s="716"/>
      <c r="G118" s="707">
        <f t="shared" si="25"/>
        <v>1</v>
      </c>
      <c r="H118" s="716"/>
      <c r="I118" s="707">
        <f t="shared" si="26"/>
        <v>1</v>
      </c>
      <c r="J118" s="716"/>
      <c r="K118" s="707">
        <f t="shared" si="27"/>
        <v>1</v>
      </c>
      <c r="L118" s="716"/>
      <c r="M118" s="707">
        <f t="shared" si="28"/>
        <v>1</v>
      </c>
      <c r="N118" s="716"/>
      <c r="O118" s="707">
        <f t="shared" si="29"/>
        <v>1</v>
      </c>
      <c r="P118" s="716"/>
      <c r="Q118" s="707">
        <f t="shared" si="30"/>
        <v>1</v>
      </c>
      <c r="R118" s="768">
        <f t="shared" si="31"/>
        <v>0</v>
      </c>
      <c r="S118" s="706">
        <f t="shared" si="22"/>
        <v>0</v>
      </c>
    </row>
    <row r="119" spans="1:19">
      <c r="A119" s="714"/>
      <c r="B119" s="715"/>
      <c r="C119" s="707">
        <f t="shared" si="23"/>
        <v>1</v>
      </c>
      <c r="D119" s="716"/>
      <c r="E119" s="707">
        <f t="shared" si="24"/>
        <v>1</v>
      </c>
      <c r="F119" s="716"/>
      <c r="G119" s="707">
        <f t="shared" si="25"/>
        <v>1</v>
      </c>
      <c r="H119" s="716"/>
      <c r="I119" s="707">
        <f t="shared" si="26"/>
        <v>1</v>
      </c>
      <c r="J119" s="716"/>
      <c r="K119" s="707">
        <f t="shared" si="27"/>
        <v>1</v>
      </c>
      <c r="L119" s="716"/>
      <c r="M119" s="707">
        <f t="shared" si="28"/>
        <v>1</v>
      </c>
      <c r="N119" s="716"/>
      <c r="O119" s="707">
        <f t="shared" si="29"/>
        <v>1</v>
      </c>
      <c r="P119" s="716"/>
      <c r="Q119" s="707">
        <f t="shared" si="30"/>
        <v>1</v>
      </c>
      <c r="R119" s="768">
        <f t="shared" si="31"/>
        <v>0</v>
      </c>
      <c r="S119" s="706">
        <f t="shared" si="22"/>
        <v>0</v>
      </c>
    </row>
    <row r="120" spans="1:19">
      <c r="A120" s="714"/>
      <c r="B120" s="715"/>
      <c r="C120" s="707">
        <f t="shared" si="23"/>
        <v>1</v>
      </c>
      <c r="D120" s="716"/>
      <c r="E120" s="707">
        <f t="shared" si="24"/>
        <v>1</v>
      </c>
      <c r="F120" s="716"/>
      <c r="G120" s="707">
        <f t="shared" si="25"/>
        <v>1</v>
      </c>
      <c r="H120" s="716"/>
      <c r="I120" s="707">
        <f t="shared" si="26"/>
        <v>1</v>
      </c>
      <c r="J120" s="716"/>
      <c r="K120" s="707">
        <f t="shared" si="27"/>
        <v>1</v>
      </c>
      <c r="L120" s="716"/>
      <c r="M120" s="707">
        <f t="shared" si="28"/>
        <v>1</v>
      </c>
      <c r="N120" s="716"/>
      <c r="O120" s="707">
        <f t="shared" si="29"/>
        <v>1</v>
      </c>
      <c r="P120" s="716"/>
      <c r="Q120" s="707">
        <f t="shared" si="30"/>
        <v>1</v>
      </c>
      <c r="R120" s="768">
        <f t="shared" si="31"/>
        <v>0</v>
      </c>
      <c r="S120" s="706">
        <f t="shared" si="22"/>
        <v>0</v>
      </c>
    </row>
    <row r="121" spans="1:19">
      <c r="A121" s="714"/>
      <c r="B121" s="715"/>
      <c r="C121" s="707">
        <f t="shared" si="23"/>
        <v>1</v>
      </c>
      <c r="D121" s="716"/>
      <c r="E121" s="707">
        <f t="shared" si="24"/>
        <v>1</v>
      </c>
      <c r="F121" s="716"/>
      <c r="G121" s="707">
        <f t="shared" si="25"/>
        <v>1</v>
      </c>
      <c r="H121" s="716"/>
      <c r="I121" s="707">
        <f t="shared" si="26"/>
        <v>1</v>
      </c>
      <c r="J121" s="716"/>
      <c r="K121" s="707">
        <f t="shared" si="27"/>
        <v>1</v>
      </c>
      <c r="L121" s="716"/>
      <c r="M121" s="707">
        <f t="shared" si="28"/>
        <v>1</v>
      </c>
      <c r="N121" s="716"/>
      <c r="O121" s="707">
        <f t="shared" si="29"/>
        <v>1</v>
      </c>
      <c r="P121" s="716"/>
      <c r="Q121" s="707">
        <f t="shared" si="30"/>
        <v>1</v>
      </c>
      <c r="R121" s="768">
        <f t="shared" si="31"/>
        <v>0</v>
      </c>
      <c r="S121" s="706">
        <f t="shared" si="22"/>
        <v>0</v>
      </c>
    </row>
    <row r="122" spans="1:19">
      <c r="A122" s="714"/>
      <c r="B122" s="715"/>
      <c r="C122" s="707">
        <f t="shared" si="23"/>
        <v>1</v>
      </c>
      <c r="D122" s="716"/>
      <c r="E122" s="707">
        <f t="shared" si="24"/>
        <v>1</v>
      </c>
      <c r="F122" s="716"/>
      <c r="G122" s="707">
        <f t="shared" si="25"/>
        <v>1</v>
      </c>
      <c r="H122" s="716"/>
      <c r="I122" s="707">
        <f t="shared" si="26"/>
        <v>1</v>
      </c>
      <c r="J122" s="716"/>
      <c r="K122" s="707">
        <f t="shared" si="27"/>
        <v>1</v>
      </c>
      <c r="L122" s="716"/>
      <c r="M122" s="707">
        <f t="shared" si="28"/>
        <v>1</v>
      </c>
      <c r="N122" s="716"/>
      <c r="O122" s="707">
        <f t="shared" si="29"/>
        <v>1</v>
      </c>
      <c r="P122" s="716"/>
      <c r="Q122" s="707">
        <f t="shared" si="30"/>
        <v>1</v>
      </c>
      <c r="R122" s="768">
        <f t="shared" si="31"/>
        <v>0</v>
      </c>
      <c r="S122" s="706">
        <f t="shared" si="22"/>
        <v>0</v>
      </c>
    </row>
    <row r="123" spans="1:19">
      <c r="A123" s="714"/>
      <c r="B123" s="715"/>
      <c r="C123" s="707">
        <f t="shared" si="23"/>
        <v>1</v>
      </c>
      <c r="D123" s="716"/>
      <c r="E123" s="707">
        <f t="shared" si="24"/>
        <v>1</v>
      </c>
      <c r="F123" s="716"/>
      <c r="G123" s="707">
        <f t="shared" si="25"/>
        <v>1</v>
      </c>
      <c r="H123" s="716"/>
      <c r="I123" s="707">
        <f t="shared" si="26"/>
        <v>1</v>
      </c>
      <c r="J123" s="716"/>
      <c r="K123" s="707">
        <f t="shared" si="27"/>
        <v>1</v>
      </c>
      <c r="L123" s="716"/>
      <c r="M123" s="707">
        <f t="shared" si="28"/>
        <v>1</v>
      </c>
      <c r="N123" s="716"/>
      <c r="O123" s="707">
        <f t="shared" si="29"/>
        <v>1</v>
      </c>
      <c r="P123" s="716"/>
      <c r="Q123" s="707">
        <f t="shared" si="30"/>
        <v>1</v>
      </c>
      <c r="R123" s="768">
        <f t="shared" si="31"/>
        <v>0</v>
      </c>
      <c r="S123" s="706">
        <f t="shared" ref="S123:S186" si="32">ROUND(R123*B123/10000,0)</f>
        <v>0</v>
      </c>
    </row>
    <row r="124" spans="1:19">
      <c r="A124" s="714"/>
      <c r="B124" s="715"/>
      <c r="C124" s="707">
        <f t="shared" si="23"/>
        <v>1</v>
      </c>
      <c r="D124" s="716"/>
      <c r="E124" s="707">
        <f t="shared" si="24"/>
        <v>1</v>
      </c>
      <c r="F124" s="716"/>
      <c r="G124" s="707">
        <f t="shared" si="25"/>
        <v>1</v>
      </c>
      <c r="H124" s="716"/>
      <c r="I124" s="707">
        <f t="shared" si="26"/>
        <v>1</v>
      </c>
      <c r="J124" s="716"/>
      <c r="K124" s="707">
        <f t="shared" si="27"/>
        <v>1</v>
      </c>
      <c r="L124" s="716"/>
      <c r="M124" s="707">
        <f t="shared" si="28"/>
        <v>1</v>
      </c>
      <c r="N124" s="716"/>
      <c r="O124" s="707">
        <f t="shared" si="29"/>
        <v>1</v>
      </c>
      <c r="P124" s="716"/>
      <c r="Q124" s="707">
        <f t="shared" si="30"/>
        <v>1</v>
      </c>
      <c r="R124" s="768">
        <f t="shared" si="31"/>
        <v>0</v>
      </c>
      <c r="S124" s="706">
        <f t="shared" si="32"/>
        <v>0</v>
      </c>
    </row>
    <row r="125" spans="1:19">
      <c r="A125" s="714"/>
      <c r="B125" s="715"/>
      <c r="C125" s="707">
        <f t="shared" si="23"/>
        <v>1</v>
      </c>
      <c r="D125" s="716"/>
      <c r="E125" s="707">
        <f t="shared" si="24"/>
        <v>1</v>
      </c>
      <c r="F125" s="716"/>
      <c r="G125" s="707">
        <f t="shared" si="25"/>
        <v>1</v>
      </c>
      <c r="H125" s="716"/>
      <c r="I125" s="707">
        <f t="shared" si="26"/>
        <v>1</v>
      </c>
      <c r="J125" s="716"/>
      <c r="K125" s="707">
        <f t="shared" si="27"/>
        <v>1</v>
      </c>
      <c r="L125" s="716"/>
      <c r="M125" s="707">
        <f t="shared" si="28"/>
        <v>1</v>
      </c>
      <c r="N125" s="716"/>
      <c r="O125" s="707">
        <f t="shared" si="29"/>
        <v>1</v>
      </c>
      <c r="P125" s="716"/>
      <c r="Q125" s="707">
        <f t="shared" si="30"/>
        <v>1</v>
      </c>
      <c r="R125" s="768">
        <f t="shared" si="31"/>
        <v>0</v>
      </c>
      <c r="S125" s="706">
        <f t="shared" si="32"/>
        <v>0</v>
      </c>
    </row>
    <row r="126" spans="1:19">
      <c r="A126" s="714"/>
      <c r="B126" s="715"/>
      <c r="C126" s="707">
        <f t="shared" si="23"/>
        <v>1</v>
      </c>
      <c r="D126" s="716"/>
      <c r="E126" s="707">
        <f t="shared" si="24"/>
        <v>1</v>
      </c>
      <c r="F126" s="716"/>
      <c r="G126" s="707">
        <f t="shared" si="25"/>
        <v>1</v>
      </c>
      <c r="H126" s="716"/>
      <c r="I126" s="707">
        <f t="shared" si="26"/>
        <v>1</v>
      </c>
      <c r="J126" s="716"/>
      <c r="K126" s="707">
        <f t="shared" si="27"/>
        <v>1</v>
      </c>
      <c r="L126" s="716"/>
      <c r="M126" s="707">
        <f t="shared" si="28"/>
        <v>1</v>
      </c>
      <c r="N126" s="716"/>
      <c r="O126" s="707">
        <f t="shared" si="29"/>
        <v>1</v>
      </c>
      <c r="P126" s="716"/>
      <c r="Q126" s="707">
        <f t="shared" si="30"/>
        <v>1</v>
      </c>
      <c r="R126" s="768">
        <f t="shared" si="31"/>
        <v>0</v>
      </c>
      <c r="S126" s="706">
        <f t="shared" si="32"/>
        <v>0</v>
      </c>
    </row>
    <row r="127" spans="1:19">
      <c r="A127" s="714"/>
      <c r="B127" s="715"/>
      <c r="C127" s="707">
        <f t="shared" si="23"/>
        <v>1</v>
      </c>
      <c r="D127" s="716"/>
      <c r="E127" s="707">
        <f t="shared" si="24"/>
        <v>1</v>
      </c>
      <c r="F127" s="716"/>
      <c r="G127" s="707">
        <f t="shared" si="25"/>
        <v>1</v>
      </c>
      <c r="H127" s="716"/>
      <c r="I127" s="707">
        <f t="shared" si="26"/>
        <v>1</v>
      </c>
      <c r="J127" s="716"/>
      <c r="K127" s="707">
        <f t="shared" si="27"/>
        <v>1</v>
      </c>
      <c r="L127" s="716"/>
      <c r="M127" s="707">
        <f t="shared" si="28"/>
        <v>1</v>
      </c>
      <c r="N127" s="716"/>
      <c r="O127" s="707">
        <f t="shared" si="29"/>
        <v>1</v>
      </c>
      <c r="P127" s="716"/>
      <c r="Q127" s="707">
        <f t="shared" si="30"/>
        <v>1</v>
      </c>
      <c r="R127" s="768">
        <f t="shared" si="31"/>
        <v>0</v>
      </c>
      <c r="S127" s="706">
        <f t="shared" si="32"/>
        <v>0</v>
      </c>
    </row>
    <row r="128" spans="1:19">
      <c r="A128" s="714"/>
      <c r="B128" s="715"/>
      <c r="C128" s="707">
        <f t="shared" si="23"/>
        <v>1</v>
      </c>
      <c r="D128" s="716"/>
      <c r="E128" s="707">
        <f t="shared" si="24"/>
        <v>1</v>
      </c>
      <c r="F128" s="716"/>
      <c r="G128" s="707">
        <f t="shared" si="25"/>
        <v>1</v>
      </c>
      <c r="H128" s="716"/>
      <c r="I128" s="707">
        <f t="shared" si="26"/>
        <v>1</v>
      </c>
      <c r="J128" s="716"/>
      <c r="K128" s="707">
        <f t="shared" si="27"/>
        <v>1</v>
      </c>
      <c r="L128" s="716"/>
      <c r="M128" s="707">
        <f t="shared" si="28"/>
        <v>1</v>
      </c>
      <c r="N128" s="716"/>
      <c r="O128" s="707">
        <f t="shared" si="29"/>
        <v>1</v>
      </c>
      <c r="P128" s="716"/>
      <c r="Q128" s="707">
        <f t="shared" si="30"/>
        <v>1</v>
      </c>
      <c r="R128" s="768">
        <f t="shared" si="31"/>
        <v>0</v>
      </c>
      <c r="S128" s="706">
        <f t="shared" si="32"/>
        <v>0</v>
      </c>
    </row>
    <row r="129" spans="1:19">
      <c r="A129" s="714"/>
      <c r="B129" s="715"/>
      <c r="C129" s="707">
        <f t="shared" si="23"/>
        <v>1</v>
      </c>
      <c r="D129" s="716"/>
      <c r="E129" s="707">
        <f t="shared" si="24"/>
        <v>1</v>
      </c>
      <c r="F129" s="716"/>
      <c r="G129" s="707">
        <f t="shared" si="25"/>
        <v>1</v>
      </c>
      <c r="H129" s="716"/>
      <c r="I129" s="707">
        <f t="shared" si="26"/>
        <v>1</v>
      </c>
      <c r="J129" s="716"/>
      <c r="K129" s="707">
        <f t="shared" si="27"/>
        <v>1</v>
      </c>
      <c r="L129" s="716"/>
      <c r="M129" s="707">
        <f t="shared" si="28"/>
        <v>1</v>
      </c>
      <c r="N129" s="716"/>
      <c r="O129" s="707">
        <f t="shared" si="29"/>
        <v>1</v>
      </c>
      <c r="P129" s="716"/>
      <c r="Q129" s="707">
        <f t="shared" si="30"/>
        <v>1</v>
      </c>
      <c r="R129" s="768">
        <f t="shared" si="31"/>
        <v>0</v>
      </c>
      <c r="S129" s="706">
        <f t="shared" si="32"/>
        <v>0</v>
      </c>
    </row>
    <row r="130" spans="1:19">
      <c r="A130" s="714"/>
      <c r="B130" s="715"/>
      <c r="C130" s="707">
        <f t="shared" si="23"/>
        <v>1</v>
      </c>
      <c r="D130" s="716"/>
      <c r="E130" s="707">
        <f t="shared" si="24"/>
        <v>1</v>
      </c>
      <c r="F130" s="716"/>
      <c r="G130" s="707">
        <f t="shared" si="25"/>
        <v>1</v>
      </c>
      <c r="H130" s="716"/>
      <c r="I130" s="707">
        <f t="shared" si="26"/>
        <v>1</v>
      </c>
      <c r="J130" s="716"/>
      <c r="K130" s="707">
        <f t="shared" si="27"/>
        <v>1</v>
      </c>
      <c r="L130" s="716"/>
      <c r="M130" s="707">
        <f t="shared" si="28"/>
        <v>1</v>
      </c>
      <c r="N130" s="716"/>
      <c r="O130" s="707">
        <f t="shared" si="29"/>
        <v>1</v>
      </c>
      <c r="P130" s="716"/>
      <c r="Q130" s="707">
        <f t="shared" si="30"/>
        <v>1</v>
      </c>
      <c r="R130" s="768">
        <f t="shared" si="31"/>
        <v>0</v>
      </c>
      <c r="S130" s="706">
        <f t="shared" si="32"/>
        <v>0</v>
      </c>
    </row>
    <row r="131" spans="1:19">
      <c r="A131" s="714"/>
      <c r="B131" s="715"/>
      <c r="C131" s="707">
        <f t="shared" si="23"/>
        <v>1</v>
      </c>
      <c r="D131" s="716"/>
      <c r="E131" s="707">
        <f t="shared" si="24"/>
        <v>1</v>
      </c>
      <c r="F131" s="716"/>
      <c r="G131" s="707">
        <f t="shared" si="25"/>
        <v>1</v>
      </c>
      <c r="H131" s="716"/>
      <c r="I131" s="707">
        <f t="shared" si="26"/>
        <v>1</v>
      </c>
      <c r="J131" s="716"/>
      <c r="K131" s="707">
        <f t="shared" si="27"/>
        <v>1</v>
      </c>
      <c r="L131" s="716"/>
      <c r="M131" s="707">
        <f t="shared" si="28"/>
        <v>1</v>
      </c>
      <c r="N131" s="716"/>
      <c r="O131" s="707">
        <f t="shared" si="29"/>
        <v>1</v>
      </c>
      <c r="P131" s="716"/>
      <c r="Q131" s="707">
        <f t="shared" si="30"/>
        <v>1</v>
      </c>
      <c r="R131" s="768">
        <f t="shared" si="31"/>
        <v>0</v>
      </c>
      <c r="S131" s="706">
        <f t="shared" si="32"/>
        <v>0</v>
      </c>
    </row>
    <row r="132" spans="1:19">
      <c r="A132" s="714"/>
      <c r="B132" s="715"/>
      <c r="C132" s="707">
        <f t="shared" si="23"/>
        <v>1</v>
      </c>
      <c r="D132" s="716"/>
      <c r="E132" s="707">
        <f t="shared" si="24"/>
        <v>1</v>
      </c>
      <c r="F132" s="716"/>
      <c r="G132" s="707">
        <f t="shared" si="25"/>
        <v>1</v>
      </c>
      <c r="H132" s="716"/>
      <c r="I132" s="707">
        <f t="shared" si="26"/>
        <v>1</v>
      </c>
      <c r="J132" s="716"/>
      <c r="K132" s="707">
        <f t="shared" si="27"/>
        <v>1</v>
      </c>
      <c r="L132" s="716"/>
      <c r="M132" s="707">
        <f t="shared" si="28"/>
        <v>1</v>
      </c>
      <c r="N132" s="716"/>
      <c r="O132" s="707">
        <f t="shared" si="29"/>
        <v>1</v>
      </c>
      <c r="P132" s="716"/>
      <c r="Q132" s="707">
        <f t="shared" si="30"/>
        <v>1</v>
      </c>
      <c r="R132" s="768">
        <f t="shared" si="31"/>
        <v>0</v>
      </c>
      <c r="S132" s="706">
        <f t="shared" si="32"/>
        <v>0</v>
      </c>
    </row>
    <row r="133" spans="1:19">
      <c r="A133" s="714"/>
      <c r="B133" s="715"/>
      <c r="C133" s="707">
        <f t="shared" si="23"/>
        <v>1</v>
      </c>
      <c r="D133" s="716"/>
      <c r="E133" s="707">
        <f t="shared" si="24"/>
        <v>1</v>
      </c>
      <c r="F133" s="716"/>
      <c r="G133" s="707">
        <f t="shared" si="25"/>
        <v>1</v>
      </c>
      <c r="H133" s="716"/>
      <c r="I133" s="707">
        <f t="shared" si="26"/>
        <v>1</v>
      </c>
      <c r="J133" s="716"/>
      <c r="K133" s="707">
        <f t="shared" si="27"/>
        <v>1</v>
      </c>
      <c r="L133" s="716"/>
      <c r="M133" s="707">
        <f t="shared" si="28"/>
        <v>1</v>
      </c>
      <c r="N133" s="716"/>
      <c r="O133" s="707">
        <f t="shared" si="29"/>
        <v>1</v>
      </c>
      <c r="P133" s="716"/>
      <c r="Q133" s="707">
        <f t="shared" si="30"/>
        <v>1</v>
      </c>
      <c r="R133" s="768">
        <f t="shared" si="31"/>
        <v>0</v>
      </c>
      <c r="S133" s="706">
        <f t="shared" si="32"/>
        <v>0</v>
      </c>
    </row>
    <row r="134" spans="1:19">
      <c r="A134" s="714"/>
      <c r="B134" s="715"/>
      <c r="C134" s="707">
        <f t="shared" si="23"/>
        <v>1</v>
      </c>
      <c r="D134" s="716"/>
      <c r="E134" s="707">
        <f t="shared" si="24"/>
        <v>1</v>
      </c>
      <c r="F134" s="716"/>
      <c r="G134" s="707">
        <f t="shared" si="25"/>
        <v>1</v>
      </c>
      <c r="H134" s="716"/>
      <c r="I134" s="707">
        <f t="shared" si="26"/>
        <v>1</v>
      </c>
      <c r="J134" s="716"/>
      <c r="K134" s="707">
        <f t="shared" si="27"/>
        <v>1</v>
      </c>
      <c r="L134" s="716"/>
      <c r="M134" s="707">
        <f t="shared" si="28"/>
        <v>1</v>
      </c>
      <c r="N134" s="716"/>
      <c r="O134" s="707">
        <f t="shared" si="29"/>
        <v>1</v>
      </c>
      <c r="P134" s="716"/>
      <c r="Q134" s="707">
        <f t="shared" si="30"/>
        <v>1</v>
      </c>
      <c r="R134" s="768">
        <f t="shared" si="31"/>
        <v>0</v>
      </c>
      <c r="S134" s="706">
        <f t="shared" si="32"/>
        <v>0</v>
      </c>
    </row>
    <row r="135" spans="1:19">
      <c r="A135" s="714"/>
      <c r="B135" s="715"/>
      <c r="C135" s="707">
        <f t="shared" si="23"/>
        <v>1</v>
      </c>
      <c r="D135" s="716"/>
      <c r="E135" s="707">
        <f t="shared" si="24"/>
        <v>1</v>
      </c>
      <c r="F135" s="716"/>
      <c r="G135" s="707">
        <f t="shared" si="25"/>
        <v>1</v>
      </c>
      <c r="H135" s="716"/>
      <c r="I135" s="707">
        <f t="shared" si="26"/>
        <v>1</v>
      </c>
      <c r="J135" s="716"/>
      <c r="K135" s="707">
        <f t="shared" si="27"/>
        <v>1</v>
      </c>
      <c r="L135" s="716"/>
      <c r="M135" s="707">
        <f t="shared" si="28"/>
        <v>1</v>
      </c>
      <c r="N135" s="716"/>
      <c r="O135" s="707">
        <f t="shared" si="29"/>
        <v>1</v>
      </c>
      <c r="P135" s="716"/>
      <c r="Q135" s="707">
        <f t="shared" si="30"/>
        <v>1</v>
      </c>
      <c r="R135" s="768">
        <f t="shared" si="31"/>
        <v>0</v>
      </c>
      <c r="S135" s="706">
        <f t="shared" si="32"/>
        <v>0</v>
      </c>
    </row>
    <row r="136" spans="1:19">
      <c r="A136" s="714"/>
      <c r="B136" s="715"/>
      <c r="C136" s="707">
        <f t="shared" si="23"/>
        <v>1</v>
      </c>
      <c r="D136" s="716"/>
      <c r="E136" s="707">
        <f t="shared" si="24"/>
        <v>1</v>
      </c>
      <c r="F136" s="716"/>
      <c r="G136" s="707">
        <f t="shared" si="25"/>
        <v>1</v>
      </c>
      <c r="H136" s="716"/>
      <c r="I136" s="707">
        <f t="shared" si="26"/>
        <v>1</v>
      </c>
      <c r="J136" s="716"/>
      <c r="K136" s="707">
        <f t="shared" si="27"/>
        <v>1</v>
      </c>
      <c r="L136" s="716"/>
      <c r="M136" s="707">
        <f t="shared" si="28"/>
        <v>1</v>
      </c>
      <c r="N136" s="716"/>
      <c r="O136" s="707">
        <f t="shared" si="29"/>
        <v>1</v>
      </c>
      <c r="P136" s="716"/>
      <c r="Q136" s="707">
        <f t="shared" si="30"/>
        <v>1</v>
      </c>
      <c r="R136" s="768">
        <f t="shared" si="31"/>
        <v>0</v>
      </c>
      <c r="S136" s="706">
        <f t="shared" si="32"/>
        <v>0</v>
      </c>
    </row>
    <row r="137" spans="1:19">
      <c r="A137" s="714"/>
      <c r="B137" s="715"/>
      <c r="C137" s="707">
        <f t="shared" si="23"/>
        <v>1</v>
      </c>
      <c r="D137" s="716"/>
      <c r="E137" s="707">
        <f t="shared" si="24"/>
        <v>1</v>
      </c>
      <c r="F137" s="716"/>
      <c r="G137" s="707">
        <f t="shared" si="25"/>
        <v>1</v>
      </c>
      <c r="H137" s="716"/>
      <c r="I137" s="707">
        <f t="shared" si="26"/>
        <v>1</v>
      </c>
      <c r="J137" s="716"/>
      <c r="K137" s="707">
        <f t="shared" si="27"/>
        <v>1</v>
      </c>
      <c r="L137" s="716"/>
      <c r="M137" s="707">
        <f t="shared" si="28"/>
        <v>1</v>
      </c>
      <c r="N137" s="716"/>
      <c r="O137" s="707">
        <f t="shared" si="29"/>
        <v>1</v>
      </c>
      <c r="P137" s="716"/>
      <c r="Q137" s="707">
        <f t="shared" si="30"/>
        <v>1</v>
      </c>
      <c r="R137" s="768">
        <f t="shared" si="31"/>
        <v>0</v>
      </c>
      <c r="S137" s="706">
        <f t="shared" si="32"/>
        <v>0</v>
      </c>
    </row>
    <row r="138" spans="1:19">
      <c r="A138" s="714"/>
      <c r="B138" s="715"/>
      <c r="C138" s="707">
        <f t="shared" si="23"/>
        <v>1</v>
      </c>
      <c r="D138" s="716"/>
      <c r="E138" s="707">
        <f t="shared" si="24"/>
        <v>1</v>
      </c>
      <c r="F138" s="716"/>
      <c r="G138" s="707">
        <f t="shared" si="25"/>
        <v>1</v>
      </c>
      <c r="H138" s="716"/>
      <c r="I138" s="707">
        <f t="shared" si="26"/>
        <v>1</v>
      </c>
      <c r="J138" s="716"/>
      <c r="K138" s="707">
        <f t="shared" si="27"/>
        <v>1</v>
      </c>
      <c r="L138" s="716"/>
      <c r="M138" s="707">
        <f t="shared" si="28"/>
        <v>1</v>
      </c>
      <c r="N138" s="716"/>
      <c r="O138" s="707">
        <f t="shared" si="29"/>
        <v>1</v>
      </c>
      <c r="P138" s="716"/>
      <c r="Q138" s="707">
        <f t="shared" si="30"/>
        <v>1</v>
      </c>
      <c r="R138" s="768">
        <f t="shared" si="31"/>
        <v>0</v>
      </c>
      <c r="S138" s="706">
        <f t="shared" si="32"/>
        <v>0</v>
      </c>
    </row>
    <row r="139" spans="1:19">
      <c r="A139" s="714"/>
      <c r="B139" s="715"/>
      <c r="C139" s="707">
        <f t="shared" si="23"/>
        <v>1</v>
      </c>
      <c r="D139" s="716"/>
      <c r="E139" s="707">
        <f t="shared" si="24"/>
        <v>1</v>
      </c>
      <c r="F139" s="716"/>
      <c r="G139" s="707">
        <f t="shared" si="25"/>
        <v>1</v>
      </c>
      <c r="H139" s="716"/>
      <c r="I139" s="707">
        <f t="shared" si="26"/>
        <v>1</v>
      </c>
      <c r="J139" s="716"/>
      <c r="K139" s="707">
        <f t="shared" si="27"/>
        <v>1</v>
      </c>
      <c r="L139" s="716"/>
      <c r="M139" s="707">
        <f t="shared" si="28"/>
        <v>1</v>
      </c>
      <c r="N139" s="716"/>
      <c r="O139" s="707">
        <f t="shared" si="29"/>
        <v>1</v>
      </c>
      <c r="P139" s="716"/>
      <c r="Q139" s="707">
        <f t="shared" si="30"/>
        <v>1</v>
      </c>
      <c r="R139" s="768">
        <f t="shared" si="31"/>
        <v>0</v>
      </c>
      <c r="S139" s="706">
        <f t="shared" si="32"/>
        <v>0</v>
      </c>
    </row>
    <row r="140" spans="1:19">
      <c r="A140" s="714"/>
      <c r="B140" s="715"/>
      <c r="C140" s="707">
        <f t="shared" si="23"/>
        <v>1</v>
      </c>
      <c r="D140" s="716"/>
      <c r="E140" s="707">
        <f t="shared" si="24"/>
        <v>1</v>
      </c>
      <c r="F140" s="716"/>
      <c r="G140" s="707">
        <f t="shared" si="25"/>
        <v>1</v>
      </c>
      <c r="H140" s="716"/>
      <c r="I140" s="707">
        <f t="shared" si="26"/>
        <v>1</v>
      </c>
      <c r="J140" s="716"/>
      <c r="K140" s="707">
        <f t="shared" si="27"/>
        <v>1</v>
      </c>
      <c r="L140" s="716"/>
      <c r="M140" s="707">
        <f t="shared" si="28"/>
        <v>1</v>
      </c>
      <c r="N140" s="716"/>
      <c r="O140" s="707">
        <f t="shared" si="29"/>
        <v>1</v>
      </c>
      <c r="P140" s="716"/>
      <c r="Q140" s="707">
        <f t="shared" si="30"/>
        <v>1</v>
      </c>
      <c r="R140" s="768">
        <f t="shared" si="31"/>
        <v>0</v>
      </c>
      <c r="S140" s="706">
        <f t="shared" si="32"/>
        <v>0</v>
      </c>
    </row>
    <row r="141" spans="1:19">
      <c r="A141" s="714"/>
      <c r="B141" s="715"/>
      <c r="C141" s="707">
        <f t="shared" si="23"/>
        <v>1</v>
      </c>
      <c r="D141" s="716"/>
      <c r="E141" s="707">
        <f t="shared" si="24"/>
        <v>1</v>
      </c>
      <c r="F141" s="716"/>
      <c r="G141" s="707">
        <f t="shared" si="25"/>
        <v>1</v>
      </c>
      <c r="H141" s="716"/>
      <c r="I141" s="707">
        <f t="shared" si="26"/>
        <v>1</v>
      </c>
      <c r="J141" s="716"/>
      <c r="K141" s="707">
        <f t="shared" si="27"/>
        <v>1</v>
      </c>
      <c r="L141" s="716"/>
      <c r="M141" s="707">
        <f t="shared" si="28"/>
        <v>1</v>
      </c>
      <c r="N141" s="716"/>
      <c r="O141" s="707">
        <f t="shared" si="29"/>
        <v>1</v>
      </c>
      <c r="P141" s="716"/>
      <c r="Q141" s="707">
        <f t="shared" si="30"/>
        <v>1</v>
      </c>
      <c r="R141" s="768">
        <f t="shared" si="31"/>
        <v>0</v>
      </c>
      <c r="S141" s="706">
        <f t="shared" si="32"/>
        <v>0</v>
      </c>
    </row>
    <row r="142" spans="1:19">
      <c r="A142" s="714"/>
      <c r="B142" s="715"/>
      <c r="C142" s="707">
        <f t="shared" si="23"/>
        <v>1</v>
      </c>
      <c r="D142" s="716"/>
      <c r="E142" s="707">
        <f t="shared" si="24"/>
        <v>1</v>
      </c>
      <c r="F142" s="716"/>
      <c r="G142" s="707">
        <f t="shared" si="25"/>
        <v>1</v>
      </c>
      <c r="H142" s="716"/>
      <c r="I142" s="707">
        <f t="shared" si="26"/>
        <v>1</v>
      </c>
      <c r="J142" s="716"/>
      <c r="K142" s="707">
        <f t="shared" si="27"/>
        <v>1</v>
      </c>
      <c r="L142" s="716"/>
      <c r="M142" s="707">
        <f t="shared" si="28"/>
        <v>1</v>
      </c>
      <c r="N142" s="716"/>
      <c r="O142" s="707">
        <f t="shared" si="29"/>
        <v>1</v>
      </c>
      <c r="P142" s="716"/>
      <c r="Q142" s="707">
        <f t="shared" si="30"/>
        <v>1</v>
      </c>
      <c r="R142" s="768">
        <f t="shared" si="31"/>
        <v>0</v>
      </c>
      <c r="S142" s="706">
        <f t="shared" si="32"/>
        <v>0</v>
      </c>
    </row>
    <row r="143" spans="1:19">
      <c r="A143" s="714"/>
      <c r="B143" s="715"/>
      <c r="C143" s="707">
        <f t="shared" si="23"/>
        <v>1</v>
      </c>
      <c r="D143" s="716"/>
      <c r="E143" s="707">
        <f t="shared" si="24"/>
        <v>1</v>
      </c>
      <c r="F143" s="716"/>
      <c r="G143" s="707">
        <f t="shared" si="25"/>
        <v>1</v>
      </c>
      <c r="H143" s="716"/>
      <c r="I143" s="707">
        <f t="shared" si="26"/>
        <v>1</v>
      </c>
      <c r="J143" s="716"/>
      <c r="K143" s="707">
        <f t="shared" si="27"/>
        <v>1</v>
      </c>
      <c r="L143" s="716"/>
      <c r="M143" s="707">
        <f t="shared" si="28"/>
        <v>1</v>
      </c>
      <c r="N143" s="716"/>
      <c r="O143" s="707">
        <f t="shared" si="29"/>
        <v>1</v>
      </c>
      <c r="P143" s="716"/>
      <c r="Q143" s="707">
        <f t="shared" si="30"/>
        <v>1</v>
      </c>
      <c r="R143" s="768">
        <f t="shared" si="31"/>
        <v>0</v>
      </c>
      <c r="S143" s="706">
        <f t="shared" si="32"/>
        <v>0</v>
      </c>
    </row>
    <row r="144" spans="1:19">
      <c r="A144" s="714"/>
      <c r="B144" s="715"/>
      <c r="C144" s="707">
        <f t="shared" si="23"/>
        <v>1</v>
      </c>
      <c r="D144" s="716"/>
      <c r="E144" s="707">
        <f t="shared" si="24"/>
        <v>1</v>
      </c>
      <c r="F144" s="716"/>
      <c r="G144" s="707">
        <f t="shared" si="25"/>
        <v>1</v>
      </c>
      <c r="H144" s="716"/>
      <c r="I144" s="707">
        <f t="shared" si="26"/>
        <v>1</v>
      </c>
      <c r="J144" s="716"/>
      <c r="K144" s="707">
        <f t="shared" si="27"/>
        <v>1</v>
      </c>
      <c r="L144" s="716"/>
      <c r="M144" s="707">
        <f t="shared" si="28"/>
        <v>1</v>
      </c>
      <c r="N144" s="716"/>
      <c r="O144" s="707">
        <f t="shared" si="29"/>
        <v>1</v>
      </c>
      <c r="P144" s="716"/>
      <c r="Q144" s="707">
        <f t="shared" si="30"/>
        <v>1</v>
      </c>
      <c r="R144" s="768">
        <f t="shared" si="31"/>
        <v>0</v>
      </c>
      <c r="S144" s="706">
        <f t="shared" si="32"/>
        <v>0</v>
      </c>
    </row>
    <row r="145" spans="1:19">
      <c r="A145" s="714"/>
      <c r="B145" s="715"/>
      <c r="C145" s="707">
        <f t="shared" si="23"/>
        <v>1</v>
      </c>
      <c r="D145" s="716"/>
      <c r="E145" s="707">
        <f t="shared" si="24"/>
        <v>1</v>
      </c>
      <c r="F145" s="716"/>
      <c r="G145" s="707">
        <f t="shared" si="25"/>
        <v>1</v>
      </c>
      <c r="H145" s="716"/>
      <c r="I145" s="707">
        <f t="shared" si="26"/>
        <v>1</v>
      </c>
      <c r="J145" s="716"/>
      <c r="K145" s="707">
        <f t="shared" si="27"/>
        <v>1</v>
      </c>
      <c r="L145" s="716"/>
      <c r="M145" s="707">
        <f t="shared" si="28"/>
        <v>1</v>
      </c>
      <c r="N145" s="716"/>
      <c r="O145" s="707">
        <f t="shared" si="29"/>
        <v>1</v>
      </c>
      <c r="P145" s="716"/>
      <c r="Q145" s="707">
        <f t="shared" si="30"/>
        <v>1</v>
      </c>
      <c r="R145" s="768">
        <f t="shared" si="31"/>
        <v>0</v>
      </c>
      <c r="S145" s="706">
        <f t="shared" si="32"/>
        <v>0</v>
      </c>
    </row>
    <row r="146" spans="1:19">
      <c r="A146" s="714"/>
      <c r="B146" s="715"/>
      <c r="C146" s="707">
        <f t="shared" si="23"/>
        <v>1</v>
      </c>
      <c r="D146" s="716"/>
      <c r="E146" s="707">
        <f t="shared" si="24"/>
        <v>1</v>
      </c>
      <c r="F146" s="716"/>
      <c r="G146" s="707">
        <f t="shared" si="25"/>
        <v>1</v>
      </c>
      <c r="H146" s="716"/>
      <c r="I146" s="707">
        <f t="shared" si="26"/>
        <v>1</v>
      </c>
      <c r="J146" s="716"/>
      <c r="K146" s="707">
        <f t="shared" si="27"/>
        <v>1</v>
      </c>
      <c r="L146" s="716"/>
      <c r="M146" s="707">
        <f t="shared" si="28"/>
        <v>1</v>
      </c>
      <c r="N146" s="716"/>
      <c r="O146" s="707">
        <f t="shared" si="29"/>
        <v>1</v>
      </c>
      <c r="P146" s="716"/>
      <c r="Q146" s="707">
        <f t="shared" si="30"/>
        <v>1</v>
      </c>
      <c r="R146" s="768">
        <f t="shared" si="31"/>
        <v>0</v>
      </c>
      <c r="S146" s="706">
        <f t="shared" si="32"/>
        <v>0</v>
      </c>
    </row>
    <row r="147" spans="1:19">
      <c r="A147" s="714"/>
      <c r="B147" s="715"/>
      <c r="C147" s="707">
        <f t="shared" si="23"/>
        <v>1</v>
      </c>
      <c r="D147" s="716"/>
      <c r="E147" s="707">
        <f t="shared" si="24"/>
        <v>1</v>
      </c>
      <c r="F147" s="716"/>
      <c r="G147" s="707">
        <f t="shared" si="25"/>
        <v>1</v>
      </c>
      <c r="H147" s="716"/>
      <c r="I147" s="707">
        <f t="shared" si="26"/>
        <v>1</v>
      </c>
      <c r="J147" s="716"/>
      <c r="K147" s="707">
        <f t="shared" si="27"/>
        <v>1</v>
      </c>
      <c r="L147" s="716"/>
      <c r="M147" s="707">
        <f t="shared" si="28"/>
        <v>1</v>
      </c>
      <c r="N147" s="716"/>
      <c r="O147" s="707">
        <f t="shared" si="29"/>
        <v>1</v>
      </c>
      <c r="P147" s="716"/>
      <c r="Q147" s="707">
        <f t="shared" si="30"/>
        <v>1</v>
      </c>
      <c r="R147" s="768">
        <f t="shared" si="31"/>
        <v>0</v>
      </c>
      <c r="S147" s="706">
        <f t="shared" si="32"/>
        <v>0</v>
      </c>
    </row>
    <row r="148" spans="1:19">
      <c r="A148" s="714"/>
      <c r="B148" s="715"/>
      <c r="C148" s="707">
        <f t="shared" si="23"/>
        <v>1</v>
      </c>
      <c r="D148" s="716"/>
      <c r="E148" s="707">
        <f t="shared" si="24"/>
        <v>1</v>
      </c>
      <c r="F148" s="716"/>
      <c r="G148" s="707">
        <f t="shared" si="25"/>
        <v>1</v>
      </c>
      <c r="H148" s="716"/>
      <c r="I148" s="707">
        <f t="shared" si="26"/>
        <v>1</v>
      </c>
      <c r="J148" s="716"/>
      <c r="K148" s="707">
        <f t="shared" si="27"/>
        <v>1</v>
      </c>
      <c r="L148" s="716"/>
      <c r="M148" s="707">
        <f t="shared" si="28"/>
        <v>1</v>
      </c>
      <c r="N148" s="716"/>
      <c r="O148" s="707">
        <f t="shared" si="29"/>
        <v>1</v>
      </c>
      <c r="P148" s="716"/>
      <c r="Q148" s="707">
        <f t="shared" si="30"/>
        <v>1</v>
      </c>
      <c r="R148" s="768">
        <f t="shared" si="31"/>
        <v>0</v>
      </c>
      <c r="S148" s="706">
        <f t="shared" si="32"/>
        <v>0</v>
      </c>
    </row>
    <row r="149" spans="1:19">
      <c r="A149" s="714"/>
      <c r="B149" s="715"/>
      <c r="C149" s="707">
        <f t="shared" si="23"/>
        <v>1</v>
      </c>
      <c r="D149" s="716"/>
      <c r="E149" s="707">
        <f t="shared" si="24"/>
        <v>1</v>
      </c>
      <c r="F149" s="716"/>
      <c r="G149" s="707">
        <f t="shared" si="25"/>
        <v>1</v>
      </c>
      <c r="H149" s="716"/>
      <c r="I149" s="707">
        <f t="shared" si="26"/>
        <v>1</v>
      </c>
      <c r="J149" s="716"/>
      <c r="K149" s="707">
        <f t="shared" si="27"/>
        <v>1</v>
      </c>
      <c r="L149" s="716"/>
      <c r="M149" s="707">
        <f t="shared" si="28"/>
        <v>1</v>
      </c>
      <c r="N149" s="716"/>
      <c r="O149" s="707">
        <f t="shared" si="29"/>
        <v>1</v>
      </c>
      <c r="P149" s="716"/>
      <c r="Q149" s="707">
        <f t="shared" si="30"/>
        <v>1</v>
      </c>
      <c r="R149" s="768">
        <f t="shared" si="31"/>
        <v>0</v>
      </c>
      <c r="S149" s="706">
        <f t="shared" si="32"/>
        <v>0</v>
      </c>
    </row>
    <row r="150" spans="1:19">
      <c r="A150" s="714"/>
      <c r="B150" s="715"/>
      <c r="C150" s="707">
        <f t="shared" si="23"/>
        <v>1</v>
      </c>
      <c r="D150" s="716"/>
      <c r="E150" s="707">
        <f t="shared" si="24"/>
        <v>1</v>
      </c>
      <c r="F150" s="716"/>
      <c r="G150" s="707">
        <f t="shared" si="25"/>
        <v>1</v>
      </c>
      <c r="H150" s="716"/>
      <c r="I150" s="707">
        <f t="shared" si="26"/>
        <v>1</v>
      </c>
      <c r="J150" s="716"/>
      <c r="K150" s="707">
        <f t="shared" si="27"/>
        <v>1</v>
      </c>
      <c r="L150" s="716"/>
      <c r="M150" s="707">
        <f t="shared" si="28"/>
        <v>1</v>
      </c>
      <c r="N150" s="716"/>
      <c r="O150" s="707">
        <f t="shared" si="29"/>
        <v>1</v>
      </c>
      <c r="P150" s="716"/>
      <c r="Q150" s="707">
        <f t="shared" si="30"/>
        <v>1</v>
      </c>
      <c r="R150" s="768">
        <f t="shared" si="31"/>
        <v>0</v>
      </c>
      <c r="S150" s="706">
        <f t="shared" si="32"/>
        <v>0</v>
      </c>
    </row>
    <row r="151" spans="1:19">
      <c r="A151" s="714"/>
      <c r="B151" s="715"/>
      <c r="C151" s="707">
        <f t="shared" si="23"/>
        <v>1</v>
      </c>
      <c r="D151" s="716"/>
      <c r="E151" s="707">
        <f t="shared" si="24"/>
        <v>1</v>
      </c>
      <c r="F151" s="716"/>
      <c r="G151" s="707">
        <f t="shared" si="25"/>
        <v>1</v>
      </c>
      <c r="H151" s="716"/>
      <c r="I151" s="707">
        <f t="shared" si="26"/>
        <v>1</v>
      </c>
      <c r="J151" s="716"/>
      <c r="K151" s="707">
        <f t="shared" si="27"/>
        <v>1</v>
      </c>
      <c r="L151" s="716"/>
      <c r="M151" s="707">
        <f t="shared" si="28"/>
        <v>1</v>
      </c>
      <c r="N151" s="716"/>
      <c r="O151" s="707">
        <f t="shared" si="29"/>
        <v>1</v>
      </c>
      <c r="P151" s="716"/>
      <c r="Q151" s="707">
        <f t="shared" si="30"/>
        <v>1</v>
      </c>
      <c r="R151" s="768">
        <f t="shared" si="31"/>
        <v>0</v>
      </c>
      <c r="S151" s="706">
        <f t="shared" si="32"/>
        <v>0</v>
      </c>
    </row>
    <row r="152" spans="1:19">
      <c r="A152" s="714"/>
      <c r="B152" s="715"/>
      <c r="C152" s="707">
        <f t="shared" si="23"/>
        <v>1</v>
      </c>
      <c r="D152" s="716"/>
      <c r="E152" s="707">
        <f t="shared" si="24"/>
        <v>1</v>
      </c>
      <c r="F152" s="716"/>
      <c r="G152" s="707">
        <f t="shared" si="25"/>
        <v>1</v>
      </c>
      <c r="H152" s="716"/>
      <c r="I152" s="707">
        <f t="shared" si="26"/>
        <v>1</v>
      </c>
      <c r="J152" s="716"/>
      <c r="K152" s="707">
        <f t="shared" si="27"/>
        <v>1</v>
      </c>
      <c r="L152" s="716"/>
      <c r="M152" s="707">
        <f t="shared" si="28"/>
        <v>1</v>
      </c>
      <c r="N152" s="716"/>
      <c r="O152" s="707">
        <f t="shared" si="29"/>
        <v>1</v>
      </c>
      <c r="P152" s="716"/>
      <c r="Q152" s="707">
        <f t="shared" si="30"/>
        <v>1</v>
      </c>
      <c r="R152" s="768">
        <f t="shared" si="31"/>
        <v>0</v>
      </c>
      <c r="S152" s="706">
        <f t="shared" si="32"/>
        <v>0</v>
      </c>
    </row>
    <row r="153" spans="1:19">
      <c r="A153" s="714"/>
      <c r="B153" s="715"/>
      <c r="C153" s="707">
        <f t="shared" si="23"/>
        <v>1</v>
      </c>
      <c r="D153" s="716"/>
      <c r="E153" s="707">
        <f t="shared" si="24"/>
        <v>1</v>
      </c>
      <c r="F153" s="716"/>
      <c r="G153" s="707">
        <f t="shared" si="25"/>
        <v>1</v>
      </c>
      <c r="H153" s="716"/>
      <c r="I153" s="707">
        <f t="shared" si="26"/>
        <v>1</v>
      </c>
      <c r="J153" s="716"/>
      <c r="K153" s="707">
        <f t="shared" si="27"/>
        <v>1</v>
      </c>
      <c r="L153" s="716"/>
      <c r="M153" s="707">
        <f t="shared" si="28"/>
        <v>1</v>
      </c>
      <c r="N153" s="716"/>
      <c r="O153" s="707">
        <f t="shared" si="29"/>
        <v>1</v>
      </c>
      <c r="P153" s="716"/>
      <c r="Q153" s="707">
        <f t="shared" si="30"/>
        <v>1</v>
      </c>
      <c r="R153" s="768">
        <f t="shared" si="31"/>
        <v>0</v>
      </c>
      <c r="S153" s="706">
        <f t="shared" si="32"/>
        <v>0</v>
      </c>
    </row>
    <row r="154" spans="1:19">
      <c r="A154" s="714"/>
      <c r="B154" s="715"/>
      <c r="C154" s="707">
        <f t="shared" ref="C154:C217" si="33">IF(B154="",1,(LOOKUP(B154,$3:$3,$4:$4)-LOOKUP($B$24,$3:$3,$4:$4)+100)/100)</f>
        <v>1</v>
      </c>
      <c r="D154" s="716"/>
      <c r="E154" s="707">
        <f t="shared" ref="E154:E217" si="34">(SUMIF($5:$5,D154,$6:$6)-SUMIF($5:$5,$D$24,$6:$6)+100)/100</f>
        <v>1</v>
      </c>
      <c r="F154" s="716"/>
      <c r="G154" s="707">
        <f t="shared" ref="G154:G217" si="35">(SUMIF($7:$7,F154,$8:$8)-SUMIF($7:$7,$F$24,$8:$8)+100)/100</f>
        <v>1</v>
      </c>
      <c r="H154" s="716"/>
      <c r="I154" s="707">
        <f t="shared" ref="I154:I217" si="36">(SUMIF($9:$9,H154,$10:$10)-SUMIF($9:$9,$H$24,$10:$10)+100)/100</f>
        <v>1</v>
      </c>
      <c r="J154" s="716"/>
      <c r="K154" s="707">
        <f t="shared" ref="K154:K217" si="37">(SUMIF($11:$11,J154,$12:$12)-SUMIF($11:$11,$J$24,$12:$12)+100)/100</f>
        <v>1</v>
      </c>
      <c r="L154" s="716"/>
      <c r="M154" s="707">
        <f t="shared" ref="M154:M217" si="38">(SUMIF($13:$13,L154,$14:$14)-SUMIF($13:$13,$L$24,$14:$14)+100)/100</f>
        <v>1</v>
      </c>
      <c r="N154" s="716"/>
      <c r="O154" s="707">
        <f t="shared" ref="O154:O217" si="39">(SUMIF($15:$15,N154,$16:$16)-SUMIF($15:$15,$N$24,$16:$16)+100)/100</f>
        <v>1</v>
      </c>
      <c r="P154" s="716"/>
      <c r="Q154" s="707">
        <f t="shared" ref="Q154:Q217" si="40">(SUMIF($17:$17,P154,$18:$18)-SUMIF($17:$17,$P$24,$18:$18)+100)/100</f>
        <v>1</v>
      </c>
      <c r="R154" s="768">
        <f t="shared" ref="R154:R217" si="41">IF(B154="",0,ROUND($R$24*C154*E154*G154*I154*K154*M154*O154*Q154,0))</f>
        <v>0</v>
      </c>
      <c r="S154" s="706">
        <f t="shared" si="32"/>
        <v>0</v>
      </c>
    </row>
    <row r="155" spans="1:19">
      <c r="A155" s="714"/>
      <c r="B155" s="715"/>
      <c r="C155" s="707">
        <f t="shared" si="33"/>
        <v>1</v>
      </c>
      <c r="D155" s="716"/>
      <c r="E155" s="707">
        <f t="shared" si="34"/>
        <v>1</v>
      </c>
      <c r="F155" s="716"/>
      <c r="G155" s="707">
        <f t="shared" si="35"/>
        <v>1</v>
      </c>
      <c r="H155" s="716"/>
      <c r="I155" s="707">
        <f t="shared" si="36"/>
        <v>1</v>
      </c>
      <c r="J155" s="716"/>
      <c r="K155" s="707">
        <f t="shared" si="37"/>
        <v>1</v>
      </c>
      <c r="L155" s="716"/>
      <c r="M155" s="707">
        <f t="shared" si="38"/>
        <v>1</v>
      </c>
      <c r="N155" s="716"/>
      <c r="O155" s="707">
        <f t="shared" si="39"/>
        <v>1</v>
      </c>
      <c r="P155" s="716"/>
      <c r="Q155" s="707">
        <f t="shared" si="40"/>
        <v>1</v>
      </c>
      <c r="R155" s="768">
        <f t="shared" si="41"/>
        <v>0</v>
      </c>
      <c r="S155" s="706">
        <f t="shared" si="32"/>
        <v>0</v>
      </c>
    </row>
    <row r="156" spans="1:19">
      <c r="A156" s="714"/>
      <c r="B156" s="715"/>
      <c r="C156" s="707">
        <f t="shared" si="33"/>
        <v>1</v>
      </c>
      <c r="D156" s="716"/>
      <c r="E156" s="707">
        <f t="shared" si="34"/>
        <v>1</v>
      </c>
      <c r="F156" s="716"/>
      <c r="G156" s="707">
        <f t="shared" si="35"/>
        <v>1</v>
      </c>
      <c r="H156" s="716"/>
      <c r="I156" s="707">
        <f t="shared" si="36"/>
        <v>1</v>
      </c>
      <c r="J156" s="716"/>
      <c r="K156" s="707">
        <f t="shared" si="37"/>
        <v>1</v>
      </c>
      <c r="L156" s="716"/>
      <c r="M156" s="707">
        <f t="shared" si="38"/>
        <v>1</v>
      </c>
      <c r="N156" s="716"/>
      <c r="O156" s="707">
        <f t="shared" si="39"/>
        <v>1</v>
      </c>
      <c r="P156" s="716"/>
      <c r="Q156" s="707">
        <f t="shared" si="40"/>
        <v>1</v>
      </c>
      <c r="R156" s="768">
        <f t="shared" si="41"/>
        <v>0</v>
      </c>
      <c r="S156" s="706">
        <f t="shared" si="32"/>
        <v>0</v>
      </c>
    </row>
    <row r="157" spans="1:19">
      <c r="A157" s="714"/>
      <c r="B157" s="715"/>
      <c r="C157" s="707">
        <f t="shared" si="33"/>
        <v>1</v>
      </c>
      <c r="D157" s="716"/>
      <c r="E157" s="707">
        <f t="shared" si="34"/>
        <v>1</v>
      </c>
      <c r="F157" s="716"/>
      <c r="G157" s="707">
        <f t="shared" si="35"/>
        <v>1</v>
      </c>
      <c r="H157" s="716"/>
      <c r="I157" s="707">
        <f t="shared" si="36"/>
        <v>1</v>
      </c>
      <c r="J157" s="716"/>
      <c r="K157" s="707">
        <f t="shared" si="37"/>
        <v>1</v>
      </c>
      <c r="L157" s="716"/>
      <c r="M157" s="707">
        <f t="shared" si="38"/>
        <v>1</v>
      </c>
      <c r="N157" s="716"/>
      <c r="O157" s="707">
        <f t="shared" si="39"/>
        <v>1</v>
      </c>
      <c r="P157" s="716"/>
      <c r="Q157" s="707">
        <f t="shared" si="40"/>
        <v>1</v>
      </c>
      <c r="R157" s="768">
        <f t="shared" si="41"/>
        <v>0</v>
      </c>
      <c r="S157" s="706">
        <f t="shared" si="32"/>
        <v>0</v>
      </c>
    </row>
    <row r="158" spans="1:19">
      <c r="A158" s="714"/>
      <c r="B158" s="715"/>
      <c r="C158" s="707">
        <f t="shared" si="33"/>
        <v>1</v>
      </c>
      <c r="D158" s="716"/>
      <c r="E158" s="707">
        <f t="shared" si="34"/>
        <v>1</v>
      </c>
      <c r="F158" s="716"/>
      <c r="G158" s="707">
        <f t="shared" si="35"/>
        <v>1</v>
      </c>
      <c r="H158" s="716"/>
      <c r="I158" s="707">
        <f t="shared" si="36"/>
        <v>1</v>
      </c>
      <c r="J158" s="716"/>
      <c r="K158" s="707">
        <f t="shared" si="37"/>
        <v>1</v>
      </c>
      <c r="L158" s="716"/>
      <c r="M158" s="707">
        <f t="shared" si="38"/>
        <v>1</v>
      </c>
      <c r="N158" s="716"/>
      <c r="O158" s="707">
        <f t="shared" si="39"/>
        <v>1</v>
      </c>
      <c r="P158" s="716"/>
      <c r="Q158" s="707">
        <f t="shared" si="40"/>
        <v>1</v>
      </c>
      <c r="R158" s="768">
        <f t="shared" si="41"/>
        <v>0</v>
      </c>
      <c r="S158" s="706">
        <f t="shared" si="32"/>
        <v>0</v>
      </c>
    </row>
    <row r="159" spans="1:19">
      <c r="A159" s="714"/>
      <c r="B159" s="715"/>
      <c r="C159" s="707">
        <f t="shared" si="33"/>
        <v>1</v>
      </c>
      <c r="D159" s="716"/>
      <c r="E159" s="707">
        <f t="shared" si="34"/>
        <v>1</v>
      </c>
      <c r="F159" s="716"/>
      <c r="G159" s="707">
        <f t="shared" si="35"/>
        <v>1</v>
      </c>
      <c r="H159" s="716"/>
      <c r="I159" s="707">
        <f t="shared" si="36"/>
        <v>1</v>
      </c>
      <c r="J159" s="716"/>
      <c r="K159" s="707">
        <f t="shared" si="37"/>
        <v>1</v>
      </c>
      <c r="L159" s="716"/>
      <c r="M159" s="707">
        <f t="shared" si="38"/>
        <v>1</v>
      </c>
      <c r="N159" s="716"/>
      <c r="O159" s="707">
        <f t="shared" si="39"/>
        <v>1</v>
      </c>
      <c r="P159" s="716"/>
      <c r="Q159" s="707">
        <f t="shared" si="40"/>
        <v>1</v>
      </c>
      <c r="R159" s="768">
        <f t="shared" si="41"/>
        <v>0</v>
      </c>
      <c r="S159" s="706">
        <f t="shared" si="32"/>
        <v>0</v>
      </c>
    </row>
    <row r="160" spans="1:19">
      <c r="A160" s="714"/>
      <c r="B160" s="715"/>
      <c r="C160" s="707">
        <f t="shared" si="33"/>
        <v>1</v>
      </c>
      <c r="D160" s="716"/>
      <c r="E160" s="707">
        <f t="shared" si="34"/>
        <v>1</v>
      </c>
      <c r="F160" s="716"/>
      <c r="G160" s="707">
        <f t="shared" si="35"/>
        <v>1</v>
      </c>
      <c r="H160" s="716"/>
      <c r="I160" s="707">
        <f t="shared" si="36"/>
        <v>1</v>
      </c>
      <c r="J160" s="716"/>
      <c r="K160" s="707">
        <f t="shared" si="37"/>
        <v>1</v>
      </c>
      <c r="L160" s="716"/>
      <c r="M160" s="707">
        <f t="shared" si="38"/>
        <v>1</v>
      </c>
      <c r="N160" s="716"/>
      <c r="O160" s="707">
        <f t="shared" si="39"/>
        <v>1</v>
      </c>
      <c r="P160" s="716"/>
      <c r="Q160" s="707">
        <f t="shared" si="40"/>
        <v>1</v>
      </c>
      <c r="R160" s="768">
        <f t="shared" si="41"/>
        <v>0</v>
      </c>
      <c r="S160" s="706">
        <f t="shared" si="32"/>
        <v>0</v>
      </c>
    </row>
    <row r="161" spans="1:19">
      <c r="A161" s="714"/>
      <c r="B161" s="715"/>
      <c r="C161" s="707">
        <f t="shared" si="33"/>
        <v>1</v>
      </c>
      <c r="D161" s="716"/>
      <c r="E161" s="707">
        <f t="shared" si="34"/>
        <v>1</v>
      </c>
      <c r="F161" s="716"/>
      <c r="G161" s="707">
        <f t="shared" si="35"/>
        <v>1</v>
      </c>
      <c r="H161" s="716"/>
      <c r="I161" s="707">
        <f t="shared" si="36"/>
        <v>1</v>
      </c>
      <c r="J161" s="716"/>
      <c r="K161" s="707">
        <f t="shared" si="37"/>
        <v>1</v>
      </c>
      <c r="L161" s="716"/>
      <c r="M161" s="707">
        <f t="shared" si="38"/>
        <v>1</v>
      </c>
      <c r="N161" s="716"/>
      <c r="O161" s="707">
        <f t="shared" si="39"/>
        <v>1</v>
      </c>
      <c r="P161" s="716"/>
      <c r="Q161" s="707">
        <f t="shared" si="40"/>
        <v>1</v>
      </c>
      <c r="R161" s="768">
        <f t="shared" si="41"/>
        <v>0</v>
      </c>
      <c r="S161" s="706">
        <f t="shared" si="32"/>
        <v>0</v>
      </c>
    </row>
    <row r="162" spans="1:19">
      <c r="A162" s="714"/>
      <c r="B162" s="715"/>
      <c r="C162" s="707">
        <f t="shared" si="33"/>
        <v>1</v>
      </c>
      <c r="D162" s="716"/>
      <c r="E162" s="707">
        <f t="shared" si="34"/>
        <v>1</v>
      </c>
      <c r="F162" s="716"/>
      <c r="G162" s="707">
        <f t="shared" si="35"/>
        <v>1</v>
      </c>
      <c r="H162" s="716"/>
      <c r="I162" s="707">
        <f t="shared" si="36"/>
        <v>1</v>
      </c>
      <c r="J162" s="716"/>
      <c r="K162" s="707">
        <f t="shared" si="37"/>
        <v>1</v>
      </c>
      <c r="L162" s="716"/>
      <c r="M162" s="707">
        <f t="shared" si="38"/>
        <v>1</v>
      </c>
      <c r="N162" s="716"/>
      <c r="O162" s="707">
        <f t="shared" si="39"/>
        <v>1</v>
      </c>
      <c r="P162" s="716"/>
      <c r="Q162" s="707">
        <f t="shared" si="40"/>
        <v>1</v>
      </c>
      <c r="R162" s="768">
        <f t="shared" si="41"/>
        <v>0</v>
      </c>
      <c r="S162" s="706">
        <f t="shared" si="32"/>
        <v>0</v>
      </c>
    </row>
    <row r="163" spans="1:19">
      <c r="A163" s="714"/>
      <c r="B163" s="715"/>
      <c r="C163" s="707">
        <f t="shared" si="33"/>
        <v>1</v>
      </c>
      <c r="D163" s="716"/>
      <c r="E163" s="707">
        <f t="shared" si="34"/>
        <v>1</v>
      </c>
      <c r="F163" s="716"/>
      <c r="G163" s="707">
        <f t="shared" si="35"/>
        <v>1</v>
      </c>
      <c r="H163" s="716"/>
      <c r="I163" s="707">
        <f t="shared" si="36"/>
        <v>1</v>
      </c>
      <c r="J163" s="716"/>
      <c r="K163" s="707">
        <f t="shared" si="37"/>
        <v>1</v>
      </c>
      <c r="L163" s="716"/>
      <c r="M163" s="707">
        <f t="shared" si="38"/>
        <v>1</v>
      </c>
      <c r="N163" s="716"/>
      <c r="O163" s="707">
        <f t="shared" si="39"/>
        <v>1</v>
      </c>
      <c r="P163" s="716"/>
      <c r="Q163" s="707">
        <f t="shared" si="40"/>
        <v>1</v>
      </c>
      <c r="R163" s="768">
        <f t="shared" si="41"/>
        <v>0</v>
      </c>
      <c r="S163" s="706">
        <f t="shared" si="32"/>
        <v>0</v>
      </c>
    </row>
    <row r="164" spans="1:19">
      <c r="A164" s="714"/>
      <c r="B164" s="715"/>
      <c r="C164" s="707">
        <f t="shared" si="33"/>
        <v>1</v>
      </c>
      <c r="D164" s="716"/>
      <c r="E164" s="707">
        <f t="shared" si="34"/>
        <v>1</v>
      </c>
      <c r="F164" s="716"/>
      <c r="G164" s="707">
        <f t="shared" si="35"/>
        <v>1</v>
      </c>
      <c r="H164" s="716"/>
      <c r="I164" s="707">
        <f t="shared" si="36"/>
        <v>1</v>
      </c>
      <c r="J164" s="716"/>
      <c r="K164" s="707">
        <f t="shared" si="37"/>
        <v>1</v>
      </c>
      <c r="L164" s="716"/>
      <c r="M164" s="707">
        <f t="shared" si="38"/>
        <v>1</v>
      </c>
      <c r="N164" s="716"/>
      <c r="O164" s="707">
        <f t="shared" si="39"/>
        <v>1</v>
      </c>
      <c r="P164" s="716"/>
      <c r="Q164" s="707">
        <f t="shared" si="40"/>
        <v>1</v>
      </c>
      <c r="R164" s="768">
        <f t="shared" si="41"/>
        <v>0</v>
      </c>
      <c r="S164" s="706">
        <f t="shared" si="32"/>
        <v>0</v>
      </c>
    </row>
    <row r="165" spans="1:19">
      <c r="A165" s="714"/>
      <c r="B165" s="715"/>
      <c r="C165" s="707">
        <f t="shared" si="33"/>
        <v>1</v>
      </c>
      <c r="D165" s="716"/>
      <c r="E165" s="707">
        <f t="shared" si="34"/>
        <v>1</v>
      </c>
      <c r="F165" s="716"/>
      <c r="G165" s="707">
        <f t="shared" si="35"/>
        <v>1</v>
      </c>
      <c r="H165" s="716"/>
      <c r="I165" s="707">
        <f t="shared" si="36"/>
        <v>1</v>
      </c>
      <c r="J165" s="716"/>
      <c r="K165" s="707">
        <f t="shared" si="37"/>
        <v>1</v>
      </c>
      <c r="L165" s="716"/>
      <c r="M165" s="707">
        <f t="shared" si="38"/>
        <v>1</v>
      </c>
      <c r="N165" s="716"/>
      <c r="O165" s="707">
        <f t="shared" si="39"/>
        <v>1</v>
      </c>
      <c r="P165" s="716"/>
      <c r="Q165" s="707">
        <f t="shared" si="40"/>
        <v>1</v>
      </c>
      <c r="R165" s="768">
        <f t="shared" si="41"/>
        <v>0</v>
      </c>
      <c r="S165" s="706">
        <f t="shared" si="32"/>
        <v>0</v>
      </c>
    </row>
    <row r="166" spans="1:19">
      <c r="A166" s="714"/>
      <c r="B166" s="715"/>
      <c r="C166" s="707">
        <f t="shared" si="33"/>
        <v>1</v>
      </c>
      <c r="D166" s="716"/>
      <c r="E166" s="707">
        <f t="shared" si="34"/>
        <v>1</v>
      </c>
      <c r="F166" s="716"/>
      <c r="G166" s="707">
        <f t="shared" si="35"/>
        <v>1</v>
      </c>
      <c r="H166" s="716"/>
      <c r="I166" s="707">
        <f t="shared" si="36"/>
        <v>1</v>
      </c>
      <c r="J166" s="716"/>
      <c r="K166" s="707">
        <f t="shared" si="37"/>
        <v>1</v>
      </c>
      <c r="L166" s="716"/>
      <c r="M166" s="707">
        <f t="shared" si="38"/>
        <v>1</v>
      </c>
      <c r="N166" s="716"/>
      <c r="O166" s="707">
        <f t="shared" si="39"/>
        <v>1</v>
      </c>
      <c r="P166" s="716"/>
      <c r="Q166" s="707">
        <f t="shared" si="40"/>
        <v>1</v>
      </c>
      <c r="R166" s="768">
        <f t="shared" si="41"/>
        <v>0</v>
      </c>
      <c r="S166" s="706">
        <f t="shared" si="32"/>
        <v>0</v>
      </c>
    </row>
    <row r="167" spans="1:19">
      <c r="A167" s="714"/>
      <c r="B167" s="715"/>
      <c r="C167" s="707">
        <f t="shared" si="33"/>
        <v>1</v>
      </c>
      <c r="D167" s="716"/>
      <c r="E167" s="707">
        <f t="shared" si="34"/>
        <v>1</v>
      </c>
      <c r="F167" s="716"/>
      <c r="G167" s="707">
        <f t="shared" si="35"/>
        <v>1</v>
      </c>
      <c r="H167" s="716"/>
      <c r="I167" s="707">
        <f t="shared" si="36"/>
        <v>1</v>
      </c>
      <c r="J167" s="716"/>
      <c r="K167" s="707">
        <f t="shared" si="37"/>
        <v>1</v>
      </c>
      <c r="L167" s="716"/>
      <c r="M167" s="707">
        <f t="shared" si="38"/>
        <v>1</v>
      </c>
      <c r="N167" s="716"/>
      <c r="O167" s="707">
        <f t="shared" si="39"/>
        <v>1</v>
      </c>
      <c r="P167" s="716"/>
      <c r="Q167" s="707">
        <f t="shared" si="40"/>
        <v>1</v>
      </c>
      <c r="R167" s="768">
        <f t="shared" si="41"/>
        <v>0</v>
      </c>
      <c r="S167" s="706">
        <f t="shared" si="32"/>
        <v>0</v>
      </c>
    </row>
    <row r="168" spans="1:19">
      <c r="A168" s="714"/>
      <c r="B168" s="715"/>
      <c r="C168" s="707">
        <f t="shared" si="33"/>
        <v>1</v>
      </c>
      <c r="D168" s="716"/>
      <c r="E168" s="707">
        <f t="shared" si="34"/>
        <v>1</v>
      </c>
      <c r="F168" s="716"/>
      <c r="G168" s="707">
        <f t="shared" si="35"/>
        <v>1</v>
      </c>
      <c r="H168" s="716"/>
      <c r="I168" s="707">
        <f t="shared" si="36"/>
        <v>1</v>
      </c>
      <c r="J168" s="716"/>
      <c r="K168" s="707">
        <f t="shared" si="37"/>
        <v>1</v>
      </c>
      <c r="L168" s="716"/>
      <c r="M168" s="707">
        <f t="shared" si="38"/>
        <v>1</v>
      </c>
      <c r="N168" s="716"/>
      <c r="O168" s="707">
        <f t="shared" si="39"/>
        <v>1</v>
      </c>
      <c r="P168" s="716"/>
      <c r="Q168" s="707">
        <f t="shared" si="40"/>
        <v>1</v>
      </c>
      <c r="R168" s="768">
        <f t="shared" si="41"/>
        <v>0</v>
      </c>
      <c r="S168" s="706">
        <f t="shared" si="32"/>
        <v>0</v>
      </c>
    </row>
    <row r="169" spans="1:19">
      <c r="A169" s="714"/>
      <c r="B169" s="715"/>
      <c r="C169" s="707">
        <f t="shared" si="33"/>
        <v>1</v>
      </c>
      <c r="D169" s="716"/>
      <c r="E169" s="707">
        <f t="shared" si="34"/>
        <v>1</v>
      </c>
      <c r="F169" s="716"/>
      <c r="G169" s="707">
        <f t="shared" si="35"/>
        <v>1</v>
      </c>
      <c r="H169" s="716"/>
      <c r="I169" s="707">
        <f t="shared" si="36"/>
        <v>1</v>
      </c>
      <c r="J169" s="716"/>
      <c r="K169" s="707">
        <f t="shared" si="37"/>
        <v>1</v>
      </c>
      <c r="L169" s="716"/>
      <c r="M169" s="707">
        <f t="shared" si="38"/>
        <v>1</v>
      </c>
      <c r="N169" s="716"/>
      <c r="O169" s="707">
        <f t="shared" si="39"/>
        <v>1</v>
      </c>
      <c r="P169" s="716"/>
      <c r="Q169" s="707">
        <f t="shared" si="40"/>
        <v>1</v>
      </c>
      <c r="R169" s="768">
        <f t="shared" si="41"/>
        <v>0</v>
      </c>
      <c r="S169" s="706">
        <f t="shared" si="32"/>
        <v>0</v>
      </c>
    </row>
    <row r="170" spans="1:19">
      <c r="A170" s="714"/>
      <c r="B170" s="715"/>
      <c r="C170" s="707">
        <f t="shared" si="33"/>
        <v>1</v>
      </c>
      <c r="D170" s="716"/>
      <c r="E170" s="707">
        <f t="shared" si="34"/>
        <v>1</v>
      </c>
      <c r="F170" s="716"/>
      <c r="G170" s="707">
        <f t="shared" si="35"/>
        <v>1</v>
      </c>
      <c r="H170" s="716"/>
      <c r="I170" s="707">
        <f t="shared" si="36"/>
        <v>1</v>
      </c>
      <c r="J170" s="716"/>
      <c r="K170" s="707">
        <f t="shared" si="37"/>
        <v>1</v>
      </c>
      <c r="L170" s="716"/>
      <c r="M170" s="707">
        <f t="shared" si="38"/>
        <v>1</v>
      </c>
      <c r="N170" s="716"/>
      <c r="O170" s="707">
        <f t="shared" si="39"/>
        <v>1</v>
      </c>
      <c r="P170" s="716"/>
      <c r="Q170" s="707">
        <f t="shared" si="40"/>
        <v>1</v>
      </c>
      <c r="R170" s="768">
        <f t="shared" si="41"/>
        <v>0</v>
      </c>
      <c r="S170" s="706">
        <f t="shared" si="32"/>
        <v>0</v>
      </c>
    </row>
    <row r="171" spans="1:19">
      <c r="A171" s="714"/>
      <c r="B171" s="715"/>
      <c r="C171" s="707">
        <f t="shared" si="33"/>
        <v>1</v>
      </c>
      <c r="D171" s="716"/>
      <c r="E171" s="707">
        <f t="shared" si="34"/>
        <v>1</v>
      </c>
      <c r="F171" s="716"/>
      <c r="G171" s="707">
        <f t="shared" si="35"/>
        <v>1</v>
      </c>
      <c r="H171" s="716"/>
      <c r="I171" s="707">
        <f t="shared" si="36"/>
        <v>1</v>
      </c>
      <c r="J171" s="716"/>
      <c r="K171" s="707">
        <f t="shared" si="37"/>
        <v>1</v>
      </c>
      <c r="L171" s="716"/>
      <c r="M171" s="707">
        <f t="shared" si="38"/>
        <v>1</v>
      </c>
      <c r="N171" s="716"/>
      <c r="O171" s="707">
        <f t="shared" si="39"/>
        <v>1</v>
      </c>
      <c r="P171" s="716"/>
      <c r="Q171" s="707">
        <f t="shared" si="40"/>
        <v>1</v>
      </c>
      <c r="R171" s="768">
        <f t="shared" si="41"/>
        <v>0</v>
      </c>
      <c r="S171" s="706">
        <f t="shared" si="32"/>
        <v>0</v>
      </c>
    </row>
    <row r="172" spans="1:19">
      <c r="A172" s="714"/>
      <c r="B172" s="715"/>
      <c r="C172" s="707">
        <f t="shared" si="33"/>
        <v>1</v>
      </c>
      <c r="D172" s="716"/>
      <c r="E172" s="707">
        <f t="shared" si="34"/>
        <v>1</v>
      </c>
      <c r="F172" s="716"/>
      <c r="G172" s="707">
        <f t="shared" si="35"/>
        <v>1</v>
      </c>
      <c r="H172" s="716"/>
      <c r="I172" s="707">
        <f t="shared" si="36"/>
        <v>1</v>
      </c>
      <c r="J172" s="716"/>
      <c r="K172" s="707">
        <f t="shared" si="37"/>
        <v>1</v>
      </c>
      <c r="L172" s="716"/>
      <c r="M172" s="707">
        <f t="shared" si="38"/>
        <v>1</v>
      </c>
      <c r="N172" s="716"/>
      <c r="O172" s="707">
        <f t="shared" si="39"/>
        <v>1</v>
      </c>
      <c r="P172" s="716"/>
      <c r="Q172" s="707">
        <f t="shared" si="40"/>
        <v>1</v>
      </c>
      <c r="R172" s="768">
        <f t="shared" si="41"/>
        <v>0</v>
      </c>
      <c r="S172" s="706">
        <f t="shared" si="32"/>
        <v>0</v>
      </c>
    </row>
    <row r="173" spans="1:19">
      <c r="A173" s="714"/>
      <c r="B173" s="715"/>
      <c r="C173" s="707">
        <f t="shared" si="33"/>
        <v>1</v>
      </c>
      <c r="D173" s="716"/>
      <c r="E173" s="707">
        <f t="shared" si="34"/>
        <v>1</v>
      </c>
      <c r="F173" s="716"/>
      <c r="G173" s="707">
        <f t="shared" si="35"/>
        <v>1</v>
      </c>
      <c r="H173" s="716"/>
      <c r="I173" s="707">
        <f t="shared" si="36"/>
        <v>1</v>
      </c>
      <c r="J173" s="716"/>
      <c r="K173" s="707">
        <f t="shared" si="37"/>
        <v>1</v>
      </c>
      <c r="L173" s="716"/>
      <c r="M173" s="707">
        <f t="shared" si="38"/>
        <v>1</v>
      </c>
      <c r="N173" s="716"/>
      <c r="O173" s="707">
        <f t="shared" si="39"/>
        <v>1</v>
      </c>
      <c r="P173" s="716"/>
      <c r="Q173" s="707">
        <f t="shared" si="40"/>
        <v>1</v>
      </c>
      <c r="R173" s="768">
        <f t="shared" si="41"/>
        <v>0</v>
      </c>
      <c r="S173" s="706">
        <f t="shared" si="32"/>
        <v>0</v>
      </c>
    </row>
    <row r="174" spans="1:19">
      <c r="A174" s="714"/>
      <c r="B174" s="715"/>
      <c r="C174" s="707">
        <f t="shared" si="33"/>
        <v>1</v>
      </c>
      <c r="D174" s="716"/>
      <c r="E174" s="707">
        <f t="shared" si="34"/>
        <v>1</v>
      </c>
      <c r="F174" s="716"/>
      <c r="G174" s="707">
        <f t="shared" si="35"/>
        <v>1</v>
      </c>
      <c r="H174" s="716"/>
      <c r="I174" s="707">
        <f t="shared" si="36"/>
        <v>1</v>
      </c>
      <c r="J174" s="716"/>
      <c r="K174" s="707">
        <f t="shared" si="37"/>
        <v>1</v>
      </c>
      <c r="L174" s="716"/>
      <c r="M174" s="707">
        <f t="shared" si="38"/>
        <v>1</v>
      </c>
      <c r="N174" s="716"/>
      <c r="O174" s="707">
        <f t="shared" si="39"/>
        <v>1</v>
      </c>
      <c r="P174" s="716"/>
      <c r="Q174" s="707">
        <f t="shared" si="40"/>
        <v>1</v>
      </c>
      <c r="R174" s="768">
        <f t="shared" si="41"/>
        <v>0</v>
      </c>
      <c r="S174" s="706">
        <f t="shared" si="32"/>
        <v>0</v>
      </c>
    </row>
    <row r="175" spans="1:19">
      <c r="A175" s="714"/>
      <c r="B175" s="715"/>
      <c r="C175" s="707">
        <f t="shared" si="33"/>
        <v>1</v>
      </c>
      <c r="D175" s="716"/>
      <c r="E175" s="707">
        <f t="shared" si="34"/>
        <v>1</v>
      </c>
      <c r="F175" s="716"/>
      <c r="G175" s="707">
        <f t="shared" si="35"/>
        <v>1</v>
      </c>
      <c r="H175" s="716"/>
      <c r="I175" s="707">
        <f t="shared" si="36"/>
        <v>1</v>
      </c>
      <c r="J175" s="716"/>
      <c r="K175" s="707">
        <f t="shared" si="37"/>
        <v>1</v>
      </c>
      <c r="L175" s="716"/>
      <c r="M175" s="707">
        <f t="shared" si="38"/>
        <v>1</v>
      </c>
      <c r="N175" s="716"/>
      <c r="O175" s="707">
        <f t="shared" si="39"/>
        <v>1</v>
      </c>
      <c r="P175" s="716"/>
      <c r="Q175" s="707">
        <f t="shared" si="40"/>
        <v>1</v>
      </c>
      <c r="R175" s="768">
        <f t="shared" si="41"/>
        <v>0</v>
      </c>
      <c r="S175" s="706">
        <f t="shared" si="32"/>
        <v>0</v>
      </c>
    </row>
    <row r="176" spans="1:19">
      <c r="A176" s="714"/>
      <c r="B176" s="715"/>
      <c r="C176" s="707">
        <f t="shared" si="33"/>
        <v>1</v>
      </c>
      <c r="D176" s="716"/>
      <c r="E176" s="707">
        <f t="shared" si="34"/>
        <v>1</v>
      </c>
      <c r="F176" s="716"/>
      <c r="G176" s="707">
        <f t="shared" si="35"/>
        <v>1</v>
      </c>
      <c r="H176" s="716"/>
      <c r="I176" s="707">
        <f t="shared" si="36"/>
        <v>1</v>
      </c>
      <c r="J176" s="716"/>
      <c r="K176" s="707">
        <f t="shared" si="37"/>
        <v>1</v>
      </c>
      <c r="L176" s="716"/>
      <c r="M176" s="707">
        <f t="shared" si="38"/>
        <v>1</v>
      </c>
      <c r="N176" s="716"/>
      <c r="O176" s="707">
        <f t="shared" si="39"/>
        <v>1</v>
      </c>
      <c r="P176" s="716"/>
      <c r="Q176" s="707">
        <f t="shared" si="40"/>
        <v>1</v>
      </c>
      <c r="R176" s="768">
        <f t="shared" si="41"/>
        <v>0</v>
      </c>
      <c r="S176" s="706">
        <f t="shared" si="32"/>
        <v>0</v>
      </c>
    </row>
    <row r="177" spans="1:19">
      <c r="A177" s="714"/>
      <c r="B177" s="715"/>
      <c r="C177" s="707">
        <f t="shared" si="33"/>
        <v>1</v>
      </c>
      <c r="D177" s="716"/>
      <c r="E177" s="707">
        <f t="shared" si="34"/>
        <v>1</v>
      </c>
      <c r="F177" s="716"/>
      <c r="G177" s="707">
        <f t="shared" si="35"/>
        <v>1</v>
      </c>
      <c r="H177" s="716"/>
      <c r="I177" s="707">
        <f t="shared" si="36"/>
        <v>1</v>
      </c>
      <c r="J177" s="716"/>
      <c r="K177" s="707">
        <f t="shared" si="37"/>
        <v>1</v>
      </c>
      <c r="L177" s="716"/>
      <c r="M177" s="707">
        <f t="shared" si="38"/>
        <v>1</v>
      </c>
      <c r="N177" s="716"/>
      <c r="O177" s="707">
        <f t="shared" si="39"/>
        <v>1</v>
      </c>
      <c r="P177" s="716"/>
      <c r="Q177" s="707">
        <f t="shared" si="40"/>
        <v>1</v>
      </c>
      <c r="R177" s="768">
        <f t="shared" si="41"/>
        <v>0</v>
      </c>
      <c r="S177" s="706">
        <f t="shared" si="32"/>
        <v>0</v>
      </c>
    </row>
    <row r="178" spans="1:19">
      <c r="A178" s="714"/>
      <c r="B178" s="715"/>
      <c r="C178" s="707">
        <f t="shared" si="33"/>
        <v>1</v>
      </c>
      <c r="D178" s="716"/>
      <c r="E178" s="707">
        <f t="shared" si="34"/>
        <v>1</v>
      </c>
      <c r="F178" s="716"/>
      <c r="G178" s="707">
        <f t="shared" si="35"/>
        <v>1</v>
      </c>
      <c r="H178" s="716"/>
      <c r="I178" s="707">
        <f t="shared" si="36"/>
        <v>1</v>
      </c>
      <c r="J178" s="716"/>
      <c r="K178" s="707">
        <f t="shared" si="37"/>
        <v>1</v>
      </c>
      <c r="L178" s="716"/>
      <c r="M178" s="707">
        <f t="shared" si="38"/>
        <v>1</v>
      </c>
      <c r="N178" s="716"/>
      <c r="O178" s="707">
        <f t="shared" si="39"/>
        <v>1</v>
      </c>
      <c r="P178" s="716"/>
      <c r="Q178" s="707">
        <f t="shared" si="40"/>
        <v>1</v>
      </c>
      <c r="R178" s="768">
        <f t="shared" si="41"/>
        <v>0</v>
      </c>
      <c r="S178" s="706">
        <f t="shared" si="32"/>
        <v>0</v>
      </c>
    </row>
    <row r="179" spans="1:19">
      <c r="A179" s="714"/>
      <c r="B179" s="715"/>
      <c r="C179" s="707">
        <f t="shared" si="33"/>
        <v>1</v>
      </c>
      <c r="D179" s="716"/>
      <c r="E179" s="707">
        <f t="shared" si="34"/>
        <v>1</v>
      </c>
      <c r="F179" s="716"/>
      <c r="G179" s="707">
        <f t="shared" si="35"/>
        <v>1</v>
      </c>
      <c r="H179" s="716"/>
      <c r="I179" s="707">
        <f t="shared" si="36"/>
        <v>1</v>
      </c>
      <c r="J179" s="716"/>
      <c r="K179" s="707">
        <f t="shared" si="37"/>
        <v>1</v>
      </c>
      <c r="L179" s="716"/>
      <c r="M179" s="707">
        <f t="shared" si="38"/>
        <v>1</v>
      </c>
      <c r="N179" s="716"/>
      <c r="O179" s="707">
        <f t="shared" si="39"/>
        <v>1</v>
      </c>
      <c r="P179" s="716"/>
      <c r="Q179" s="707">
        <f t="shared" si="40"/>
        <v>1</v>
      </c>
      <c r="R179" s="768">
        <f t="shared" si="41"/>
        <v>0</v>
      </c>
      <c r="S179" s="706">
        <f t="shared" si="32"/>
        <v>0</v>
      </c>
    </row>
    <row r="180" spans="1:19">
      <c r="A180" s="714"/>
      <c r="B180" s="715"/>
      <c r="C180" s="707">
        <f t="shared" si="33"/>
        <v>1</v>
      </c>
      <c r="D180" s="716"/>
      <c r="E180" s="707">
        <f t="shared" si="34"/>
        <v>1</v>
      </c>
      <c r="F180" s="716"/>
      <c r="G180" s="707">
        <f t="shared" si="35"/>
        <v>1</v>
      </c>
      <c r="H180" s="716"/>
      <c r="I180" s="707">
        <f t="shared" si="36"/>
        <v>1</v>
      </c>
      <c r="J180" s="716"/>
      <c r="K180" s="707">
        <f t="shared" si="37"/>
        <v>1</v>
      </c>
      <c r="L180" s="716"/>
      <c r="M180" s="707">
        <f t="shared" si="38"/>
        <v>1</v>
      </c>
      <c r="N180" s="716"/>
      <c r="O180" s="707">
        <f t="shared" si="39"/>
        <v>1</v>
      </c>
      <c r="P180" s="716"/>
      <c r="Q180" s="707">
        <f t="shared" si="40"/>
        <v>1</v>
      </c>
      <c r="R180" s="768">
        <f t="shared" si="41"/>
        <v>0</v>
      </c>
      <c r="S180" s="706">
        <f t="shared" si="32"/>
        <v>0</v>
      </c>
    </row>
    <row r="181" spans="1:19">
      <c r="A181" s="714"/>
      <c r="B181" s="715"/>
      <c r="C181" s="707">
        <f t="shared" si="33"/>
        <v>1</v>
      </c>
      <c r="D181" s="716"/>
      <c r="E181" s="707">
        <f t="shared" si="34"/>
        <v>1</v>
      </c>
      <c r="F181" s="716"/>
      <c r="G181" s="707">
        <f t="shared" si="35"/>
        <v>1</v>
      </c>
      <c r="H181" s="716"/>
      <c r="I181" s="707">
        <f t="shared" si="36"/>
        <v>1</v>
      </c>
      <c r="J181" s="716"/>
      <c r="K181" s="707">
        <f t="shared" si="37"/>
        <v>1</v>
      </c>
      <c r="L181" s="716"/>
      <c r="M181" s="707">
        <f t="shared" si="38"/>
        <v>1</v>
      </c>
      <c r="N181" s="716"/>
      <c r="O181" s="707">
        <f t="shared" si="39"/>
        <v>1</v>
      </c>
      <c r="P181" s="716"/>
      <c r="Q181" s="707">
        <f t="shared" si="40"/>
        <v>1</v>
      </c>
      <c r="R181" s="768">
        <f t="shared" si="41"/>
        <v>0</v>
      </c>
      <c r="S181" s="706">
        <f t="shared" si="32"/>
        <v>0</v>
      </c>
    </row>
    <row r="182" spans="1:19">
      <c r="A182" s="714"/>
      <c r="B182" s="715"/>
      <c r="C182" s="707">
        <f t="shared" si="33"/>
        <v>1</v>
      </c>
      <c r="D182" s="716"/>
      <c r="E182" s="707">
        <f t="shared" si="34"/>
        <v>1</v>
      </c>
      <c r="F182" s="716"/>
      <c r="G182" s="707">
        <f t="shared" si="35"/>
        <v>1</v>
      </c>
      <c r="H182" s="716"/>
      <c r="I182" s="707">
        <f t="shared" si="36"/>
        <v>1</v>
      </c>
      <c r="J182" s="716"/>
      <c r="K182" s="707">
        <f t="shared" si="37"/>
        <v>1</v>
      </c>
      <c r="L182" s="716"/>
      <c r="M182" s="707">
        <f t="shared" si="38"/>
        <v>1</v>
      </c>
      <c r="N182" s="716"/>
      <c r="O182" s="707">
        <f t="shared" si="39"/>
        <v>1</v>
      </c>
      <c r="P182" s="716"/>
      <c r="Q182" s="707">
        <f t="shared" si="40"/>
        <v>1</v>
      </c>
      <c r="R182" s="768">
        <f t="shared" si="41"/>
        <v>0</v>
      </c>
      <c r="S182" s="706">
        <f t="shared" si="32"/>
        <v>0</v>
      </c>
    </row>
    <row r="183" spans="1:19">
      <c r="A183" s="714"/>
      <c r="B183" s="715"/>
      <c r="C183" s="707">
        <f t="shared" si="33"/>
        <v>1</v>
      </c>
      <c r="D183" s="716"/>
      <c r="E183" s="707">
        <f t="shared" si="34"/>
        <v>1</v>
      </c>
      <c r="F183" s="716"/>
      <c r="G183" s="707">
        <f t="shared" si="35"/>
        <v>1</v>
      </c>
      <c r="H183" s="716"/>
      <c r="I183" s="707">
        <f t="shared" si="36"/>
        <v>1</v>
      </c>
      <c r="J183" s="716"/>
      <c r="K183" s="707">
        <f t="shared" si="37"/>
        <v>1</v>
      </c>
      <c r="L183" s="716"/>
      <c r="M183" s="707">
        <f t="shared" si="38"/>
        <v>1</v>
      </c>
      <c r="N183" s="716"/>
      <c r="O183" s="707">
        <f t="shared" si="39"/>
        <v>1</v>
      </c>
      <c r="P183" s="716"/>
      <c r="Q183" s="707">
        <f t="shared" si="40"/>
        <v>1</v>
      </c>
      <c r="R183" s="768">
        <f t="shared" si="41"/>
        <v>0</v>
      </c>
      <c r="S183" s="706">
        <f t="shared" si="32"/>
        <v>0</v>
      </c>
    </row>
    <row r="184" spans="1:19">
      <c r="A184" s="714"/>
      <c r="B184" s="715"/>
      <c r="C184" s="707">
        <f t="shared" si="33"/>
        <v>1</v>
      </c>
      <c r="D184" s="716"/>
      <c r="E184" s="707">
        <f t="shared" si="34"/>
        <v>1</v>
      </c>
      <c r="F184" s="716"/>
      <c r="G184" s="707">
        <f t="shared" si="35"/>
        <v>1</v>
      </c>
      <c r="H184" s="716"/>
      <c r="I184" s="707">
        <f t="shared" si="36"/>
        <v>1</v>
      </c>
      <c r="J184" s="716"/>
      <c r="K184" s="707">
        <f t="shared" si="37"/>
        <v>1</v>
      </c>
      <c r="L184" s="716"/>
      <c r="M184" s="707">
        <f t="shared" si="38"/>
        <v>1</v>
      </c>
      <c r="N184" s="716"/>
      <c r="O184" s="707">
        <f t="shared" si="39"/>
        <v>1</v>
      </c>
      <c r="P184" s="716"/>
      <c r="Q184" s="707">
        <f t="shared" si="40"/>
        <v>1</v>
      </c>
      <c r="R184" s="768">
        <f t="shared" si="41"/>
        <v>0</v>
      </c>
      <c r="S184" s="706">
        <f t="shared" si="32"/>
        <v>0</v>
      </c>
    </row>
    <row r="185" spans="1:19">
      <c r="A185" s="714"/>
      <c r="B185" s="715"/>
      <c r="C185" s="707">
        <f t="shared" si="33"/>
        <v>1</v>
      </c>
      <c r="D185" s="716"/>
      <c r="E185" s="707">
        <f t="shared" si="34"/>
        <v>1</v>
      </c>
      <c r="F185" s="716"/>
      <c r="G185" s="707">
        <f t="shared" si="35"/>
        <v>1</v>
      </c>
      <c r="H185" s="716"/>
      <c r="I185" s="707">
        <f t="shared" si="36"/>
        <v>1</v>
      </c>
      <c r="J185" s="716"/>
      <c r="K185" s="707">
        <f t="shared" si="37"/>
        <v>1</v>
      </c>
      <c r="L185" s="716"/>
      <c r="M185" s="707">
        <f t="shared" si="38"/>
        <v>1</v>
      </c>
      <c r="N185" s="716"/>
      <c r="O185" s="707">
        <f t="shared" si="39"/>
        <v>1</v>
      </c>
      <c r="P185" s="716"/>
      <c r="Q185" s="707">
        <f t="shared" si="40"/>
        <v>1</v>
      </c>
      <c r="R185" s="768">
        <f t="shared" si="41"/>
        <v>0</v>
      </c>
      <c r="S185" s="706">
        <f t="shared" si="32"/>
        <v>0</v>
      </c>
    </row>
    <row r="186" spans="1:19">
      <c r="A186" s="714"/>
      <c r="B186" s="715"/>
      <c r="C186" s="707">
        <f t="shared" si="33"/>
        <v>1</v>
      </c>
      <c r="D186" s="716"/>
      <c r="E186" s="707">
        <f t="shared" si="34"/>
        <v>1</v>
      </c>
      <c r="F186" s="716"/>
      <c r="G186" s="707">
        <f t="shared" si="35"/>
        <v>1</v>
      </c>
      <c r="H186" s="716"/>
      <c r="I186" s="707">
        <f t="shared" si="36"/>
        <v>1</v>
      </c>
      <c r="J186" s="716"/>
      <c r="K186" s="707">
        <f t="shared" si="37"/>
        <v>1</v>
      </c>
      <c r="L186" s="716"/>
      <c r="M186" s="707">
        <f t="shared" si="38"/>
        <v>1</v>
      </c>
      <c r="N186" s="716"/>
      <c r="O186" s="707">
        <f t="shared" si="39"/>
        <v>1</v>
      </c>
      <c r="P186" s="716"/>
      <c r="Q186" s="707">
        <f t="shared" si="40"/>
        <v>1</v>
      </c>
      <c r="R186" s="768">
        <f t="shared" si="41"/>
        <v>0</v>
      </c>
      <c r="S186" s="706">
        <f t="shared" si="32"/>
        <v>0</v>
      </c>
    </row>
    <row r="187" spans="1:19">
      <c r="A187" s="714"/>
      <c r="B187" s="715"/>
      <c r="C187" s="707">
        <f t="shared" si="33"/>
        <v>1</v>
      </c>
      <c r="D187" s="716"/>
      <c r="E187" s="707">
        <f t="shared" si="34"/>
        <v>1</v>
      </c>
      <c r="F187" s="716"/>
      <c r="G187" s="707">
        <f t="shared" si="35"/>
        <v>1</v>
      </c>
      <c r="H187" s="716"/>
      <c r="I187" s="707">
        <f t="shared" si="36"/>
        <v>1</v>
      </c>
      <c r="J187" s="716"/>
      <c r="K187" s="707">
        <f t="shared" si="37"/>
        <v>1</v>
      </c>
      <c r="L187" s="716"/>
      <c r="M187" s="707">
        <f t="shared" si="38"/>
        <v>1</v>
      </c>
      <c r="N187" s="716"/>
      <c r="O187" s="707">
        <f t="shared" si="39"/>
        <v>1</v>
      </c>
      <c r="P187" s="716"/>
      <c r="Q187" s="707">
        <f t="shared" si="40"/>
        <v>1</v>
      </c>
      <c r="R187" s="768">
        <f t="shared" si="41"/>
        <v>0</v>
      </c>
      <c r="S187" s="706">
        <f t="shared" ref="S187:S222" si="42">ROUND(R187*B187/10000,0)</f>
        <v>0</v>
      </c>
    </row>
    <row r="188" spans="1:19">
      <c r="A188" s="714"/>
      <c r="B188" s="715"/>
      <c r="C188" s="707">
        <f t="shared" si="33"/>
        <v>1</v>
      </c>
      <c r="D188" s="716"/>
      <c r="E188" s="707">
        <f t="shared" si="34"/>
        <v>1</v>
      </c>
      <c r="F188" s="716"/>
      <c r="G188" s="707">
        <f t="shared" si="35"/>
        <v>1</v>
      </c>
      <c r="H188" s="716"/>
      <c r="I188" s="707">
        <f t="shared" si="36"/>
        <v>1</v>
      </c>
      <c r="J188" s="716"/>
      <c r="K188" s="707">
        <f t="shared" si="37"/>
        <v>1</v>
      </c>
      <c r="L188" s="716"/>
      <c r="M188" s="707">
        <f t="shared" si="38"/>
        <v>1</v>
      </c>
      <c r="N188" s="716"/>
      <c r="O188" s="707">
        <f t="shared" si="39"/>
        <v>1</v>
      </c>
      <c r="P188" s="716"/>
      <c r="Q188" s="707">
        <f t="shared" si="40"/>
        <v>1</v>
      </c>
      <c r="R188" s="768">
        <f t="shared" si="41"/>
        <v>0</v>
      </c>
      <c r="S188" s="706">
        <f t="shared" si="42"/>
        <v>0</v>
      </c>
    </row>
    <row r="189" spans="1:19">
      <c r="A189" s="714"/>
      <c r="B189" s="715"/>
      <c r="C189" s="707">
        <f t="shared" si="33"/>
        <v>1</v>
      </c>
      <c r="D189" s="716"/>
      <c r="E189" s="707">
        <f t="shared" si="34"/>
        <v>1</v>
      </c>
      <c r="F189" s="716"/>
      <c r="G189" s="707">
        <f t="shared" si="35"/>
        <v>1</v>
      </c>
      <c r="H189" s="716"/>
      <c r="I189" s="707">
        <f t="shared" si="36"/>
        <v>1</v>
      </c>
      <c r="J189" s="716"/>
      <c r="K189" s="707">
        <f t="shared" si="37"/>
        <v>1</v>
      </c>
      <c r="L189" s="716"/>
      <c r="M189" s="707">
        <f t="shared" si="38"/>
        <v>1</v>
      </c>
      <c r="N189" s="716"/>
      <c r="O189" s="707">
        <f t="shared" si="39"/>
        <v>1</v>
      </c>
      <c r="P189" s="716"/>
      <c r="Q189" s="707">
        <f t="shared" si="40"/>
        <v>1</v>
      </c>
      <c r="R189" s="768">
        <f t="shared" si="41"/>
        <v>0</v>
      </c>
      <c r="S189" s="706">
        <f t="shared" si="42"/>
        <v>0</v>
      </c>
    </row>
    <row r="190" spans="1:19">
      <c r="A190" s="714"/>
      <c r="B190" s="715"/>
      <c r="C190" s="707">
        <f t="shared" si="33"/>
        <v>1</v>
      </c>
      <c r="D190" s="716"/>
      <c r="E190" s="707">
        <f t="shared" si="34"/>
        <v>1</v>
      </c>
      <c r="F190" s="716"/>
      <c r="G190" s="707">
        <f t="shared" si="35"/>
        <v>1</v>
      </c>
      <c r="H190" s="716"/>
      <c r="I190" s="707">
        <f t="shared" si="36"/>
        <v>1</v>
      </c>
      <c r="J190" s="716"/>
      <c r="K190" s="707">
        <f t="shared" si="37"/>
        <v>1</v>
      </c>
      <c r="L190" s="716"/>
      <c r="M190" s="707">
        <f t="shared" si="38"/>
        <v>1</v>
      </c>
      <c r="N190" s="716"/>
      <c r="O190" s="707">
        <f t="shared" si="39"/>
        <v>1</v>
      </c>
      <c r="P190" s="716"/>
      <c r="Q190" s="707">
        <f t="shared" si="40"/>
        <v>1</v>
      </c>
      <c r="R190" s="768">
        <f t="shared" si="41"/>
        <v>0</v>
      </c>
      <c r="S190" s="706">
        <f t="shared" si="42"/>
        <v>0</v>
      </c>
    </row>
    <row r="191" spans="1:19">
      <c r="A191" s="714"/>
      <c r="B191" s="715"/>
      <c r="C191" s="707">
        <f t="shared" si="33"/>
        <v>1</v>
      </c>
      <c r="D191" s="716"/>
      <c r="E191" s="707">
        <f t="shared" si="34"/>
        <v>1</v>
      </c>
      <c r="F191" s="716"/>
      <c r="G191" s="707">
        <f t="shared" si="35"/>
        <v>1</v>
      </c>
      <c r="H191" s="716"/>
      <c r="I191" s="707">
        <f t="shared" si="36"/>
        <v>1</v>
      </c>
      <c r="J191" s="716"/>
      <c r="K191" s="707">
        <f t="shared" si="37"/>
        <v>1</v>
      </c>
      <c r="L191" s="716"/>
      <c r="M191" s="707">
        <f t="shared" si="38"/>
        <v>1</v>
      </c>
      <c r="N191" s="716"/>
      <c r="O191" s="707">
        <f t="shared" si="39"/>
        <v>1</v>
      </c>
      <c r="P191" s="716"/>
      <c r="Q191" s="707">
        <f t="shared" si="40"/>
        <v>1</v>
      </c>
      <c r="R191" s="768">
        <f t="shared" si="41"/>
        <v>0</v>
      </c>
      <c r="S191" s="706">
        <f t="shared" si="42"/>
        <v>0</v>
      </c>
    </row>
    <row r="192" spans="1:19">
      <c r="A192" s="714"/>
      <c r="B192" s="715"/>
      <c r="C192" s="707">
        <f t="shared" si="33"/>
        <v>1</v>
      </c>
      <c r="D192" s="716"/>
      <c r="E192" s="707">
        <f t="shared" si="34"/>
        <v>1</v>
      </c>
      <c r="F192" s="716"/>
      <c r="G192" s="707">
        <f t="shared" si="35"/>
        <v>1</v>
      </c>
      <c r="H192" s="716"/>
      <c r="I192" s="707">
        <f t="shared" si="36"/>
        <v>1</v>
      </c>
      <c r="J192" s="716"/>
      <c r="K192" s="707">
        <f t="shared" si="37"/>
        <v>1</v>
      </c>
      <c r="L192" s="716"/>
      <c r="M192" s="707">
        <f t="shared" si="38"/>
        <v>1</v>
      </c>
      <c r="N192" s="716"/>
      <c r="O192" s="707">
        <f t="shared" si="39"/>
        <v>1</v>
      </c>
      <c r="P192" s="716"/>
      <c r="Q192" s="707">
        <f t="shared" si="40"/>
        <v>1</v>
      </c>
      <c r="R192" s="768">
        <f t="shared" si="41"/>
        <v>0</v>
      </c>
      <c r="S192" s="706">
        <f t="shared" si="42"/>
        <v>0</v>
      </c>
    </row>
    <row r="193" spans="1:19">
      <c r="A193" s="714"/>
      <c r="B193" s="715"/>
      <c r="C193" s="707">
        <f t="shared" si="33"/>
        <v>1</v>
      </c>
      <c r="D193" s="716"/>
      <c r="E193" s="707">
        <f t="shared" si="34"/>
        <v>1</v>
      </c>
      <c r="F193" s="716"/>
      <c r="G193" s="707">
        <f t="shared" si="35"/>
        <v>1</v>
      </c>
      <c r="H193" s="716"/>
      <c r="I193" s="707">
        <f t="shared" si="36"/>
        <v>1</v>
      </c>
      <c r="J193" s="716"/>
      <c r="K193" s="707">
        <f t="shared" si="37"/>
        <v>1</v>
      </c>
      <c r="L193" s="716"/>
      <c r="M193" s="707">
        <f t="shared" si="38"/>
        <v>1</v>
      </c>
      <c r="N193" s="716"/>
      <c r="O193" s="707">
        <f t="shared" si="39"/>
        <v>1</v>
      </c>
      <c r="P193" s="716"/>
      <c r="Q193" s="707">
        <f t="shared" si="40"/>
        <v>1</v>
      </c>
      <c r="R193" s="768">
        <f t="shared" si="41"/>
        <v>0</v>
      </c>
      <c r="S193" s="706">
        <f t="shared" si="42"/>
        <v>0</v>
      </c>
    </row>
    <row r="194" spans="1:19">
      <c r="A194" s="714"/>
      <c r="B194" s="715"/>
      <c r="C194" s="707">
        <f t="shared" si="33"/>
        <v>1</v>
      </c>
      <c r="D194" s="716"/>
      <c r="E194" s="707">
        <f t="shared" si="34"/>
        <v>1</v>
      </c>
      <c r="F194" s="716"/>
      <c r="G194" s="707">
        <f t="shared" si="35"/>
        <v>1</v>
      </c>
      <c r="H194" s="716"/>
      <c r="I194" s="707">
        <f t="shared" si="36"/>
        <v>1</v>
      </c>
      <c r="J194" s="716"/>
      <c r="K194" s="707">
        <f t="shared" si="37"/>
        <v>1</v>
      </c>
      <c r="L194" s="716"/>
      <c r="M194" s="707">
        <f t="shared" si="38"/>
        <v>1</v>
      </c>
      <c r="N194" s="716"/>
      <c r="O194" s="707">
        <f t="shared" si="39"/>
        <v>1</v>
      </c>
      <c r="P194" s="716"/>
      <c r="Q194" s="707">
        <f t="shared" si="40"/>
        <v>1</v>
      </c>
      <c r="R194" s="768">
        <f t="shared" si="41"/>
        <v>0</v>
      </c>
      <c r="S194" s="706">
        <f t="shared" si="42"/>
        <v>0</v>
      </c>
    </row>
    <row r="195" spans="1:19">
      <c r="A195" s="714"/>
      <c r="B195" s="715"/>
      <c r="C195" s="707">
        <f t="shared" si="33"/>
        <v>1</v>
      </c>
      <c r="D195" s="716"/>
      <c r="E195" s="707">
        <f t="shared" si="34"/>
        <v>1</v>
      </c>
      <c r="F195" s="716"/>
      <c r="G195" s="707">
        <f t="shared" si="35"/>
        <v>1</v>
      </c>
      <c r="H195" s="716"/>
      <c r="I195" s="707">
        <f t="shared" si="36"/>
        <v>1</v>
      </c>
      <c r="J195" s="716"/>
      <c r="K195" s="707">
        <f t="shared" si="37"/>
        <v>1</v>
      </c>
      <c r="L195" s="716"/>
      <c r="M195" s="707">
        <f t="shared" si="38"/>
        <v>1</v>
      </c>
      <c r="N195" s="716"/>
      <c r="O195" s="707">
        <f t="shared" si="39"/>
        <v>1</v>
      </c>
      <c r="P195" s="716"/>
      <c r="Q195" s="707">
        <f t="shared" si="40"/>
        <v>1</v>
      </c>
      <c r="R195" s="768">
        <f t="shared" si="41"/>
        <v>0</v>
      </c>
      <c r="S195" s="706">
        <f t="shared" si="42"/>
        <v>0</v>
      </c>
    </row>
    <row r="196" spans="1:19">
      <c r="A196" s="714"/>
      <c r="B196" s="715"/>
      <c r="C196" s="707">
        <f t="shared" si="33"/>
        <v>1</v>
      </c>
      <c r="D196" s="716"/>
      <c r="E196" s="707">
        <f t="shared" si="34"/>
        <v>1</v>
      </c>
      <c r="F196" s="716"/>
      <c r="G196" s="707">
        <f t="shared" si="35"/>
        <v>1</v>
      </c>
      <c r="H196" s="716"/>
      <c r="I196" s="707">
        <f t="shared" si="36"/>
        <v>1</v>
      </c>
      <c r="J196" s="716"/>
      <c r="K196" s="707">
        <f t="shared" si="37"/>
        <v>1</v>
      </c>
      <c r="L196" s="716"/>
      <c r="M196" s="707">
        <f t="shared" si="38"/>
        <v>1</v>
      </c>
      <c r="N196" s="716"/>
      <c r="O196" s="707">
        <f t="shared" si="39"/>
        <v>1</v>
      </c>
      <c r="P196" s="716"/>
      <c r="Q196" s="707">
        <f t="shared" si="40"/>
        <v>1</v>
      </c>
      <c r="R196" s="768">
        <f t="shared" si="41"/>
        <v>0</v>
      </c>
      <c r="S196" s="706">
        <f t="shared" si="42"/>
        <v>0</v>
      </c>
    </row>
    <row r="197" spans="1:19">
      <c r="A197" s="714"/>
      <c r="B197" s="715"/>
      <c r="C197" s="707">
        <f t="shared" si="33"/>
        <v>1</v>
      </c>
      <c r="D197" s="716"/>
      <c r="E197" s="707">
        <f t="shared" si="34"/>
        <v>1</v>
      </c>
      <c r="F197" s="716"/>
      <c r="G197" s="707">
        <f t="shared" si="35"/>
        <v>1</v>
      </c>
      <c r="H197" s="716"/>
      <c r="I197" s="707">
        <f t="shared" si="36"/>
        <v>1</v>
      </c>
      <c r="J197" s="716"/>
      <c r="K197" s="707">
        <f t="shared" si="37"/>
        <v>1</v>
      </c>
      <c r="L197" s="716"/>
      <c r="M197" s="707">
        <f t="shared" si="38"/>
        <v>1</v>
      </c>
      <c r="N197" s="716"/>
      <c r="O197" s="707">
        <f t="shared" si="39"/>
        <v>1</v>
      </c>
      <c r="P197" s="716"/>
      <c r="Q197" s="707">
        <f t="shared" si="40"/>
        <v>1</v>
      </c>
      <c r="R197" s="768">
        <f t="shared" si="41"/>
        <v>0</v>
      </c>
      <c r="S197" s="706">
        <f t="shared" si="42"/>
        <v>0</v>
      </c>
    </row>
    <row r="198" spans="1:19">
      <c r="A198" s="714"/>
      <c r="B198" s="715"/>
      <c r="C198" s="707">
        <f t="shared" si="33"/>
        <v>1</v>
      </c>
      <c r="D198" s="716"/>
      <c r="E198" s="707">
        <f t="shared" si="34"/>
        <v>1</v>
      </c>
      <c r="F198" s="716"/>
      <c r="G198" s="707">
        <f t="shared" si="35"/>
        <v>1</v>
      </c>
      <c r="H198" s="716"/>
      <c r="I198" s="707">
        <f t="shared" si="36"/>
        <v>1</v>
      </c>
      <c r="J198" s="716"/>
      <c r="K198" s="707">
        <f t="shared" si="37"/>
        <v>1</v>
      </c>
      <c r="L198" s="716"/>
      <c r="M198" s="707">
        <f t="shared" si="38"/>
        <v>1</v>
      </c>
      <c r="N198" s="716"/>
      <c r="O198" s="707">
        <f t="shared" si="39"/>
        <v>1</v>
      </c>
      <c r="P198" s="716"/>
      <c r="Q198" s="707">
        <f t="shared" si="40"/>
        <v>1</v>
      </c>
      <c r="R198" s="768">
        <f t="shared" si="41"/>
        <v>0</v>
      </c>
      <c r="S198" s="706">
        <f t="shared" si="42"/>
        <v>0</v>
      </c>
    </row>
    <row r="199" spans="1:19">
      <c r="A199" s="714"/>
      <c r="B199" s="715"/>
      <c r="C199" s="707">
        <f t="shared" si="33"/>
        <v>1</v>
      </c>
      <c r="D199" s="716"/>
      <c r="E199" s="707">
        <f t="shared" si="34"/>
        <v>1</v>
      </c>
      <c r="F199" s="716"/>
      <c r="G199" s="707">
        <f t="shared" si="35"/>
        <v>1</v>
      </c>
      <c r="H199" s="716"/>
      <c r="I199" s="707">
        <f t="shared" si="36"/>
        <v>1</v>
      </c>
      <c r="J199" s="716"/>
      <c r="K199" s="707">
        <f t="shared" si="37"/>
        <v>1</v>
      </c>
      <c r="L199" s="716"/>
      <c r="M199" s="707">
        <f t="shared" si="38"/>
        <v>1</v>
      </c>
      <c r="N199" s="716"/>
      <c r="O199" s="707">
        <f t="shared" si="39"/>
        <v>1</v>
      </c>
      <c r="P199" s="716"/>
      <c r="Q199" s="707">
        <f t="shared" si="40"/>
        <v>1</v>
      </c>
      <c r="R199" s="768">
        <f t="shared" si="41"/>
        <v>0</v>
      </c>
      <c r="S199" s="706">
        <f t="shared" si="42"/>
        <v>0</v>
      </c>
    </row>
    <row r="200" spans="1:19">
      <c r="A200" s="714"/>
      <c r="B200" s="715"/>
      <c r="C200" s="707">
        <f t="shared" si="33"/>
        <v>1</v>
      </c>
      <c r="D200" s="716"/>
      <c r="E200" s="707">
        <f t="shared" si="34"/>
        <v>1</v>
      </c>
      <c r="F200" s="716"/>
      <c r="G200" s="707">
        <f t="shared" si="35"/>
        <v>1</v>
      </c>
      <c r="H200" s="716"/>
      <c r="I200" s="707">
        <f t="shared" si="36"/>
        <v>1</v>
      </c>
      <c r="J200" s="716"/>
      <c r="K200" s="707">
        <f t="shared" si="37"/>
        <v>1</v>
      </c>
      <c r="L200" s="716"/>
      <c r="M200" s="707">
        <f t="shared" si="38"/>
        <v>1</v>
      </c>
      <c r="N200" s="716"/>
      <c r="O200" s="707">
        <f t="shared" si="39"/>
        <v>1</v>
      </c>
      <c r="P200" s="716"/>
      <c r="Q200" s="707">
        <f t="shared" si="40"/>
        <v>1</v>
      </c>
      <c r="R200" s="768">
        <f t="shared" si="41"/>
        <v>0</v>
      </c>
      <c r="S200" s="706">
        <f t="shared" si="42"/>
        <v>0</v>
      </c>
    </row>
    <row r="201" spans="1:19">
      <c r="A201" s="714"/>
      <c r="B201" s="715"/>
      <c r="C201" s="707">
        <f t="shared" si="33"/>
        <v>1</v>
      </c>
      <c r="D201" s="716"/>
      <c r="E201" s="707">
        <f t="shared" si="34"/>
        <v>1</v>
      </c>
      <c r="F201" s="716"/>
      <c r="G201" s="707">
        <f t="shared" si="35"/>
        <v>1</v>
      </c>
      <c r="H201" s="716"/>
      <c r="I201" s="707">
        <f t="shared" si="36"/>
        <v>1</v>
      </c>
      <c r="J201" s="716"/>
      <c r="K201" s="707">
        <f t="shared" si="37"/>
        <v>1</v>
      </c>
      <c r="L201" s="716"/>
      <c r="M201" s="707">
        <f t="shared" si="38"/>
        <v>1</v>
      </c>
      <c r="N201" s="716"/>
      <c r="O201" s="707">
        <f t="shared" si="39"/>
        <v>1</v>
      </c>
      <c r="P201" s="716"/>
      <c r="Q201" s="707">
        <f t="shared" si="40"/>
        <v>1</v>
      </c>
      <c r="R201" s="768">
        <f t="shared" si="41"/>
        <v>0</v>
      </c>
      <c r="S201" s="706">
        <f t="shared" si="42"/>
        <v>0</v>
      </c>
    </row>
    <row r="202" spans="1:19">
      <c r="A202" s="714"/>
      <c r="B202" s="715"/>
      <c r="C202" s="707">
        <f t="shared" si="33"/>
        <v>1</v>
      </c>
      <c r="D202" s="716"/>
      <c r="E202" s="707">
        <f t="shared" si="34"/>
        <v>1</v>
      </c>
      <c r="F202" s="716"/>
      <c r="G202" s="707">
        <f t="shared" si="35"/>
        <v>1</v>
      </c>
      <c r="H202" s="716"/>
      <c r="I202" s="707">
        <f t="shared" si="36"/>
        <v>1</v>
      </c>
      <c r="J202" s="716"/>
      <c r="K202" s="707">
        <f t="shared" si="37"/>
        <v>1</v>
      </c>
      <c r="L202" s="716"/>
      <c r="M202" s="707">
        <f t="shared" si="38"/>
        <v>1</v>
      </c>
      <c r="N202" s="716"/>
      <c r="O202" s="707">
        <f t="shared" si="39"/>
        <v>1</v>
      </c>
      <c r="P202" s="716"/>
      <c r="Q202" s="707">
        <f t="shared" si="40"/>
        <v>1</v>
      </c>
      <c r="R202" s="768">
        <f t="shared" si="41"/>
        <v>0</v>
      </c>
      <c r="S202" s="706">
        <f t="shared" si="42"/>
        <v>0</v>
      </c>
    </row>
    <row r="203" spans="1:19">
      <c r="A203" s="714"/>
      <c r="B203" s="715"/>
      <c r="C203" s="707">
        <f t="shared" si="33"/>
        <v>1</v>
      </c>
      <c r="D203" s="716"/>
      <c r="E203" s="707">
        <f t="shared" si="34"/>
        <v>1</v>
      </c>
      <c r="F203" s="716"/>
      <c r="G203" s="707">
        <f t="shared" si="35"/>
        <v>1</v>
      </c>
      <c r="H203" s="716"/>
      <c r="I203" s="707">
        <f t="shared" si="36"/>
        <v>1</v>
      </c>
      <c r="J203" s="716"/>
      <c r="K203" s="707">
        <f t="shared" si="37"/>
        <v>1</v>
      </c>
      <c r="L203" s="716"/>
      <c r="M203" s="707">
        <f t="shared" si="38"/>
        <v>1</v>
      </c>
      <c r="N203" s="716"/>
      <c r="O203" s="707">
        <f t="shared" si="39"/>
        <v>1</v>
      </c>
      <c r="P203" s="716"/>
      <c r="Q203" s="707">
        <f t="shared" si="40"/>
        <v>1</v>
      </c>
      <c r="R203" s="768">
        <f t="shared" si="41"/>
        <v>0</v>
      </c>
      <c r="S203" s="706">
        <f t="shared" si="42"/>
        <v>0</v>
      </c>
    </row>
    <row r="204" spans="1:19">
      <c r="A204" s="714"/>
      <c r="B204" s="715"/>
      <c r="C204" s="707">
        <f t="shared" si="33"/>
        <v>1</v>
      </c>
      <c r="D204" s="716"/>
      <c r="E204" s="707">
        <f t="shared" si="34"/>
        <v>1</v>
      </c>
      <c r="F204" s="716"/>
      <c r="G204" s="707">
        <f t="shared" si="35"/>
        <v>1</v>
      </c>
      <c r="H204" s="716"/>
      <c r="I204" s="707">
        <f t="shared" si="36"/>
        <v>1</v>
      </c>
      <c r="J204" s="716"/>
      <c r="K204" s="707">
        <f t="shared" si="37"/>
        <v>1</v>
      </c>
      <c r="L204" s="716"/>
      <c r="M204" s="707">
        <f t="shared" si="38"/>
        <v>1</v>
      </c>
      <c r="N204" s="716"/>
      <c r="O204" s="707">
        <f t="shared" si="39"/>
        <v>1</v>
      </c>
      <c r="P204" s="716"/>
      <c r="Q204" s="707">
        <f t="shared" si="40"/>
        <v>1</v>
      </c>
      <c r="R204" s="768">
        <f t="shared" si="41"/>
        <v>0</v>
      </c>
      <c r="S204" s="706">
        <f t="shared" si="42"/>
        <v>0</v>
      </c>
    </row>
    <row r="205" spans="1:19">
      <c r="A205" s="714"/>
      <c r="B205" s="715"/>
      <c r="C205" s="707">
        <f t="shared" si="33"/>
        <v>1</v>
      </c>
      <c r="D205" s="716"/>
      <c r="E205" s="707">
        <f t="shared" si="34"/>
        <v>1</v>
      </c>
      <c r="F205" s="716"/>
      <c r="G205" s="707">
        <f t="shared" si="35"/>
        <v>1</v>
      </c>
      <c r="H205" s="716"/>
      <c r="I205" s="707">
        <f t="shared" si="36"/>
        <v>1</v>
      </c>
      <c r="J205" s="716"/>
      <c r="K205" s="707">
        <f t="shared" si="37"/>
        <v>1</v>
      </c>
      <c r="L205" s="716"/>
      <c r="M205" s="707">
        <f t="shared" si="38"/>
        <v>1</v>
      </c>
      <c r="N205" s="716"/>
      <c r="O205" s="707">
        <f t="shared" si="39"/>
        <v>1</v>
      </c>
      <c r="P205" s="716"/>
      <c r="Q205" s="707">
        <f t="shared" si="40"/>
        <v>1</v>
      </c>
      <c r="R205" s="768">
        <f t="shared" si="41"/>
        <v>0</v>
      </c>
      <c r="S205" s="706">
        <f t="shared" si="42"/>
        <v>0</v>
      </c>
    </row>
    <row r="206" spans="1:19">
      <c r="A206" s="714"/>
      <c r="B206" s="715"/>
      <c r="C206" s="707">
        <f t="shared" si="33"/>
        <v>1</v>
      </c>
      <c r="D206" s="716"/>
      <c r="E206" s="707">
        <f t="shared" si="34"/>
        <v>1</v>
      </c>
      <c r="F206" s="716"/>
      <c r="G206" s="707">
        <f t="shared" si="35"/>
        <v>1</v>
      </c>
      <c r="H206" s="716"/>
      <c r="I206" s="707">
        <f t="shared" si="36"/>
        <v>1</v>
      </c>
      <c r="J206" s="716"/>
      <c r="K206" s="707">
        <f t="shared" si="37"/>
        <v>1</v>
      </c>
      <c r="L206" s="716"/>
      <c r="M206" s="707">
        <f t="shared" si="38"/>
        <v>1</v>
      </c>
      <c r="N206" s="716"/>
      <c r="O206" s="707">
        <f t="shared" si="39"/>
        <v>1</v>
      </c>
      <c r="P206" s="716"/>
      <c r="Q206" s="707">
        <f t="shared" si="40"/>
        <v>1</v>
      </c>
      <c r="R206" s="768">
        <f t="shared" si="41"/>
        <v>0</v>
      </c>
      <c r="S206" s="706">
        <f t="shared" si="42"/>
        <v>0</v>
      </c>
    </row>
    <row r="207" spans="1:19">
      <c r="A207" s="714"/>
      <c r="B207" s="715"/>
      <c r="C207" s="707">
        <f t="shared" si="33"/>
        <v>1</v>
      </c>
      <c r="D207" s="716"/>
      <c r="E207" s="707">
        <f t="shared" si="34"/>
        <v>1</v>
      </c>
      <c r="F207" s="716"/>
      <c r="G207" s="707">
        <f t="shared" si="35"/>
        <v>1</v>
      </c>
      <c r="H207" s="716"/>
      <c r="I207" s="707">
        <f t="shared" si="36"/>
        <v>1</v>
      </c>
      <c r="J207" s="716"/>
      <c r="K207" s="707">
        <f t="shared" si="37"/>
        <v>1</v>
      </c>
      <c r="L207" s="716"/>
      <c r="M207" s="707">
        <f t="shared" si="38"/>
        <v>1</v>
      </c>
      <c r="N207" s="716"/>
      <c r="O207" s="707">
        <f t="shared" si="39"/>
        <v>1</v>
      </c>
      <c r="P207" s="716"/>
      <c r="Q207" s="707">
        <f t="shared" si="40"/>
        <v>1</v>
      </c>
      <c r="R207" s="768">
        <f t="shared" si="41"/>
        <v>0</v>
      </c>
      <c r="S207" s="706">
        <f t="shared" si="42"/>
        <v>0</v>
      </c>
    </row>
    <row r="208" spans="1:19">
      <c r="A208" s="714"/>
      <c r="B208" s="715"/>
      <c r="C208" s="707">
        <f t="shared" si="33"/>
        <v>1</v>
      </c>
      <c r="D208" s="716"/>
      <c r="E208" s="707">
        <f t="shared" si="34"/>
        <v>1</v>
      </c>
      <c r="F208" s="716"/>
      <c r="G208" s="707">
        <f t="shared" si="35"/>
        <v>1</v>
      </c>
      <c r="H208" s="716"/>
      <c r="I208" s="707">
        <f t="shared" si="36"/>
        <v>1</v>
      </c>
      <c r="J208" s="716"/>
      <c r="K208" s="707">
        <f t="shared" si="37"/>
        <v>1</v>
      </c>
      <c r="L208" s="716"/>
      <c r="M208" s="707">
        <f t="shared" si="38"/>
        <v>1</v>
      </c>
      <c r="N208" s="716"/>
      <c r="O208" s="707">
        <f t="shared" si="39"/>
        <v>1</v>
      </c>
      <c r="P208" s="716"/>
      <c r="Q208" s="707">
        <f t="shared" si="40"/>
        <v>1</v>
      </c>
      <c r="R208" s="768">
        <f t="shared" si="41"/>
        <v>0</v>
      </c>
      <c r="S208" s="706">
        <f t="shared" si="42"/>
        <v>0</v>
      </c>
    </row>
    <row r="209" spans="1:19">
      <c r="A209" s="714"/>
      <c r="B209" s="715"/>
      <c r="C209" s="707">
        <f t="shared" si="33"/>
        <v>1</v>
      </c>
      <c r="D209" s="716"/>
      <c r="E209" s="707">
        <f t="shared" si="34"/>
        <v>1</v>
      </c>
      <c r="F209" s="716"/>
      <c r="G209" s="707">
        <f t="shared" si="35"/>
        <v>1</v>
      </c>
      <c r="H209" s="716"/>
      <c r="I209" s="707">
        <f t="shared" si="36"/>
        <v>1</v>
      </c>
      <c r="J209" s="716"/>
      <c r="K209" s="707">
        <f t="shared" si="37"/>
        <v>1</v>
      </c>
      <c r="L209" s="716"/>
      <c r="M209" s="707">
        <f t="shared" si="38"/>
        <v>1</v>
      </c>
      <c r="N209" s="716"/>
      <c r="O209" s="707">
        <f t="shared" si="39"/>
        <v>1</v>
      </c>
      <c r="P209" s="716"/>
      <c r="Q209" s="707">
        <f t="shared" si="40"/>
        <v>1</v>
      </c>
      <c r="R209" s="768">
        <f t="shared" si="41"/>
        <v>0</v>
      </c>
      <c r="S209" s="706">
        <f t="shared" si="42"/>
        <v>0</v>
      </c>
    </row>
    <row r="210" spans="1:19">
      <c r="A210" s="714"/>
      <c r="B210" s="715"/>
      <c r="C210" s="707">
        <f t="shared" si="33"/>
        <v>1</v>
      </c>
      <c r="D210" s="716"/>
      <c r="E210" s="707">
        <f t="shared" si="34"/>
        <v>1</v>
      </c>
      <c r="F210" s="716"/>
      <c r="G210" s="707">
        <f t="shared" si="35"/>
        <v>1</v>
      </c>
      <c r="H210" s="716"/>
      <c r="I210" s="707">
        <f t="shared" si="36"/>
        <v>1</v>
      </c>
      <c r="J210" s="716"/>
      <c r="K210" s="707">
        <f t="shared" si="37"/>
        <v>1</v>
      </c>
      <c r="L210" s="716"/>
      <c r="M210" s="707">
        <f t="shared" si="38"/>
        <v>1</v>
      </c>
      <c r="N210" s="716"/>
      <c r="O210" s="707">
        <f t="shared" si="39"/>
        <v>1</v>
      </c>
      <c r="P210" s="716"/>
      <c r="Q210" s="707">
        <f t="shared" si="40"/>
        <v>1</v>
      </c>
      <c r="R210" s="768">
        <f t="shared" si="41"/>
        <v>0</v>
      </c>
      <c r="S210" s="706">
        <f t="shared" si="42"/>
        <v>0</v>
      </c>
    </row>
    <row r="211" spans="1:19">
      <c r="A211" s="714"/>
      <c r="B211" s="715"/>
      <c r="C211" s="707">
        <f t="shared" si="33"/>
        <v>1</v>
      </c>
      <c r="D211" s="716"/>
      <c r="E211" s="707">
        <f t="shared" si="34"/>
        <v>1</v>
      </c>
      <c r="F211" s="716"/>
      <c r="G211" s="707">
        <f t="shared" si="35"/>
        <v>1</v>
      </c>
      <c r="H211" s="716"/>
      <c r="I211" s="707">
        <f t="shared" si="36"/>
        <v>1</v>
      </c>
      <c r="J211" s="716"/>
      <c r="K211" s="707">
        <f t="shared" si="37"/>
        <v>1</v>
      </c>
      <c r="L211" s="716"/>
      <c r="M211" s="707">
        <f t="shared" si="38"/>
        <v>1</v>
      </c>
      <c r="N211" s="716"/>
      <c r="O211" s="707">
        <f t="shared" si="39"/>
        <v>1</v>
      </c>
      <c r="P211" s="716"/>
      <c r="Q211" s="707">
        <f t="shared" si="40"/>
        <v>1</v>
      </c>
      <c r="R211" s="768">
        <f t="shared" si="41"/>
        <v>0</v>
      </c>
      <c r="S211" s="706">
        <f t="shared" si="42"/>
        <v>0</v>
      </c>
    </row>
    <row r="212" spans="1:19">
      <c r="A212" s="714"/>
      <c r="B212" s="715"/>
      <c r="C212" s="707">
        <f t="shared" si="33"/>
        <v>1</v>
      </c>
      <c r="D212" s="716"/>
      <c r="E212" s="707">
        <f t="shared" si="34"/>
        <v>1</v>
      </c>
      <c r="F212" s="716"/>
      <c r="G212" s="707">
        <f t="shared" si="35"/>
        <v>1</v>
      </c>
      <c r="H212" s="716"/>
      <c r="I212" s="707">
        <f t="shared" si="36"/>
        <v>1</v>
      </c>
      <c r="J212" s="716"/>
      <c r="K212" s="707">
        <f t="shared" si="37"/>
        <v>1</v>
      </c>
      <c r="L212" s="716"/>
      <c r="M212" s="707">
        <f t="shared" si="38"/>
        <v>1</v>
      </c>
      <c r="N212" s="716"/>
      <c r="O212" s="707">
        <f t="shared" si="39"/>
        <v>1</v>
      </c>
      <c r="P212" s="716"/>
      <c r="Q212" s="707">
        <f t="shared" si="40"/>
        <v>1</v>
      </c>
      <c r="R212" s="768">
        <f t="shared" si="41"/>
        <v>0</v>
      </c>
      <c r="S212" s="706">
        <f t="shared" si="42"/>
        <v>0</v>
      </c>
    </row>
    <row r="213" spans="1:19">
      <c r="A213" s="714"/>
      <c r="B213" s="715"/>
      <c r="C213" s="707">
        <f t="shared" si="33"/>
        <v>1</v>
      </c>
      <c r="D213" s="716"/>
      <c r="E213" s="707">
        <f t="shared" si="34"/>
        <v>1</v>
      </c>
      <c r="F213" s="716"/>
      <c r="G213" s="707">
        <f t="shared" si="35"/>
        <v>1</v>
      </c>
      <c r="H213" s="716"/>
      <c r="I213" s="707">
        <f t="shared" si="36"/>
        <v>1</v>
      </c>
      <c r="J213" s="716"/>
      <c r="K213" s="707">
        <f t="shared" si="37"/>
        <v>1</v>
      </c>
      <c r="L213" s="716"/>
      <c r="M213" s="707">
        <f t="shared" si="38"/>
        <v>1</v>
      </c>
      <c r="N213" s="716"/>
      <c r="O213" s="707">
        <f t="shared" si="39"/>
        <v>1</v>
      </c>
      <c r="P213" s="716"/>
      <c r="Q213" s="707">
        <f t="shared" si="40"/>
        <v>1</v>
      </c>
      <c r="R213" s="768">
        <f t="shared" si="41"/>
        <v>0</v>
      </c>
      <c r="S213" s="706">
        <f t="shared" si="42"/>
        <v>0</v>
      </c>
    </row>
    <row r="214" spans="1:19">
      <c r="A214" s="714"/>
      <c r="B214" s="715"/>
      <c r="C214" s="707">
        <f t="shared" si="33"/>
        <v>1</v>
      </c>
      <c r="D214" s="716"/>
      <c r="E214" s="707">
        <f t="shared" si="34"/>
        <v>1</v>
      </c>
      <c r="F214" s="716"/>
      <c r="G214" s="707">
        <f t="shared" si="35"/>
        <v>1</v>
      </c>
      <c r="H214" s="716"/>
      <c r="I214" s="707">
        <f t="shared" si="36"/>
        <v>1</v>
      </c>
      <c r="J214" s="716"/>
      <c r="K214" s="707">
        <f t="shared" si="37"/>
        <v>1</v>
      </c>
      <c r="L214" s="716"/>
      <c r="M214" s="707">
        <f t="shared" si="38"/>
        <v>1</v>
      </c>
      <c r="N214" s="716"/>
      <c r="O214" s="707">
        <f t="shared" si="39"/>
        <v>1</v>
      </c>
      <c r="P214" s="716"/>
      <c r="Q214" s="707">
        <f t="shared" si="40"/>
        <v>1</v>
      </c>
      <c r="R214" s="768">
        <f t="shared" si="41"/>
        <v>0</v>
      </c>
      <c r="S214" s="706">
        <f t="shared" si="42"/>
        <v>0</v>
      </c>
    </row>
    <row r="215" spans="1:19">
      <c r="A215" s="714"/>
      <c r="B215" s="715"/>
      <c r="C215" s="707">
        <f t="shared" si="33"/>
        <v>1</v>
      </c>
      <c r="D215" s="716"/>
      <c r="E215" s="707">
        <f t="shared" si="34"/>
        <v>1</v>
      </c>
      <c r="F215" s="716"/>
      <c r="G215" s="707">
        <f t="shared" si="35"/>
        <v>1</v>
      </c>
      <c r="H215" s="716"/>
      <c r="I215" s="707">
        <f t="shared" si="36"/>
        <v>1</v>
      </c>
      <c r="J215" s="716"/>
      <c r="K215" s="707">
        <f t="shared" si="37"/>
        <v>1</v>
      </c>
      <c r="L215" s="716"/>
      <c r="M215" s="707">
        <f t="shared" si="38"/>
        <v>1</v>
      </c>
      <c r="N215" s="716"/>
      <c r="O215" s="707">
        <f t="shared" si="39"/>
        <v>1</v>
      </c>
      <c r="P215" s="716"/>
      <c r="Q215" s="707">
        <f t="shared" si="40"/>
        <v>1</v>
      </c>
      <c r="R215" s="768">
        <f t="shared" si="41"/>
        <v>0</v>
      </c>
      <c r="S215" s="706">
        <f t="shared" si="42"/>
        <v>0</v>
      </c>
    </row>
    <row r="216" spans="1:19">
      <c r="A216" s="714"/>
      <c r="B216" s="715"/>
      <c r="C216" s="707">
        <f t="shared" si="33"/>
        <v>1</v>
      </c>
      <c r="D216" s="716"/>
      <c r="E216" s="707">
        <f t="shared" si="34"/>
        <v>1</v>
      </c>
      <c r="F216" s="716"/>
      <c r="G216" s="707">
        <f t="shared" si="35"/>
        <v>1</v>
      </c>
      <c r="H216" s="716"/>
      <c r="I216" s="707">
        <f t="shared" si="36"/>
        <v>1</v>
      </c>
      <c r="J216" s="716"/>
      <c r="K216" s="707">
        <f t="shared" si="37"/>
        <v>1</v>
      </c>
      <c r="L216" s="716"/>
      <c r="M216" s="707">
        <f t="shared" si="38"/>
        <v>1</v>
      </c>
      <c r="N216" s="716"/>
      <c r="O216" s="707">
        <f t="shared" si="39"/>
        <v>1</v>
      </c>
      <c r="P216" s="716"/>
      <c r="Q216" s="707">
        <f t="shared" si="40"/>
        <v>1</v>
      </c>
      <c r="R216" s="768">
        <f t="shared" si="41"/>
        <v>0</v>
      </c>
      <c r="S216" s="706">
        <f t="shared" si="42"/>
        <v>0</v>
      </c>
    </row>
    <row r="217" spans="1:19">
      <c r="A217" s="714"/>
      <c r="B217" s="715"/>
      <c r="C217" s="707">
        <f t="shared" si="33"/>
        <v>1</v>
      </c>
      <c r="D217" s="716"/>
      <c r="E217" s="707">
        <f t="shared" si="34"/>
        <v>1</v>
      </c>
      <c r="F217" s="716"/>
      <c r="G217" s="707">
        <f t="shared" si="35"/>
        <v>1</v>
      </c>
      <c r="H217" s="716"/>
      <c r="I217" s="707">
        <f t="shared" si="36"/>
        <v>1</v>
      </c>
      <c r="J217" s="716"/>
      <c r="K217" s="707">
        <f t="shared" si="37"/>
        <v>1</v>
      </c>
      <c r="L217" s="716"/>
      <c r="M217" s="707">
        <f t="shared" si="38"/>
        <v>1</v>
      </c>
      <c r="N217" s="716"/>
      <c r="O217" s="707">
        <f t="shared" si="39"/>
        <v>1</v>
      </c>
      <c r="P217" s="716"/>
      <c r="Q217" s="707">
        <f t="shared" si="40"/>
        <v>1</v>
      </c>
      <c r="R217" s="768">
        <f t="shared" si="41"/>
        <v>0</v>
      </c>
      <c r="S217" s="706">
        <f t="shared" si="42"/>
        <v>0</v>
      </c>
    </row>
    <row r="218" spans="1:19">
      <c r="A218" s="714"/>
      <c r="B218" s="715"/>
      <c r="C218" s="707">
        <f t="shared" ref="C218:C281" si="43">IF(B218="",1,(LOOKUP(B218,$3:$3,$4:$4)-LOOKUP($B$24,$3:$3,$4:$4)+100)/100)</f>
        <v>1</v>
      </c>
      <c r="D218" s="716"/>
      <c r="E218" s="707">
        <f t="shared" ref="E218:E281" si="44">(SUMIF($5:$5,D218,$6:$6)-SUMIF($5:$5,$D$24,$6:$6)+100)/100</f>
        <v>1</v>
      </c>
      <c r="F218" s="716"/>
      <c r="G218" s="707">
        <f t="shared" ref="G218:G281" si="45">(SUMIF($7:$7,F218,$8:$8)-SUMIF($7:$7,$F$24,$8:$8)+100)/100</f>
        <v>1</v>
      </c>
      <c r="H218" s="716"/>
      <c r="I218" s="707">
        <f t="shared" ref="I218:I281" si="46">(SUMIF($9:$9,H218,$10:$10)-SUMIF($9:$9,$H$24,$10:$10)+100)/100</f>
        <v>1</v>
      </c>
      <c r="J218" s="716"/>
      <c r="K218" s="707">
        <f t="shared" ref="K218:K281" si="47">(SUMIF($11:$11,J218,$12:$12)-SUMIF($11:$11,$J$24,$12:$12)+100)/100</f>
        <v>1</v>
      </c>
      <c r="L218" s="716"/>
      <c r="M218" s="707">
        <f t="shared" ref="M218:M281" si="48">(SUMIF($13:$13,L218,$14:$14)-SUMIF($13:$13,$L$24,$14:$14)+100)/100</f>
        <v>1</v>
      </c>
      <c r="N218" s="716"/>
      <c r="O218" s="707">
        <f t="shared" ref="O218:O281" si="49">(SUMIF($15:$15,N218,$16:$16)-SUMIF($15:$15,$N$24,$16:$16)+100)/100</f>
        <v>1</v>
      </c>
      <c r="P218" s="716"/>
      <c r="Q218" s="707">
        <f t="shared" ref="Q218:Q281" si="50">(SUMIF($17:$17,P218,$18:$18)-SUMIF($17:$17,$P$24,$18:$18)+100)/100</f>
        <v>1</v>
      </c>
      <c r="R218" s="768">
        <f t="shared" ref="R218:R281" si="51">IF(B218="",0,ROUND($R$24*C218*E218*G218*I218*K218*M218*O218*Q218,0))</f>
        <v>0</v>
      </c>
      <c r="S218" s="706">
        <f t="shared" si="42"/>
        <v>0</v>
      </c>
    </row>
    <row r="219" spans="1:19">
      <c r="A219" s="714"/>
      <c r="B219" s="715"/>
      <c r="C219" s="707">
        <f t="shared" si="43"/>
        <v>1</v>
      </c>
      <c r="D219" s="716"/>
      <c r="E219" s="707">
        <f t="shared" si="44"/>
        <v>1</v>
      </c>
      <c r="F219" s="716"/>
      <c r="G219" s="707">
        <f t="shared" si="45"/>
        <v>1</v>
      </c>
      <c r="H219" s="716"/>
      <c r="I219" s="707">
        <f t="shared" si="46"/>
        <v>1</v>
      </c>
      <c r="J219" s="716"/>
      <c r="K219" s="707">
        <f t="shared" si="47"/>
        <v>1</v>
      </c>
      <c r="L219" s="716"/>
      <c r="M219" s="707">
        <f t="shared" si="48"/>
        <v>1</v>
      </c>
      <c r="N219" s="716"/>
      <c r="O219" s="707">
        <f t="shared" si="49"/>
        <v>1</v>
      </c>
      <c r="P219" s="716"/>
      <c r="Q219" s="707">
        <f t="shared" si="50"/>
        <v>1</v>
      </c>
      <c r="R219" s="768">
        <f t="shared" si="51"/>
        <v>0</v>
      </c>
      <c r="S219" s="706">
        <f t="shared" si="42"/>
        <v>0</v>
      </c>
    </row>
    <row r="220" spans="1:19">
      <c r="A220" s="714"/>
      <c r="B220" s="715"/>
      <c r="C220" s="707">
        <f t="shared" si="43"/>
        <v>1</v>
      </c>
      <c r="D220" s="716"/>
      <c r="E220" s="707">
        <f t="shared" si="44"/>
        <v>1</v>
      </c>
      <c r="F220" s="716"/>
      <c r="G220" s="707">
        <f t="shared" si="45"/>
        <v>1</v>
      </c>
      <c r="H220" s="716"/>
      <c r="I220" s="707">
        <f t="shared" si="46"/>
        <v>1</v>
      </c>
      <c r="J220" s="716"/>
      <c r="K220" s="707">
        <f t="shared" si="47"/>
        <v>1</v>
      </c>
      <c r="L220" s="716"/>
      <c r="M220" s="707">
        <f t="shared" si="48"/>
        <v>1</v>
      </c>
      <c r="N220" s="716"/>
      <c r="O220" s="707">
        <f t="shared" si="49"/>
        <v>1</v>
      </c>
      <c r="P220" s="716"/>
      <c r="Q220" s="707">
        <f t="shared" si="50"/>
        <v>1</v>
      </c>
      <c r="R220" s="768">
        <f t="shared" si="51"/>
        <v>0</v>
      </c>
      <c r="S220" s="706">
        <f t="shared" si="42"/>
        <v>0</v>
      </c>
    </row>
    <row r="221" spans="1:19">
      <c r="A221" s="714"/>
      <c r="B221" s="715"/>
      <c r="C221" s="707">
        <f t="shared" si="43"/>
        <v>1</v>
      </c>
      <c r="D221" s="716"/>
      <c r="E221" s="707">
        <f t="shared" si="44"/>
        <v>1</v>
      </c>
      <c r="F221" s="716"/>
      <c r="G221" s="707">
        <f t="shared" si="45"/>
        <v>1</v>
      </c>
      <c r="H221" s="716"/>
      <c r="I221" s="707">
        <f t="shared" si="46"/>
        <v>1</v>
      </c>
      <c r="J221" s="716"/>
      <c r="K221" s="707">
        <f t="shared" si="47"/>
        <v>1</v>
      </c>
      <c r="L221" s="716"/>
      <c r="M221" s="707">
        <f t="shared" si="48"/>
        <v>1</v>
      </c>
      <c r="N221" s="716"/>
      <c r="O221" s="707">
        <f t="shared" si="49"/>
        <v>1</v>
      </c>
      <c r="P221" s="716"/>
      <c r="Q221" s="707">
        <f t="shared" si="50"/>
        <v>1</v>
      </c>
      <c r="R221" s="768">
        <f t="shared" si="51"/>
        <v>0</v>
      </c>
      <c r="S221" s="706">
        <f t="shared" si="42"/>
        <v>0</v>
      </c>
    </row>
    <row r="222" spans="1:19">
      <c r="A222" s="714"/>
      <c r="B222" s="715"/>
      <c r="C222" s="707">
        <f t="shared" si="43"/>
        <v>1</v>
      </c>
      <c r="D222" s="716"/>
      <c r="E222" s="707">
        <f t="shared" si="44"/>
        <v>1</v>
      </c>
      <c r="F222" s="716"/>
      <c r="G222" s="707">
        <f t="shared" si="45"/>
        <v>1</v>
      </c>
      <c r="H222" s="716"/>
      <c r="I222" s="707">
        <f t="shared" si="46"/>
        <v>1</v>
      </c>
      <c r="J222" s="716"/>
      <c r="K222" s="707">
        <f t="shared" si="47"/>
        <v>1</v>
      </c>
      <c r="L222" s="716"/>
      <c r="M222" s="707">
        <f t="shared" si="48"/>
        <v>1</v>
      </c>
      <c r="N222" s="716"/>
      <c r="O222" s="707">
        <f t="shared" si="49"/>
        <v>1</v>
      </c>
      <c r="P222" s="716"/>
      <c r="Q222" s="707">
        <f t="shared" si="50"/>
        <v>1</v>
      </c>
      <c r="R222" s="768">
        <f t="shared" si="51"/>
        <v>0</v>
      </c>
      <c r="S222" s="706">
        <f t="shared" si="42"/>
        <v>0</v>
      </c>
    </row>
    <row r="223" spans="1:19">
      <c r="A223" s="714"/>
      <c r="B223" s="715"/>
      <c r="C223" s="707">
        <f t="shared" si="43"/>
        <v>1</v>
      </c>
      <c r="D223" s="716"/>
      <c r="E223" s="707">
        <f t="shared" si="44"/>
        <v>1</v>
      </c>
      <c r="F223" s="716"/>
      <c r="G223" s="707">
        <f t="shared" si="45"/>
        <v>1</v>
      </c>
      <c r="H223" s="716"/>
      <c r="I223" s="707">
        <f t="shared" si="46"/>
        <v>1</v>
      </c>
      <c r="J223" s="716"/>
      <c r="K223" s="707">
        <f t="shared" si="47"/>
        <v>1</v>
      </c>
      <c r="L223" s="716"/>
      <c r="M223" s="707">
        <f t="shared" si="48"/>
        <v>1</v>
      </c>
      <c r="N223" s="716"/>
      <c r="O223" s="707">
        <f t="shared" si="49"/>
        <v>1</v>
      </c>
      <c r="P223" s="716"/>
      <c r="Q223" s="707">
        <f t="shared" si="50"/>
        <v>1</v>
      </c>
      <c r="R223" s="768">
        <f t="shared" si="51"/>
        <v>0</v>
      </c>
      <c r="S223" s="706">
        <f t="shared" ref="S223:S286" si="52">ROUND(R223*B223/10000,0)</f>
        <v>0</v>
      </c>
    </row>
    <row r="224" spans="1:19">
      <c r="A224" s="714"/>
      <c r="B224" s="715"/>
      <c r="C224" s="707">
        <f t="shared" si="43"/>
        <v>1</v>
      </c>
      <c r="D224" s="716"/>
      <c r="E224" s="707">
        <f t="shared" si="44"/>
        <v>1</v>
      </c>
      <c r="F224" s="716"/>
      <c r="G224" s="707">
        <f t="shared" si="45"/>
        <v>1</v>
      </c>
      <c r="H224" s="716"/>
      <c r="I224" s="707">
        <f t="shared" si="46"/>
        <v>1</v>
      </c>
      <c r="J224" s="716"/>
      <c r="K224" s="707">
        <f t="shared" si="47"/>
        <v>1</v>
      </c>
      <c r="L224" s="716"/>
      <c r="M224" s="707">
        <f t="shared" si="48"/>
        <v>1</v>
      </c>
      <c r="N224" s="716"/>
      <c r="O224" s="707">
        <f t="shared" si="49"/>
        <v>1</v>
      </c>
      <c r="P224" s="716"/>
      <c r="Q224" s="707">
        <f t="shared" si="50"/>
        <v>1</v>
      </c>
      <c r="R224" s="768">
        <f t="shared" si="51"/>
        <v>0</v>
      </c>
      <c r="S224" s="706">
        <f t="shared" si="52"/>
        <v>0</v>
      </c>
    </row>
    <row r="225" spans="1:19">
      <c r="A225" s="714"/>
      <c r="B225" s="715"/>
      <c r="C225" s="707">
        <f t="shared" si="43"/>
        <v>1</v>
      </c>
      <c r="D225" s="716"/>
      <c r="E225" s="707">
        <f t="shared" si="44"/>
        <v>1</v>
      </c>
      <c r="F225" s="716"/>
      <c r="G225" s="707">
        <f t="shared" si="45"/>
        <v>1</v>
      </c>
      <c r="H225" s="716"/>
      <c r="I225" s="707">
        <f t="shared" si="46"/>
        <v>1</v>
      </c>
      <c r="J225" s="716"/>
      <c r="K225" s="707">
        <f t="shared" si="47"/>
        <v>1</v>
      </c>
      <c r="L225" s="716"/>
      <c r="M225" s="707">
        <f t="shared" si="48"/>
        <v>1</v>
      </c>
      <c r="N225" s="716"/>
      <c r="O225" s="707">
        <f t="shared" si="49"/>
        <v>1</v>
      </c>
      <c r="P225" s="716"/>
      <c r="Q225" s="707">
        <f t="shared" si="50"/>
        <v>1</v>
      </c>
      <c r="R225" s="768">
        <f t="shared" si="51"/>
        <v>0</v>
      </c>
      <c r="S225" s="706">
        <f t="shared" si="52"/>
        <v>0</v>
      </c>
    </row>
    <row r="226" spans="1:19">
      <c r="A226" s="714"/>
      <c r="B226" s="715"/>
      <c r="C226" s="707">
        <f t="shared" si="43"/>
        <v>1</v>
      </c>
      <c r="D226" s="716"/>
      <c r="E226" s="707">
        <f t="shared" si="44"/>
        <v>1</v>
      </c>
      <c r="F226" s="716"/>
      <c r="G226" s="707">
        <f t="shared" si="45"/>
        <v>1</v>
      </c>
      <c r="H226" s="716"/>
      <c r="I226" s="707">
        <f t="shared" si="46"/>
        <v>1</v>
      </c>
      <c r="J226" s="716"/>
      <c r="K226" s="707">
        <f t="shared" si="47"/>
        <v>1</v>
      </c>
      <c r="L226" s="716"/>
      <c r="M226" s="707">
        <f t="shared" si="48"/>
        <v>1</v>
      </c>
      <c r="N226" s="716"/>
      <c r="O226" s="707">
        <f t="shared" si="49"/>
        <v>1</v>
      </c>
      <c r="P226" s="716"/>
      <c r="Q226" s="707">
        <f t="shared" si="50"/>
        <v>1</v>
      </c>
      <c r="R226" s="768">
        <f t="shared" si="51"/>
        <v>0</v>
      </c>
      <c r="S226" s="706">
        <f t="shared" si="52"/>
        <v>0</v>
      </c>
    </row>
    <row r="227" spans="1:19">
      <c r="A227" s="714"/>
      <c r="B227" s="715"/>
      <c r="C227" s="707">
        <f t="shared" si="43"/>
        <v>1</v>
      </c>
      <c r="D227" s="716"/>
      <c r="E227" s="707">
        <f t="shared" si="44"/>
        <v>1</v>
      </c>
      <c r="F227" s="716"/>
      <c r="G227" s="707">
        <f t="shared" si="45"/>
        <v>1</v>
      </c>
      <c r="H227" s="716"/>
      <c r="I227" s="707">
        <f t="shared" si="46"/>
        <v>1</v>
      </c>
      <c r="J227" s="716"/>
      <c r="K227" s="707">
        <f t="shared" si="47"/>
        <v>1</v>
      </c>
      <c r="L227" s="716"/>
      <c r="M227" s="707">
        <f t="shared" si="48"/>
        <v>1</v>
      </c>
      <c r="N227" s="716"/>
      <c r="O227" s="707">
        <f t="shared" si="49"/>
        <v>1</v>
      </c>
      <c r="P227" s="716"/>
      <c r="Q227" s="707">
        <f t="shared" si="50"/>
        <v>1</v>
      </c>
      <c r="R227" s="768">
        <f t="shared" si="51"/>
        <v>0</v>
      </c>
      <c r="S227" s="706">
        <f t="shared" si="52"/>
        <v>0</v>
      </c>
    </row>
    <row r="228" spans="1:19">
      <c r="A228" s="714"/>
      <c r="B228" s="715"/>
      <c r="C228" s="707">
        <f t="shared" si="43"/>
        <v>1</v>
      </c>
      <c r="D228" s="716"/>
      <c r="E228" s="707">
        <f t="shared" si="44"/>
        <v>1</v>
      </c>
      <c r="F228" s="716"/>
      <c r="G228" s="707">
        <f t="shared" si="45"/>
        <v>1</v>
      </c>
      <c r="H228" s="716"/>
      <c r="I228" s="707">
        <f t="shared" si="46"/>
        <v>1</v>
      </c>
      <c r="J228" s="716"/>
      <c r="K228" s="707">
        <f t="shared" si="47"/>
        <v>1</v>
      </c>
      <c r="L228" s="716"/>
      <c r="M228" s="707">
        <f t="shared" si="48"/>
        <v>1</v>
      </c>
      <c r="N228" s="716"/>
      <c r="O228" s="707">
        <f t="shared" si="49"/>
        <v>1</v>
      </c>
      <c r="P228" s="716"/>
      <c r="Q228" s="707">
        <f t="shared" si="50"/>
        <v>1</v>
      </c>
      <c r="R228" s="768">
        <f t="shared" si="51"/>
        <v>0</v>
      </c>
      <c r="S228" s="706">
        <f t="shared" si="52"/>
        <v>0</v>
      </c>
    </row>
    <row r="229" spans="1:19">
      <c r="A229" s="714"/>
      <c r="B229" s="715"/>
      <c r="C229" s="707">
        <f t="shared" si="43"/>
        <v>1</v>
      </c>
      <c r="D229" s="716"/>
      <c r="E229" s="707">
        <f t="shared" si="44"/>
        <v>1</v>
      </c>
      <c r="F229" s="716"/>
      <c r="G229" s="707">
        <f t="shared" si="45"/>
        <v>1</v>
      </c>
      <c r="H229" s="716"/>
      <c r="I229" s="707">
        <f t="shared" si="46"/>
        <v>1</v>
      </c>
      <c r="J229" s="716"/>
      <c r="K229" s="707">
        <f t="shared" si="47"/>
        <v>1</v>
      </c>
      <c r="L229" s="716"/>
      <c r="M229" s="707">
        <f t="shared" si="48"/>
        <v>1</v>
      </c>
      <c r="N229" s="716"/>
      <c r="O229" s="707">
        <f t="shared" si="49"/>
        <v>1</v>
      </c>
      <c r="P229" s="716"/>
      <c r="Q229" s="707">
        <f t="shared" si="50"/>
        <v>1</v>
      </c>
      <c r="R229" s="768">
        <f t="shared" si="51"/>
        <v>0</v>
      </c>
      <c r="S229" s="706">
        <f t="shared" si="52"/>
        <v>0</v>
      </c>
    </row>
    <row r="230" spans="1:19">
      <c r="A230" s="714"/>
      <c r="B230" s="715"/>
      <c r="C230" s="707">
        <f t="shared" si="43"/>
        <v>1</v>
      </c>
      <c r="D230" s="716"/>
      <c r="E230" s="707">
        <f t="shared" si="44"/>
        <v>1</v>
      </c>
      <c r="F230" s="716"/>
      <c r="G230" s="707">
        <f t="shared" si="45"/>
        <v>1</v>
      </c>
      <c r="H230" s="716"/>
      <c r="I230" s="707">
        <f t="shared" si="46"/>
        <v>1</v>
      </c>
      <c r="J230" s="716"/>
      <c r="K230" s="707">
        <f t="shared" si="47"/>
        <v>1</v>
      </c>
      <c r="L230" s="716"/>
      <c r="M230" s="707">
        <f t="shared" si="48"/>
        <v>1</v>
      </c>
      <c r="N230" s="716"/>
      <c r="O230" s="707">
        <f t="shared" si="49"/>
        <v>1</v>
      </c>
      <c r="P230" s="716"/>
      <c r="Q230" s="707">
        <f t="shared" si="50"/>
        <v>1</v>
      </c>
      <c r="R230" s="768">
        <f t="shared" si="51"/>
        <v>0</v>
      </c>
      <c r="S230" s="706">
        <f t="shared" si="52"/>
        <v>0</v>
      </c>
    </row>
    <row r="231" spans="1:19">
      <c r="A231" s="714"/>
      <c r="B231" s="715"/>
      <c r="C231" s="707">
        <f t="shared" si="43"/>
        <v>1</v>
      </c>
      <c r="D231" s="716"/>
      <c r="E231" s="707">
        <f t="shared" si="44"/>
        <v>1</v>
      </c>
      <c r="F231" s="716"/>
      <c r="G231" s="707">
        <f t="shared" si="45"/>
        <v>1</v>
      </c>
      <c r="H231" s="716"/>
      <c r="I231" s="707">
        <f t="shared" si="46"/>
        <v>1</v>
      </c>
      <c r="J231" s="716"/>
      <c r="K231" s="707">
        <f t="shared" si="47"/>
        <v>1</v>
      </c>
      <c r="L231" s="716"/>
      <c r="M231" s="707">
        <f t="shared" si="48"/>
        <v>1</v>
      </c>
      <c r="N231" s="716"/>
      <c r="O231" s="707">
        <f t="shared" si="49"/>
        <v>1</v>
      </c>
      <c r="P231" s="716"/>
      <c r="Q231" s="707">
        <f t="shared" si="50"/>
        <v>1</v>
      </c>
      <c r="R231" s="768">
        <f t="shared" si="51"/>
        <v>0</v>
      </c>
      <c r="S231" s="706">
        <f t="shared" si="52"/>
        <v>0</v>
      </c>
    </row>
    <row r="232" spans="1:19">
      <c r="A232" s="714"/>
      <c r="B232" s="715"/>
      <c r="C232" s="707">
        <f t="shared" si="43"/>
        <v>1</v>
      </c>
      <c r="D232" s="716"/>
      <c r="E232" s="707">
        <f t="shared" si="44"/>
        <v>1</v>
      </c>
      <c r="F232" s="716"/>
      <c r="G232" s="707">
        <f t="shared" si="45"/>
        <v>1</v>
      </c>
      <c r="H232" s="716"/>
      <c r="I232" s="707">
        <f t="shared" si="46"/>
        <v>1</v>
      </c>
      <c r="J232" s="716"/>
      <c r="K232" s="707">
        <f t="shared" si="47"/>
        <v>1</v>
      </c>
      <c r="L232" s="716"/>
      <c r="M232" s="707">
        <f t="shared" si="48"/>
        <v>1</v>
      </c>
      <c r="N232" s="716"/>
      <c r="O232" s="707">
        <f t="shared" si="49"/>
        <v>1</v>
      </c>
      <c r="P232" s="716"/>
      <c r="Q232" s="707">
        <f t="shared" si="50"/>
        <v>1</v>
      </c>
      <c r="R232" s="768">
        <f t="shared" si="51"/>
        <v>0</v>
      </c>
      <c r="S232" s="706">
        <f t="shared" si="52"/>
        <v>0</v>
      </c>
    </row>
    <row r="233" spans="1:19">
      <c r="A233" s="714"/>
      <c r="B233" s="715"/>
      <c r="C233" s="707">
        <f t="shared" si="43"/>
        <v>1</v>
      </c>
      <c r="D233" s="716"/>
      <c r="E233" s="707">
        <f t="shared" si="44"/>
        <v>1</v>
      </c>
      <c r="F233" s="716"/>
      <c r="G233" s="707">
        <f t="shared" si="45"/>
        <v>1</v>
      </c>
      <c r="H233" s="716"/>
      <c r="I233" s="707">
        <f t="shared" si="46"/>
        <v>1</v>
      </c>
      <c r="J233" s="716"/>
      <c r="K233" s="707">
        <f t="shared" si="47"/>
        <v>1</v>
      </c>
      <c r="L233" s="716"/>
      <c r="M233" s="707">
        <f t="shared" si="48"/>
        <v>1</v>
      </c>
      <c r="N233" s="716"/>
      <c r="O233" s="707">
        <f t="shared" si="49"/>
        <v>1</v>
      </c>
      <c r="P233" s="716"/>
      <c r="Q233" s="707">
        <f t="shared" si="50"/>
        <v>1</v>
      </c>
      <c r="R233" s="768">
        <f t="shared" si="51"/>
        <v>0</v>
      </c>
      <c r="S233" s="706">
        <f t="shared" si="52"/>
        <v>0</v>
      </c>
    </row>
    <row r="234" spans="1:19">
      <c r="A234" s="714"/>
      <c r="B234" s="715"/>
      <c r="C234" s="707">
        <f t="shared" si="43"/>
        <v>1</v>
      </c>
      <c r="D234" s="716"/>
      <c r="E234" s="707">
        <f t="shared" si="44"/>
        <v>1</v>
      </c>
      <c r="F234" s="716"/>
      <c r="G234" s="707">
        <f t="shared" si="45"/>
        <v>1</v>
      </c>
      <c r="H234" s="716"/>
      <c r="I234" s="707">
        <f t="shared" si="46"/>
        <v>1</v>
      </c>
      <c r="J234" s="716"/>
      <c r="K234" s="707">
        <f t="shared" si="47"/>
        <v>1</v>
      </c>
      <c r="L234" s="716"/>
      <c r="M234" s="707">
        <f t="shared" si="48"/>
        <v>1</v>
      </c>
      <c r="N234" s="716"/>
      <c r="O234" s="707">
        <f t="shared" si="49"/>
        <v>1</v>
      </c>
      <c r="P234" s="716"/>
      <c r="Q234" s="707">
        <f t="shared" si="50"/>
        <v>1</v>
      </c>
      <c r="R234" s="768">
        <f t="shared" si="51"/>
        <v>0</v>
      </c>
      <c r="S234" s="706">
        <f t="shared" si="52"/>
        <v>0</v>
      </c>
    </row>
    <row r="235" spans="1:19">
      <c r="A235" s="714"/>
      <c r="B235" s="715"/>
      <c r="C235" s="707">
        <f t="shared" si="43"/>
        <v>1</v>
      </c>
      <c r="D235" s="716"/>
      <c r="E235" s="707">
        <f t="shared" si="44"/>
        <v>1</v>
      </c>
      <c r="F235" s="716"/>
      <c r="G235" s="707">
        <f t="shared" si="45"/>
        <v>1</v>
      </c>
      <c r="H235" s="716"/>
      <c r="I235" s="707">
        <f t="shared" si="46"/>
        <v>1</v>
      </c>
      <c r="J235" s="716"/>
      <c r="K235" s="707">
        <f t="shared" si="47"/>
        <v>1</v>
      </c>
      <c r="L235" s="716"/>
      <c r="M235" s="707">
        <f t="shared" si="48"/>
        <v>1</v>
      </c>
      <c r="N235" s="716"/>
      <c r="O235" s="707">
        <f t="shared" si="49"/>
        <v>1</v>
      </c>
      <c r="P235" s="716"/>
      <c r="Q235" s="707">
        <f t="shared" si="50"/>
        <v>1</v>
      </c>
      <c r="R235" s="768">
        <f t="shared" si="51"/>
        <v>0</v>
      </c>
      <c r="S235" s="706">
        <f t="shared" si="52"/>
        <v>0</v>
      </c>
    </row>
    <row r="236" spans="1:19">
      <c r="A236" s="714"/>
      <c r="B236" s="715"/>
      <c r="C236" s="707">
        <f t="shared" si="43"/>
        <v>1</v>
      </c>
      <c r="D236" s="716"/>
      <c r="E236" s="707">
        <f t="shared" si="44"/>
        <v>1</v>
      </c>
      <c r="F236" s="716"/>
      <c r="G236" s="707">
        <f t="shared" si="45"/>
        <v>1</v>
      </c>
      <c r="H236" s="716"/>
      <c r="I236" s="707">
        <f t="shared" si="46"/>
        <v>1</v>
      </c>
      <c r="J236" s="716"/>
      <c r="K236" s="707">
        <f t="shared" si="47"/>
        <v>1</v>
      </c>
      <c r="L236" s="716"/>
      <c r="M236" s="707">
        <f t="shared" si="48"/>
        <v>1</v>
      </c>
      <c r="N236" s="716"/>
      <c r="O236" s="707">
        <f t="shared" si="49"/>
        <v>1</v>
      </c>
      <c r="P236" s="716"/>
      <c r="Q236" s="707">
        <f t="shared" si="50"/>
        <v>1</v>
      </c>
      <c r="R236" s="768">
        <f t="shared" si="51"/>
        <v>0</v>
      </c>
      <c r="S236" s="706">
        <f t="shared" si="52"/>
        <v>0</v>
      </c>
    </row>
    <row r="237" spans="1:19">
      <c r="A237" s="714"/>
      <c r="B237" s="715"/>
      <c r="C237" s="707">
        <f t="shared" si="43"/>
        <v>1</v>
      </c>
      <c r="D237" s="716"/>
      <c r="E237" s="707">
        <f t="shared" si="44"/>
        <v>1</v>
      </c>
      <c r="F237" s="716"/>
      <c r="G237" s="707">
        <f t="shared" si="45"/>
        <v>1</v>
      </c>
      <c r="H237" s="716"/>
      <c r="I237" s="707">
        <f t="shared" si="46"/>
        <v>1</v>
      </c>
      <c r="J237" s="716"/>
      <c r="K237" s="707">
        <f t="shared" si="47"/>
        <v>1</v>
      </c>
      <c r="L237" s="716"/>
      <c r="M237" s="707">
        <f t="shared" si="48"/>
        <v>1</v>
      </c>
      <c r="N237" s="716"/>
      <c r="O237" s="707">
        <f t="shared" si="49"/>
        <v>1</v>
      </c>
      <c r="P237" s="716"/>
      <c r="Q237" s="707">
        <f t="shared" si="50"/>
        <v>1</v>
      </c>
      <c r="R237" s="768">
        <f t="shared" si="51"/>
        <v>0</v>
      </c>
      <c r="S237" s="706">
        <f t="shared" si="52"/>
        <v>0</v>
      </c>
    </row>
    <row r="238" spans="1:19">
      <c r="A238" s="714"/>
      <c r="B238" s="715"/>
      <c r="C238" s="707">
        <f t="shared" si="43"/>
        <v>1</v>
      </c>
      <c r="D238" s="716"/>
      <c r="E238" s="707">
        <f t="shared" si="44"/>
        <v>1</v>
      </c>
      <c r="F238" s="716"/>
      <c r="G238" s="707">
        <f t="shared" si="45"/>
        <v>1</v>
      </c>
      <c r="H238" s="716"/>
      <c r="I238" s="707">
        <f t="shared" si="46"/>
        <v>1</v>
      </c>
      <c r="J238" s="716"/>
      <c r="K238" s="707">
        <f t="shared" si="47"/>
        <v>1</v>
      </c>
      <c r="L238" s="716"/>
      <c r="M238" s="707">
        <f t="shared" si="48"/>
        <v>1</v>
      </c>
      <c r="N238" s="716"/>
      <c r="O238" s="707">
        <f t="shared" si="49"/>
        <v>1</v>
      </c>
      <c r="P238" s="716"/>
      <c r="Q238" s="707">
        <f t="shared" si="50"/>
        <v>1</v>
      </c>
      <c r="R238" s="768">
        <f t="shared" si="51"/>
        <v>0</v>
      </c>
      <c r="S238" s="706">
        <f t="shared" si="52"/>
        <v>0</v>
      </c>
    </row>
    <row r="239" spans="1:19">
      <c r="A239" s="714"/>
      <c r="B239" s="715"/>
      <c r="C239" s="707">
        <f t="shared" si="43"/>
        <v>1</v>
      </c>
      <c r="D239" s="716"/>
      <c r="E239" s="707">
        <f t="shared" si="44"/>
        <v>1</v>
      </c>
      <c r="F239" s="716"/>
      <c r="G239" s="707">
        <f t="shared" si="45"/>
        <v>1</v>
      </c>
      <c r="H239" s="716"/>
      <c r="I239" s="707">
        <f t="shared" si="46"/>
        <v>1</v>
      </c>
      <c r="J239" s="716"/>
      <c r="K239" s="707">
        <f t="shared" si="47"/>
        <v>1</v>
      </c>
      <c r="L239" s="716"/>
      <c r="M239" s="707">
        <f t="shared" si="48"/>
        <v>1</v>
      </c>
      <c r="N239" s="716"/>
      <c r="O239" s="707">
        <f t="shared" si="49"/>
        <v>1</v>
      </c>
      <c r="P239" s="716"/>
      <c r="Q239" s="707">
        <f t="shared" si="50"/>
        <v>1</v>
      </c>
      <c r="R239" s="768">
        <f t="shared" si="51"/>
        <v>0</v>
      </c>
      <c r="S239" s="706">
        <f t="shared" si="52"/>
        <v>0</v>
      </c>
    </row>
    <row r="240" spans="1:19">
      <c r="A240" s="714"/>
      <c r="B240" s="715"/>
      <c r="C240" s="707">
        <f t="shared" si="43"/>
        <v>1</v>
      </c>
      <c r="D240" s="716"/>
      <c r="E240" s="707">
        <f t="shared" si="44"/>
        <v>1</v>
      </c>
      <c r="F240" s="716"/>
      <c r="G240" s="707">
        <f t="shared" si="45"/>
        <v>1</v>
      </c>
      <c r="H240" s="716"/>
      <c r="I240" s="707">
        <f t="shared" si="46"/>
        <v>1</v>
      </c>
      <c r="J240" s="716"/>
      <c r="K240" s="707">
        <f t="shared" si="47"/>
        <v>1</v>
      </c>
      <c r="L240" s="716"/>
      <c r="M240" s="707">
        <f t="shared" si="48"/>
        <v>1</v>
      </c>
      <c r="N240" s="716"/>
      <c r="O240" s="707">
        <f t="shared" si="49"/>
        <v>1</v>
      </c>
      <c r="P240" s="716"/>
      <c r="Q240" s="707">
        <f t="shared" si="50"/>
        <v>1</v>
      </c>
      <c r="R240" s="768">
        <f t="shared" si="51"/>
        <v>0</v>
      </c>
      <c r="S240" s="706">
        <f t="shared" si="52"/>
        <v>0</v>
      </c>
    </row>
    <row r="241" spans="1:19">
      <c r="A241" s="714"/>
      <c r="B241" s="715"/>
      <c r="C241" s="707">
        <f t="shared" si="43"/>
        <v>1</v>
      </c>
      <c r="D241" s="716"/>
      <c r="E241" s="707">
        <f t="shared" si="44"/>
        <v>1</v>
      </c>
      <c r="F241" s="716"/>
      <c r="G241" s="707">
        <f t="shared" si="45"/>
        <v>1</v>
      </c>
      <c r="H241" s="716"/>
      <c r="I241" s="707">
        <f t="shared" si="46"/>
        <v>1</v>
      </c>
      <c r="J241" s="716"/>
      <c r="K241" s="707">
        <f t="shared" si="47"/>
        <v>1</v>
      </c>
      <c r="L241" s="716"/>
      <c r="M241" s="707">
        <f t="shared" si="48"/>
        <v>1</v>
      </c>
      <c r="N241" s="716"/>
      <c r="O241" s="707">
        <f t="shared" si="49"/>
        <v>1</v>
      </c>
      <c r="P241" s="716"/>
      <c r="Q241" s="707">
        <f t="shared" si="50"/>
        <v>1</v>
      </c>
      <c r="R241" s="768">
        <f t="shared" si="51"/>
        <v>0</v>
      </c>
      <c r="S241" s="706">
        <f t="shared" si="52"/>
        <v>0</v>
      </c>
    </row>
    <row r="242" spans="1:19">
      <c r="A242" s="714"/>
      <c r="B242" s="715"/>
      <c r="C242" s="707">
        <f t="shared" si="43"/>
        <v>1</v>
      </c>
      <c r="D242" s="716"/>
      <c r="E242" s="707">
        <f t="shared" si="44"/>
        <v>1</v>
      </c>
      <c r="F242" s="716"/>
      <c r="G242" s="707">
        <f t="shared" si="45"/>
        <v>1</v>
      </c>
      <c r="H242" s="716"/>
      <c r="I242" s="707">
        <f t="shared" si="46"/>
        <v>1</v>
      </c>
      <c r="J242" s="716"/>
      <c r="K242" s="707">
        <f t="shared" si="47"/>
        <v>1</v>
      </c>
      <c r="L242" s="716"/>
      <c r="M242" s="707">
        <f t="shared" si="48"/>
        <v>1</v>
      </c>
      <c r="N242" s="716"/>
      <c r="O242" s="707">
        <f t="shared" si="49"/>
        <v>1</v>
      </c>
      <c r="P242" s="716"/>
      <c r="Q242" s="707">
        <f t="shared" si="50"/>
        <v>1</v>
      </c>
      <c r="R242" s="768">
        <f t="shared" si="51"/>
        <v>0</v>
      </c>
      <c r="S242" s="706">
        <f t="shared" si="52"/>
        <v>0</v>
      </c>
    </row>
    <row r="243" spans="1:19">
      <c r="A243" s="714"/>
      <c r="B243" s="715"/>
      <c r="C243" s="707">
        <f t="shared" si="43"/>
        <v>1</v>
      </c>
      <c r="D243" s="716"/>
      <c r="E243" s="707">
        <f t="shared" si="44"/>
        <v>1</v>
      </c>
      <c r="F243" s="716"/>
      <c r="G243" s="707">
        <f t="shared" si="45"/>
        <v>1</v>
      </c>
      <c r="H243" s="716"/>
      <c r="I243" s="707">
        <f t="shared" si="46"/>
        <v>1</v>
      </c>
      <c r="J243" s="716"/>
      <c r="K243" s="707">
        <f t="shared" si="47"/>
        <v>1</v>
      </c>
      <c r="L243" s="716"/>
      <c r="M243" s="707">
        <f t="shared" si="48"/>
        <v>1</v>
      </c>
      <c r="N243" s="716"/>
      <c r="O243" s="707">
        <f t="shared" si="49"/>
        <v>1</v>
      </c>
      <c r="P243" s="716"/>
      <c r="Q243" s="707">
        <f t="shared" si="50"/>
        <v>1</v>
      </c>
      <c r="R243" s="768">
        <f t="shared" si="51"/>
        <v>0</v>
      </c>
      <c r="S243" s="706">
        <f t="shared" si="52"/>
        <v>0</v>
      </c>
    </row>
    <row r="244" spans="1:19">
      <c r="A244" s="714"/>
      <c r="B244" s="715"/>
      <c r="C244" s="707">
        <f t="shared" si="43"/>
        <v>1</v>
      </c>
      <c r="D244" s="716"/>
      <c r="E244" s="707">
        <f t="shared" si="44"/>
        <v>1</v>
      </c>
      <c r="F244" s="716"/>
      <c r="G244" s="707">
        <f t="shared" si="45"/>
        <v>1</v>
      </c>
      <c r="H244" s="716"/>
      <c r="I244" s="707">
        <f t="shared" si="46"/>
        <v>1</v>
      </c>
      <c r="J244" s="716"/>
      <c r="K244" s="707">
        <f t="shared" si="47"/>
        <v>1</v>
      </c>
      <c r="L244" s="716"/>
      <c r="M244" s="707">
        <f t="shared" si="48"/>
        <v>1</v>
      </c>
      <c r="N244" s="716"/>
      <c r="O244" s="707">
        <f t="shared" si="49"/>
        <v>1</v>
      </c>
      <c r="P244" s="716"/>
      <c r="Q244" s="707">
        <f t="shared" si="50"/>
        <v>1</v>
      </c>
      <c r="R244" s="768">
        <f t="shared" si="51"/>
        <v>0</v>
      </c>
      <c r="S244" s="706">
        <f t="shared" si="52"/>
        <v>0</v>
      </c>
    </row>
    <row r="245" spans="1:19">
      <c r="A245" s="714"/>
      <c r="B245" s="715"/>
      <c r="C245" s="707">
        <f t="shared" si="43"/>
        <v>1</v>
      </c>
      <c r="D245" s="716"/>
      <c r="E245" s="707">
        <f t="shared" si="44"/>
        <v>1</v>
      </c>
      <c r="F245" s="716"/>
      <c r="G245" s="707">
        <f t="shared" si="45"/>
        <v>1</v>
      </c>
      <c r="H245" s="716"/>
      <c r="I245" s="707">
        <f t="shared" si="46"/>
        <v>1</v>
      </c>
      <c r="J245" s="716"/>
      <c r="K245" s="707">
        <f t="shared" si="47"/>
        <v>1</v>
      </c>
      <c r="L245" s="716"/>
      <c r="M245" s="707">
        <f t="shared" si="48"/>
        <v>1</v>
      </c>
      <c r="N245" s="716"/>
      <c r="O245" s="707">
        <f t="shared" si="49"/>
        <v>1</v>
      </c>
      <c r="P245" s="716"/>
      <c r="Q245" s="707">
        <f t="shared" si="50"/>
        <v>1</v>
      </c>
      <c r="R245" s="768">
        <f t="shared" si="51"/>
        <v>0</v>
      </c>
      <c r="S245" s="706">
        <f t="shared" si="52"/>
        <v>0</v>
      </c>
    </row>
    <row r="246" spans="1:19">
      <c r="A246" s="714"/>
      <c r="B246" s="715"/>
      <c r="C246" s="707">
        <f t="shared" si="43"/>
        <v>1</v>
      </c>
      <c r="D246" s="716"/>
      <c r="E246" s="707">
        <f t="shared" si="44"/>
        <v>1</v>
      </c>
      <c r="F246" s="716"/>
      <c r="G246" s="707">
        <f t="shared" si="45"/>
        <v>1</v>
      </c>
      <c r="H246" s="716"/>
      <c r="I246" s="707">
        <f t="shared" si="46"/>
        <v>1</v>
      </c>
      <c r="J246" s="716"/>
      <c r="K246" s="707">
        <f t="shared" si="47"/>
        <v>1</v>
      </c>
      <c r="L246" s="716"/>
      <c r="M246" s="707">
        <f t="shared" si="48"/>
        <v>1</v>
      </c>
      <c r="N246" s="716"/>
      <c r="O246" s="707">
        <f t="shared" si="49"/>
        <v>1</v>
      </c>
      <c r="P246" s="716"/>
      <c r="Q246" s="707">
        <f t="shared" si="50"/>
        <v>1</v>
      </c>
      <c r="R246" s="768">
        <f t="shared" si="51"/>
        <v>0</v>
      </c>
      <c r="S246" s="706">
        <f t="shared" si="52"/>
        <v>0</v>
      </c>
    </row>
    <row r="247" spans="1:19">
      <c r="A247" s="714"/>
      <c r="B247" s="715"/>
      <c r="C247" s="707">
        <f t="shared" si="43"/>
        <v>1</v>
      </c>
      <c r="D247" s="716"/>
      <c r="E247" s="707">
        <f t="shared" si="44"/>
        <v>1</v>
      </c>
      <c r="F247" s="716"/>
      <c r="G247" s="707">
        <f t="shared" si="45"/>
        <v>1</v>
      </c>
      <c r="H247" s="716"/>
      <c r="I247" s="707">
        <f t="shared" si="46"/>
        <v>1</v>
      </c>
      <c r="J247" s="716"/>
      <c r="K247" s="707">
        <f t="shared" si="47"/>
        <v>1</v>
      </c>
      <c r="L247" s="716"/>
      <c r="M247" s="707">
        <f t="shared" si="48"/>
        <v>1</v>
      </c>
      <c r="N247" s="716"/>
      <c r="O247" s="707">
        <f t="shared" si="49"/>
        <v>1</v>
      </c>
      <c r="P247" s="716"/>
      <c r="Q247" s="707">
        <f t="shared" si="50"/>
        <v>1</v>
      </c>
      <c r="R247" s="768">
        <f t="shared" si="51"/>
        <v>0</v>
      </c>
      <c r="S247" s="706">
        <f t="shared" si="52"/>
        <v>0</v>
      </c>
    </row>
    <row r="248" spans="1:19">
      <c r="A248" s="714"/>
      <c r="B248" s="715"/>
      <c r="C248" s="707">
        <f t="shared" si="43"/>
        <v>1</v>
      </c>
      <c r="D248" s="716"/>
      <c r="E248" s="707">
        <f t="shared" si="44"/>
        <v>1</v>
      </c>
      <c r="F248" s="716"/>
      <c r="G248" s="707">
        <f t="shared" si="45"/>
        <v>1</v>
      </c>
      <c r="H248" s="716"/>
      <c r="I248" s="707">
        <f t="shared" si="46"/>
        <v>1</v>
      </c>
      <c r="J248" s="716"/>
      <c r="K248" s="707">
        <f t="shared" si="47"/>
        <v>1</v>
      </c>
      <c r="L248" s="716"/>
      <c r="M248" s="707">
        <f t="shared" si="48"/>
        <v>1</v>
      </c>
      <c r="N248" s="716"/>
      <c r="O248" s="707">
        <f t="shared" si="49"/>
        <v>1</v>
      </c>
      <c r="P248" s="716"/>
      <c r="Q248" s="707">
        <f t="shared" si="50"/>
        <v>1</v>
      </c>
      <c r="R248" s="768">
        <f t="shared" si="51"/>
        <v>0</v>
      </c>
      <c r="S248" s="706">
        <f t="shared" si="52"/>
        <v>0</v>
      </c>
    </row>
    <row r="249" spans="1:19">
      <c r="A249" s="714"/>
      <c r="B249" s="715"/>
      <c r="C249" s="707">
        <f t="shared" si="43"/>
        <v>1</v>
      </c>
      <c r="D249" s="716"/>
      <c r="E249" s="707">
        <f t="shared" si="44"/>
        <v>1</v>
      </c>
      <c r="F249" s="716"/>
      <c r="G249" s="707">
        <f t="shared" si="45"/>
        <v>1</v>
      </c>
      <c r="H249" s="716"/>
      <c r="I249" s="707">
        <f t="shared" si="46"/>
        <v>1</v>
      </c>
      <c r="J249" s="716"/>
      <c r="K249" s="707">
        <f t="shared" si="47"/>
        <v>1</v>
      </c>
      <c r="L249" s="716"/>
      <c r="M249" s="707">
        <f t="shared" si="48"/>
        <v>1</v>
      </c>
      <c r="N249" s="716"/>
      <c r="O249" s="707">
        <f t="shared" si="49"/>
        <v>1</v>
      </c>
      <c r="P249" s="716"/>
      <c r="Q249" s="707">
        <f t="shared" si="50"/>
        <v>1</v>
      </c>
      <c r="R249" s="768">
        <f t="shared" si="51"/>
        <v>0</v>
      </c>
      <c r="S249" s="706">
        <f t="shared" si="52"/>
        <v>0</v>
      </c>
    </row>
    <row r="250" spans="1:19">
      <c r="A250" s="714"/>
      <c r="B250" s="715"/>
      <c r="C250" s="707">
        <f t="shared" si="43"/>
        <v>1</v>
      </c>
      <c r="D250" s="716"/>
      <c r="E250" s="707">
        <f t="shared" si="44"/>
        <v>1</v>
      </c>
      <c r="F250" s="716"/>
      <c r="G250" s="707">
        <f t="shared" si="45"/>
        <v>1</v>
      </c>
      <c r="H250" s="716"/>
      <c r="I250" s="707">
        <f t="shared" si="46"/>
        <v>1</v>
      </c>
      <c r="J250" s="716"/>
      <c r="K250" s="707">
        <f t="shared" si="47"/>
        <v>1</v>
      </c>
      <c r="L250" s="716"/>
      <c r="M250" s="707">
        <f t="shared" si="48"/>
        <v>1</v>
      </c>
      <c r="N250" s="716"/>
      <c r="O250" s="707">
        <f t="shared" si="49"/>
        <v>1</v>
      </c>
      <c r="P250" s="716"/>
      <c r="Q250" s="707">
        <f t="shared" si="50"/>
        <v>1</v>
      </c>
      <c r="R250" s="768">
        <f t="shared" si="51"/>
        <v>0</v>
      </c>
      <c r="S250" s="706">
        <f t="shared" si="52"/>
        <v>0</v>
      </c>
    </row>
    <row r="251" spans="1:19">
      <c r="A251" s="714"/>
      <c r="B251" s="715"/>
      <c r="C251" s="707">
        <f t="shared" si="43"/>
        <v>1</v>
      </c>
      <c r="D251" s="716"/>
      <c r="E251" s="707">
        <f t="shared" si="44"/>
        <v>1</v>
      </c>
      <c r="F251" s="716"/>
      <c r="G251" s="707">
        <f t="shared" si="45"/>
        <v>1</v>
      </c>
      <c r="H251" s="716"/>
      <c r="I251" s="707">
        <f t="shared" si="46"/>
        <v>1</v>
      </c>
      <c r="J251" s="716"/>
      <c r="K251" s="707">
        <f t="shared" si="47"/>
        <v>1</v>
      </c>
      <c r="L251" s="716"/>
      <c r="M251" s="707">
        <f t="shared" si="48"/>
        <v>1</v>
      </c>
      <c r="N251" s="716"/>
      <c r="O251" s="707">
        <f t="shared" si="49"/>
        <v>1</v>
      </c>
      <c r="P251" s="716"/>
      <c r="Q251" s="707">
        <f t="shared" si="50"/>
        <v>1</v>
      </c>
      <c r="R251" s="768">
        <f t="shared" si="51"/>
        <v>0</v>
      </c>
      <c r="S251" s="706">
        <f t="shared" si="52"/>
        <v>0</v>
      </c>
    </row>
    <row r="252" spans="1:19">
      <c r="A252" s="714"/>
      <c r="B252" s="715"/>
      <c r="C252" s="707">
        <f t="shared" si="43"/>
        <v>1</v>
      </c>
      <c r="D252" s="716"/>
      <c r="E252" s="707">
        <f t="shared" si="44"/>
        <v>1</v>
      </c>
      <c r="F252" s="716"/>
      <c r="G252" s="707">
        <f t="shared" si="45"/>
        <v>1</v>
      </c>
      <c r="H252" s="716"/>
      <c r="I252" s="707">
        <f t="shared" si="46"/>
        <v>1</v>
      </c>
      <c r="J252" s="716"/>
      <c r="K252" s="707">
        <f t="shared" si="47"/>
        <v>1</v>
      </c>
      <c r="L252" s="716"/>
      <c r="M252" s="707">
        <f t="shared" si="48"/>
        <v>1</v>
      </c>
      <c r="N252" s="716"/>
      <c r="O252" s="707">
        <f t="shared" si="49"/>
        <v>1</v>
      </c>
      <c r="P252" s="716"/>
      <c r="Q252" s="707">
        <f t="shared" si="50"/>
        <v>1</v>
      </c>
      <c r="R252" s="768">
        <f t="shared" si="51"/>
        <v>0</v>
      </c>
      <c r="S252" s="706">
        <f t="shared" si="52"/>
        <v>0</v>
      </c>
    </row>
    <row r="253" spans="1:19">
      <c r="A253" s="714"/>
      <c r="B253" s="715"/>
      <c r="C253" s="707">
        <f t="shared" si="43"/>
        <v>1</v>
      </c>
      <c r="D253" s="716"/>
      <c r="E253" s="707">
        <f t="shared" si="44"/>
        <v>1</v>
      </c>
      <c r="F253" s="716"/>
      <c r="G253" s="707">
        <f t="shared" si="45"/>
        <v>1</v>
      </c>
      <c r="H253" s="716"/>
      <c r="I253" s="707">
        <f t="shared" si="46"/>
        <v>1</v>
      </c>
      <c r="J253" s="716"/>
      <c r="K253" s="707">
        <f t="shared" si="47"/>
        <v>1</v>
      </c>
      <c r="L253" s="716"/>
      <c r="M253" s="707">
        <f t="shared" si="48"/>
        <v>1</v>
      </c>
      <c r="N253" s="716"/>
      <c r="O253" s="707">
        <f t="shared" si="49"/>
        <v>1</v>
      </c>
      <c r="P253" s="716"/>
      <c r="Q253" s="707">
        <f t="shared" si="50"/>
        <v>1</v>
      </c>
      <c r="R253" s="768">
        <f t="shared" si="51"/>
        <v>0</v>
      </c>
      <c r="S253" s="706">
        <f t="shared" si="52"/>
        <v>0</v>
      </c>
    </row>
    <row r="254" spans="1:19">
      <c r="A254" s="714"/>
      <c r="B254" s="715"/>
      <c r="C254" s="707">
        <f t="shared" si="43"/>
        <v>1</v>
      </c>
      <c r="D254" s="716"/>
      <c r="E254" s="707">
        <f t="shared" si="44"/>
        <v>1</v>
      </c>
      <c r="F254" s="716"/>
      <c r="G254" s="707">
        <f t="shared" si="45"/>
        <v>1</v>
      </c>
      <c r="H254" s="716"/>
      <c r="I254" s="707">
        <f t="shared" si="46"/>
        <v>1</v>
      </c>
      <c r="J254" s="716"/>
      <c r="K254" s="707">
        <f t="shared" si="47"/>
        <v>1</v>
      </c>
      <c r="L254" s="716"/>
      <c r="M254" s="707">
        <f t="shared" si="48"/>
        <v>1</v>
      </c>
      <c r="N254" s="716"/>
      <c r="O254" s="707">
        <f t="shared" si="49"/>
        <v>1</v>
      </c>
      <c r="P254" s="716"/>
      <c r="Q254" s="707">
        <f t="shared" si="50"/>
        <v>1</v>
      </c>
      <c r="R254" s="768">
        <f t="shared" si="51"/>
        <v>0</v>
      </c>
      <c r="S254" s="706">
        <f t="shared" si="52"/>
        <v>0</v>
      </c>
    </row>
    <row r="255" spans="1:19">
      <c r="A255" s="714"/>
      <c r="B255" s="715"/>
      <c r="C255" s="707">
        <f t="shared" si="43"/>
        <v>1</v>
      </c>
      <c r="D255" s="716"/>
      <c r="E255" s="707">
        <f t="shared" si="44"/>
        <v>1</v>
      </c>
      <c r="F255" s="716"/>
      <c r="G255" s="707">
        <f t="shared" si="45"/>
        <v>1</v>
      </c>
      <c r="H255" s="716"/>
      <c r="I255" s="707">
        <f t="shared" si="46"/>
        <v>1</v>
      </c>
      <c r="J255" s="716"/>
      <c r="K255" s="707">
        <f t="shared" si="47"/>
        <v>1</v>
      </c>
      <c r="L255" s="716"/>
      <c r="M255" s="707">
        <f t="shared" si="48"/>
        <v>1</v>
      </c>
      <c r="N255" s="716"/>
      <c r="O255" s="707">
        <f t="shared" si="49"/>
        <v>1</v>
      </c>
      <c r="P255" s="716"/>
      <c r="Q255" s="707">
        <f t="shared" si="50"/>
        <v>1</v>
      </c>
      <c r="R255" s="768">
        <f t="shared" si="51"/>
        <v>0</v>
      </c>
      <c r="S255" s="706">
        <f t="shared" si="52"/>
        <v>0</v>
      </c>
    </row>
    <row r="256" spans="1:19">
      <c r="A256" s="714"/>
      <c r="B256" s="715"/>
      <c r="C256" s="707">
        <f t="shared" si="43"/>
        <v>1</v>
      </c>
      <c r="D256" s="716"/>
      <c r="E256" s="707">
        <f t="shared" si="44"/>
        <v>1</v>
      </c>
      <c r="F256" s="716"/>
      <c r="G256" s="707">
        <f t="shared" si="45"/>
        <v>1</v>
      </c>
      <c r="H256" s="716"/>
      <c r="I256" s="707">
        <f t="shared" si="46"/>
        <v>1</v>
      </c>
      <c r="J256" s="716"/>
      <c r="K256" s="707">
        <f t="shared" si="47"/>
        <v>1</v>
      </c>
      <c r="L256" s="716"/>
      <c r="M256" s="707">
        <f t="shared" si="48"/>
        <v>1</v>
      </c>
      <c r="N256" s="716"/>
      <c r="O256" s="707">
        <f t="shared" si="49"/>
        <v>1</v>
      </c>
      <c r="P256" s="716"/>
      <c r="Q256" s="707">
        <f t="shared" si="50"/>
        <v>1</v>
      </c>
      <c r="R256" s="768">
        <f t="shared" si="51"/>
        <v>0</v>
      </c>
      <c r="S256" s="706">
        <f t="shared" si="52"/>
        <v>0</v>
      </c>
    </row>
    <row r="257" spans="1:19">
      <c r="A257" s="714"/>
      <c r="B257" s="715"/>
      <c r="C257" s="707">
        <f t="shared" si="43"/>
        <v>1</v>
      </c>
      <c r="D257" s="716"/>
      <c r="E257" s="707">
        <f t="shared" si="44"/>
        <v>1</v>
      </c>
      <c r="F257" s="716"/>
      <c r="G257" s="707">
        <f t="shared" si="45"/>
        <v>1</v>
      </c>
      <c r="H257" s="716"/>
      <c r="I257" s="707">
        <f t="shared" si="46"/>
        <v>1</v>
      </c>
      <c r="J257" s="716"/>
      <c r="K257" s="707">
        <f t="shared" si="47"/>
        <v>1</v>
      </c>
      <c r="L257" s="716"/>
      <c r="M257" s="707">
        <f t="shared" si="48"/>
        <v>1</v>
      </c>
      <c r="N257" s="716"/>
      <c r="O257" s="707">
        <f t="shared" si="49"/>
        <v>1</v>
      </c>
      <c r="P257" s="716"/>
      <c r="Q257" s="707">
        <f t="shared" si="50"/>
        <v>1</v>
      </c>
      <c r="R257" s="768">
        <f t="shared" si="51"/>
        <v>0</v>
      </c>
      <c r="S257" s="706">
        <f t="shared" si="52"/>
        <v>0</v>
      </c>
    </row>
    <row r="258" spans="1:19">
      <c r="A258" s="714"/>
      <c r="B258" s="715"/>
      <c r="C258" s="707">
        <f t="shared" si="43"/>
        <v>1</v>
      </c>
      <c r="D258" s="716"/>
      <c r="E258" s="707">
        <f t="shared" si="44"/>
        <v>1</v>
      </c>
      <c r="F258" s="716"/>
      <c r="G258" s="707">
        <f t="shared" si="45"/>
        <v>1</v>
      </c>
      <c r="H258" s="716"/>
      <c r="I258" s="707">
        <f t="shared" si="46"/>
        <v>1</v>
      </c>
      <c r="J258" s="716"/>
      <c r="K258" s="707">
        <f t="shared" si="47"/>
        <v>1</v>
      </c>
      <c r="L258" s="716"/>
      <c r="M258" s="707">
        <f t="shared" si="48"/>
        <v>1</v>
      </c>
      <c r="N258" s="716"/>
      <c r="O258" s="707">
        <f t="shared" si="49"/>
        <v>1</v>
      </c>
      <c r="P258" s="716"/>
      <c r="Q258" s="707">
        <f t="shared" si="50"/>
        <v>1</v>
      </c>
      <c r="R258" s="768">
        <f t="shared" si="51"/>
        <v>0</v>
      </c>
      <c r="S258" s="706">
        <f t="shared" si="52"/>
        <v>0</v>
      </c>
    </row>
    <row r="259" spans="1:19">
      <c r="A259" s="714"/>
      <c r="B259" s="715"/>
      <c r="C259" s="707">
        <f t="shared" si="43"/>
        <v>1</v>
      </c>
      <c r="D259" s="716"/>
      <c r="E259" s="707">
        <f t="shared" si="44"/>
        <v>1</v>
      </c>
      <c r="F259" s="716"/>
      <c r="G259" s="707">
        <f t="shared" si="45"/>
        <v>1</v>
      </c>
      <c r="H259" s="716"/>
      <c r="I259" s="707">
        <f t="shared" si="46"/>
        <v>1</v>
      </c>
      <c r="J259" s="716"/>
      <c r="K259" s="707">
        <f t="shared" si="47"/>
        <v>1</v>
      </c>
      <c r="L259" s="716"/>
      <c r="M259" s="707">
        <f t="shared" si="48"/>
        <v>1</v>
      </c>
      <c r="N259" s="716"/>
      <c r="O259" s="707">
        <f t="shared" si="49"/>
        <v>1</v>
      </c>
      <c r="P259" s="716"/>
      <c r="Q259" s="707">
        <f t="shared" si="50"/>
        <v>1</v>
      </c>
      <c r="R259" s="768">
        <f t="shared" si="51"/>
        <v>0</v>
      </c>
      <c r="S259" s="706">
        <f t="shared" si="52"/>
        <v>0</v>
      </c>
    </row>
    <row r="260" spans="1:19">
      <c r="A260" s="714"/>
      <c r="B260" s="715"/>
      <c r="C260" s="707">
        <f t="shared" si="43"/>
        <v>1</v>
      </c>
      <c r="D260" s="716"/>
      <c r="E260" s="707">
        <f t="shared" si="44"/>
        <v>1</v>
      </c>
      <c r="F260" s="716"/>
      <c r="G260" s="707">
        <f t="shared" si="45"/>
        <v>1</v>
      </c>
      <c r="H260" s="716"/>
      <c r="I260" s="707">
        <f t="shared" si="46"/>
        <v>1</v>
      </c>
      <c r="J260" s="716"/>
      <c r="K260" s="707">
        <f t="shared" si="47"/>
        <v>1</v>
      </c>
      <c r="L260" s="716"/>
      <c r="M260" s="707">
        <f t="shared" si="48"/>
        <v>1</v>
      </c>
      <c r="N260" s="716"/>
      <c r="O260" s="707">
        <f t="shared" si="49"/>
        <v>1</v>
      </c>
      <c r="P260" s="716"/>
      <c r="Q260" s="707">
        <f t="shared" si="50"/>
        <v>1</v>
      </c>
      <c r="R260" s="768">
        <f t="shared" si="51"/>
        <v>0</v>
      </c>
      <c r="S260" s="706">
        <f t="shared" si="52"/>
        <v>0</v>
      </c>
    </row>
    <row r="261" spans="1:19">
      <c r="A261" s="714"/>
      <c r="B261" s="715"/>
      <c r="C261" s="707">
        <f t="shared" si="43"/>
        <v>1</v>
      </c>
      <c r="D261" s="716"/>
      <c r="E261" s="707">
        <f t="shared" si="44"/>
        <v>1</v>
      </c>
      <c r="F261" s="716"/>
      <c r="G261" s="707">
        <f t="shared" si="45"/>
        <v>1</v>
      </c>
      <c r="H261" s="716"/>
      <c r="I261" s="707">
        <f t="shared" si="46"/>
        <v>1</v>
      </c>
      <c r="J261" s="716"/>
      <c r="K261" s="707">
        <f t="shared" si="47"/>
        <v>1</v>
      </c>
      <c r="L261" s="716"/>
      <c r="M261" s="707">
        <f t="shared" si="48"/>
        <v>1</v>
      </c>
      <c r="N261" s="716"/>
      <c r="O261" s="707">
        <f t="shared" si="49"/>
        <v>1</v>
      </c>
      <c r="P261" s="716"/>
      <c r="Q261" s="707">
        <f t="shared" si="50"/>
        <v>1</v>
      </c>
      <c r="R261" s="768">
        <f t="shared" si="51"/>
        <v>0</v>
      </c>
      <c r="S261" s="706">
        <f t="shared" si="52"/>
        <v>0</v>
      </c>
    </row>
    <row r="262" spans="1:19">
      <c r="A262" s="714"/>
      <c r="B262" s="715"/>
      <c r="C262" s="707">
        <f t="shared" si="43"/>
        <v>1</v>
      </c>
      <c r="D262" s="716"/>
      <c r="E262" s="707">
        <f t="shared" si="44"/>
        <v>1</v>
      </c>
      <c r="F262" s="716"/>
      <c r="G262" s="707">
        <f t="shared" si="45"/>
        <v>1</v>
      </c>
      <c r="H262" s="716"/>
      <c r="I262" s="707">
        <f t="shared" si="46"/>
        <v>1</v>
      </c>
      <c r="J262" s="716"/>
      <c r="K262" s="707">
        <f t="shared" si="47"/>
        <v>1</v>
      </c>
      <c r="L262" s="716"/>
      <c r="M262" s="707">
        <f t="shared" si="48"/>
        <v>1</v>
      </c>
      <c r="N262" s="716"/>
      <c r="O262" s="707">
        <f t="shared" si="49"/>
        <v>1</v>
      </c>
      <c r="P262" s="716"/>
      <c r="Q262" s="707">
        <f t="shared" si="50"/>
        <v>1</v>
      </c>
      <c r="R262" s="768">
        <f t="shared" si="51"/>
        <v>0</v>
      </c>
      <c r="S262" s="706">
        <f t="shared" si="52"/>
        <v>0</v>
      </c>
    </row>
    <row r="263" spans="1:19">
      <c r="A263" s="714"/>
      <c r="B263" s="715"/>
      <c r="C263" s="707">
        <f t="shared" si="43"/>
        <v>1</v>
      </c>
      <c r="D263" s="716"/>
      <c r="E263" s="707">
        <f t="shared" si="44"/>
        <v>1</v>
      </c>
      <c r="F263" s="716"/>
      <c r="G263" s="707">
        <f t="shared" si="45"/>
        <v>1</v>
      </c>
      <c r="H263" s="716"/>
      <c r="I263" s="707">
        <f t="shared" si="46"/>
        <v>1</v>
      </c>
      <c r="J263" s="716"/>
      <c r="K263" s="707">
        <f t="shared" si="47"/>
        <v>1</v>
      </c>
      <c r="L263" s="716"/>
      <c r="M263" s="707">
        <f t="shared" si="48"/>
        <v>1</v>
      </c>
      <c r="N263" s="716"/>
      <c r="O263" s="707">
        <f t="shared" si="49"/>
        <v>1</v>
      </c>
      <c r="P263" s="716"/>
      <c r="Q263" s="707">
        <f t="shared" si="50"/>
        <v>1</v>
      </c>
      <c r="R263" s="768">
        <f t="shared" si="51"/>
        <v>0</v>
      </c>
      <c r="S263" s="706">
        <f t="shared" si="52"/>
        <v>0</v>
      </c>
    </row>
    <row r="264" spans="1:19">
      <c r="A264" s="714"/>
      <c r="B264" s="715"/>
      <c r="C264" s="707">
        <f t="shared" si="43"/>
        <v>1</v>
      </c>
      <c r="D264" s="716"/>
      <c r="E264" s="707">
        <f t="shared" si="44"/>
        <v>1</v>
      </c>
      <c r="F264" s="716"/>
      <c r="G264" s="707">
        <f t="shared" si="45"/>
        <v>1</v>
      </c>
      <c r="H264" s="716"/>
      <c r="I264" s="707">
        <f t="shared" si="46"/>
        <v>1</v>
      </c>
      <c r="J264" s="716"/>
      <c r="K264" s="707">
        <f t="shared" si="47"/>
        <v>1</v>
      </c>
      <c r="L264" s="716"/>
      <c r="M264" s="707">
        <f t="shared" si="48"/>
        <v>1</v>
      </c>
      <c r="N264" s="716"/>
      <c r="O264" s="707">
        <f t="shared" si="49"/>
        <v>1</v>
      </c>
      <c r="P264" s="716"/>
      <c r="Q264" s="707">
        <f t="shared" si="50"/>
        <v>1</v>
      </c>
      <c r="R264" s="768">
        <f t="shared" si="51"/>
        <v>0</v>
      </c>
      <c r="S264" s="706">
        <f t="shared" si="52"/>
        <v>0</v>
      </c>
    </row>
    <row r="265" spans="1:19">
      <c r="A265" s="714"/>
      <c r="B265" s="715"/>
      <c r="C265" s="707">
        <f t="shared" si="43"/>
        <v>1</v>
      </c>
      <c r="D265" s="716"/>
      <c r="E265" s="707">
        <f t="shared" si="44"/>
        <v>1</v>
      </c>
      <c r="F265" s="716"/>
      <c r="G265" s="707">
        <f t="shared" si="45"/>
        <v>1</v>
      </c>
      <c r="H265" s="716"/>
      <c r="I265" s="707">
        <f t="shared" si="46"/>
        <v>1</v>
      </c>
      <c r="J265" s="716"/>
      <c r="K265" s="707">
        <f t="shared" si="47"/>
        <v>1</v>
      </c>
      <c r="L265" s="716"/>
      <c r="M265" s="707">
        <f t="shared" si="48"/>
        <v>1</v>
      </c>
      <c r="N265" s="716"/>
      <c r="O265" s="707">
        <f t="shared" si="49"/>
        <v>1</v>
      </c>
      <c r="P265" s="716"/>
      <c r="Q265" s="707">
        <f t="shared" si="50"/>
        <v>1</v>
      </c>
      <c r="R265" s="768">
        <f t="shared" si="51"/>
        <v>0</v>
      </c>
      <c r="S265" s="706">
        <f t="shared" si="52"/>
        <v>0</v>
      </c>
    </row>
    <row r="266" spans="1:19">
      <c r="A266" s="714"/>
      <c r="B266" s="715"/>
      <c r="C266" s="707">
        <f t="shared" si="43"/>
        <v>1</v>
      </c>
      <c r="D266" s="716"/>
      <c r="E266" s="707">
        <f t="shared" si="44"/>
        <v>1</v>
      </c>
      <c r="F266" s="716"/>
      <c r="G266" s="707">
        <f t="shared" si="45"/>
        <v>1</v>
      </c>
      <c r="H266" s="716"/>
      <c r="I266" s="707">
        <f t="shared" si="46"/>
        <v>1</v>
      </c>
      <c r="J266" s="716"/>
      <c r="K266" s="707">
        <f t="shared" si="47"/>
        <v>1</v>
      </c>
      <c r="L266" s="716"/>
      <c r="M266" s="707">
        <f t="shared" si="48"/>
        <v>1</v>
      </c>
      <c r="N266" s="716"/>
      <c r="O266" s="707">
        <f t="shared" si="49"/>
        <v>1</v>
      </c>
      <c r="P266" s="716"/>
      <c r="Q266" s="707">
        <f t="shared" si="50"/>
        <v>1</v>
      </c>
      <c r="R266" s="768">
        <f t="shared" si="51"/>
        <v>0</v>
      </c>
      <c r="S266" s="706">
        <f t="shared" si="52"/>
        <v>0</v>
      </c>
    </row>
    <row r="267" spans="1:19">
      <c r="A267" s="714"/>
      <c r="B267" s="715"/>
      <c r="C267" s="707">
        <f t="shared" si="43"/>
        <v>1</v>
      </c>
      <c r="D267" s="716"/>
      <c r="E267" s="707">
        <f t="shared" si="44"/>
        <v>1</v>
      </c>
      <c r="F267" s="716"/>
      <c r="G267" s="707">
        <f t="shared" si="45"/>
        <v>1</v>
      </c>
      <c r="H267" s="716"/>
      <c r="I267" s="707">
        <f t="shared" si="46"/>
        <v>1</v>
      </c>
      <c r="J267" s="716"/>
      <c r="K267" s="707">
        <f t="shared" si="47"/>
        <v>1</v>
      </c>
      <c r="L267" s="716"/>
      <c r="M267" s="707">
        <f t="shared" si="48"/>
        <v>1</v>
      </c>
      <c r="N267" s="716"/>
      <c r="O267" s="707">
        <f t="shared" si="49"/>
        <v>1</v>
      </c>
      <c r="P267" s="716"/>
      <c r="Q267" s="707">
        <f t="shared" si="50"/>
        <v>1</v>
      </c>
      <c r="R267" s="768">
        <f t="shared" si="51"/>
        <v>0</v>
      </c>
      <c r="S267" s="706">
        <f t="shared" si="52"/>
        <v>0</v>
      </c>
    </row>
    <row r="268" spans="1:19">
      <c r="A268" s="714"/>
      <c r="B268" s="715"/>
      <c r="C268" s="707">
        <f t="shared" si="43"/>
        <v>1</v>
      </c>
      <c r="D268" s="716"/>
      <c r="E268" s="707">
        <f t="shared" si="44"/>
        <v>1</v>
      </c>
      <c r="F268" s="716"/>
      <c r="G268" s="707">
        <f t="shared" si="45"/>
        <v>1</v>
      </c>
      <c r="H268" s="716"/>
      <c r="I268" s="707">
        <f t="shared" si="46"/>
        <v>1</v>
      </c>
      <c r="J268" s="716"/>
      <c r="K268" s="707">
        <f t="shared" si="47"/>
        <v>1</v>
      </c>
      <c r="L268" s="716"/>
      <c r="M268" s="707">
        <f t="shared" si="48"/>
        <v>1</v>
      </c>
      <c r="N268" s="716"/>
      <c r="O268" s="707">
        <f t="shared" si="49"/>
        <v>1</v>
      </c>
      <c r="P268" s="716"/>
      <c r="Q268" s="707">
        <f t="shared" si="50"/>
        <v>1</v>
      </c>
      <c r="R268" s="768">
        <f t="shared" si="51"/>
        <v>0</v>
      </c>
      <c r="S268" s="706">
        <f t="shared" si="52"/>
        <v>0</v>
      </c>
    </row>
    <row r="269" spans="1:19">
      <c r="A269" s="714"/>
      <c r="B269" s="715"/>
      <c r="C269" s="707">
        <f t="shared" si="43"/>
        <v>1</v>
      </c>
      <c r="D269" s="716"/>
      <c r="E269" s="707">
        <f t="shared" si="44"/>
        <v>1</v>
      </c>
      <c r="F269" s="716"/>
      <c r="G269" s="707">
        <f t="shared" si="45"/>
        <v>1</v>
      </c>
      <c r="H269" s="716"/>
      <c r="I269" s="707">
        <f t="shared" si="46"/>
        <v>1</v>
      </c>
      <c r="J269" s="716"/>
      <c r="K269" s="707">
        <f t="shared" si="47"/>
        <v>1</v>
      </c>
      <c r="L269" s="716"/>
      <c r="M269" s="707">
        <f t="shared" si="48"/>
        <v>1</v>
      </c>
      <c r="N269" s="716"/>
      <c r="O269" s="707">
        <f t="shared" si="49"/>
        <v>1</v>
      </c>
      <c r="P269" s="716"/>
      <c r="Q269" s="707">
        <f t="shared" si="50"/>
        <v>1</v>
      </c>
      <c r="R269" s="768">
        <f t="shared" si="51"/>
        <v>0</v>
      </c>
      <c r="S269" s="706">
        <f t="shared" si="52"/>
        <v>0</v>
      </c>
    </row>
    <row r="270" spans="1:19">
      <c r="A270" s="714"/>
      <c r="B270" s="715"/>
      <c r="C270" s="707">
        <f t="shared" si="43"/>
        <v>1</v>
      </c>
      <c r="D270" s="716"/>
      <c r="E270" s="707">
        <f t="shared" si="44"/>
        <v>1</v>
      </c>
      <c r="F270" s="716"/>
      <c r="G270" s="707">
        <f t="shared" si="45"/>
        <v>1</v>
      </c>
      <c r="H270" s="716"/>
      <c r="I270" s="707">
        <f t="shared" si="46"/>
        <v>1</v>
      </c>
      <c r="J270" s="716"/>
      <c r="K270" s="707">
        <f t="shared" si="47"/>
        <v>1</v>
      </c>
      <c r="L270" s="716"/>
      <c r="M270" s="707">
        <f t="shared" si="48"/>
        <v>1</v>
      </c>
      <c r="N270" s="716"/>
      <c r="O270" s="707">
        <f t="shared" si="49"/>
        <v>1</v>
      </c>
      <c r="P270" s="716"/>
      <c r="Q270" s="707">
        <f t="shared" si="50"/>
        <v>1</v>
      </c>
      <c r="R270" s="768">
        <f t="shared" si="51"/>
        <v>0</v>
      </c>
      <c r="S270" s="706">
        <f t="shared" si="52"/>
        <v>0</v>
      </c>
    </row>
    <row r="271" spans="1:19">
      <c r="A271" s="714"/>
      <c r="B271" s="715"/>
      <c r="C271" s="707">
        <f t="shared" si="43"/>
        <v>1</v>
      </c>
      <c r="D271" s="716"/>
      <c r="E271" s="707">
        <f t="shared" si="44"/>
        <v>1</v>
      </c>
      <c r="F271" s="716"/>
      <c r="G271" s="707">
        <f t="shared" si="45"/>
        <v>1</v>
      </c>
      <c r="H271" s="716"/>
      <c r="I271" s="707">
        <f t="shared" si="46"/>
        <v>1</v>
      </c>
      <c r="J271" s="716"/>
      <c r="K271" s="707">
        <f t="shared" si="47"/>
        <v>1</v>
      </c>
      <c r="L271" s="716"/>
      <c r="M271" s="707">
        <f t="shared" si="48"/>
        <v>1</v>
      </c>
      <c r="N271" s="716"/>
      <c r="O271" s="707">
        <f t="shared" si="49"/>
        <v>1</v>
      </c>
      <c r="P271" s="716"/>
      <c r="Q271" s="707">
        <f t="shared" si="50"/>
        <v>1</v>
      </c>
      <c r="R271" s="768">
        <f t="shared" si="51"/>
        <v>0</v>
      </c>
      <c r="S271" s="706">
        <f t="shared" si="52"/>
        <v>0</v>
      </c>
    </row>
    <row r="272" spans="1:19">
      <c r="A272" s="714"/>
      <c r="B272" s="715"/>
      <c r="C272" s="707">
        <f t="shared" si="43"/>
        <v>1</v>
      </c>
      <c r="D272" s="716"/>
      <c r="E272" s="707">
        <f t="shared" si="44"/>
        <v>1</v>
      </c>
      <c r="F272" s="716"/>
      <c r="G272" s="707">
        <f t="shared" si="45"/>
        <v>1</v>
      </c>
      <c r="H272" s="716"/>
      <c r="I272" s="707">
        <f t="shared" si="46"/>
        <v>1</v>
      </c>
      <c r="J272" s="716"/>
      <c r="K272" s="707">
        <f t="shared" si="47"/>
        <v>1</v>
      </c>
      <c r="L272" s="716"/>
      <c r="M272" s="707">
        <f t="shared" si="48"/>
        <v>1</v>
      </c>
      <c r="N272" s="716"/>
      <c r="O272" s="707">
        <f t="shared" si="49"/>
        <v>1</v>
      </c>
      <c r="P272" s="716"/>
      <c r="Q272" s="707">
        <f t="shared" si="50"/>
        <v>1</v>
      </c>
      <c r="R272" s="768">
        <f t="shared" si="51"/>
        <v>0</v>
      </c>
      <c r="S272" s="706">
        <f t="shared" si="52"/>
        <v>0</v>
      </c>
    </row>
    <row r="273" spans="1:19">
      <c r="A273" s="714"/>
      <c r="B273" s="715"/>
      <c r="C273" s="707">
        <f t="shared" si="43"/>
        <v>1</v>
      </c>
      <c r="D273" s="716"/>
      <c r="E273" s="707">
        <f t="shared" si="44"/>
        <v>1</v>
      </c>
      <c r="F273" s="716"/>
      <c r="G273" s="707">
        <f t="shared" si="45"/>
        <v>1</v>
      </c>
      <c r="H273" s="716"/>
      <c r="I273" s="707">
        <f t="shared" si="46"/>
        <v>1</v>
      </c>
      <c r="J273" s="716"/>
      <c r="K273" s="707">
        <f t="shared" si="47"/>
        <v>1</v>
      </c>
      <c r="L273" s="716"/>
      <c r="M273" s="707">
        <f t="shared" si="48"/>
        <v>1</v>
      </c>
      <c r="N273" s="716"/>
      <c r="O273" s="707">
        <f t="shared" si="49"/>
        <v>1</v>
      </c>
      <c r="P273" s="716"/>
      <c r="Q273" s="707">
        <f t="shared" si="50"/>
        <v>1</v>
      </c>
      <c r="R273" s="768">
        <f t="shared" si="51"/>
        <v>0</v>
      </c>
      <c r="S273" s="706">
        <f t="shared" si="52"/>
        <v>0</v>
      </c>
    </row>
    <row r="274" spans="1:19">
      <c r="A274" s="714"/>
      <c r="B274" s="715"/>
      <c r="C274" s="707">
        <f t="shared" si="43"/>
        <v>1</v>
      </c>
      <c r="D274" s="716"/>
      <c r="E274" s="707">
        <f t="shared" si="44"/>
        <v>1</v>
      </c>
      <c r="F274" s="716"/>
      <c r="G274" s="707">
        <f t="shared" si="45"/>
        <v>1</v>
      </c>
      <c r="H274" s="716"/>
      <c r="I274" s="707">
        <f t="shared" si="46"/>
        <v>1</v>
      </c>
      <c r="J274" s="716"/>
      <c r="K274" s="707">
        <f t="shared" si="47"/>
        <v>1</v>
      </c>
      <c r="L274" s="716"/>
      <c r="M274" s="707">
        <f t="shared" si="48"/>
        <v>1</v>
      </c>
      <c r="N274" s="716"/>
      <c r="O274" s="707">
        <f t="shared" si="49"/>
        <v>1</v>
      </c>
      <c r="P274" s="716"/>
      <c r="Q274" s="707">
        <f t="shared" si="50"/>
        <v>1</v>
      </c>
      <c r="R274" s="768">
        <f t="shared" si="51"/>
        <v>0</v>
      </c>
      <c r="S274" s="706">
        <f t="shared" si="52"/>
        <v>0</v>
      </c>
    </row>
    <row r="275" spans="1:19">
      <c r="A275" s="714"/>
      <c r="B275" s="715"/>
      <c r="C275" s="707">
        <f t="shared" si="43"/>
        <v>1</v>
      </c>
      <c r="D275" s="716"/>
      <c r="E275" s="707">
        <f t="shared" si="44"/>
        <v>1</v>
      </c>
      <c r="F275" s="716"/>
      <c r="G275" s="707">
        <f t="shared" si="45"/>
        <v>1</v>
      </c>
      <c r="H275" s="716"/>
      <c r="I275" s="707">
        <f t="shared" si="46"/>
        <v>1</v>
      </c>
      <c r="J275" s="716"/>
      <c r="K275" s="707">
        <f t="shared" si="47"/>
        <v>1</v>
      </c>
      <c r="L275" s="716"/>
      <c r="M275" s="707">
        <f t="shared" si="48"/>
        <v>1</v>
      </c>
      <c r="N275" s="716"/>
      <c r="O275" s="707">
        <f t="shared" si="49"/>
        <v>1</v>
      </c>
      <c r="P275" s="716"/>
      <c r="Q275" s="707">
        <f t="shared" si="50"/>
        <v>1</v>
      </c>
      <c r="R275" s="768">
        <f t="shared" si="51"/>
        <v>0</v>
      </c>
      <c r="S275" s="706">
        <f t="shared" si="52"/>
        <v>0</v>
      </c>
    </row>
    <row r="276" spans="1:19">
      <c r="A276" s="714"/>
      <c r="B276" s="715"/>
      <c r="C276" s="707">
        <f t="shared" si="43"/>
        <v>1</v>
      </c>
      <c r="D276" s="716"/>
      <c r="E276" s="707">
        <f t="shared" si="44"/>
        <v>1</v>
      </c>
      <c r="F276" s="716"/>
      <c r="G276" s="707">
        <f t="shared" si="45"/>
        <v>1</v>
      </c>
      <c r="H276" s="716"/>
      <c r="I276" s="707">
        <f t="shared" si="46"/>
        <v>1</v>
      </c>
      <c r="J276" s="716"/>
      <c r="K276" s="707">
        <f t="shared" si="47"/>
        <v>1</v>
      </c>
      <c r="L276" s="716"/>
      <c r="M276" s="707">
        <f t="shared" si="48"/>
        <v>1</v>
      </c>
      <c r="N276" s="716"/>
      <c r="O276" s="707">
        <f t="shared" si="49"/>
        <v>1</v>
      </c>
      <c r="P276" s="716"/>
      <c r="Q276" s="707">
        <f t="shared" si="50"/>
        <v>1</v>
      </c>
      <c r="R276" s="768">
        <f t="shared" si="51"/>
        <v>0</v>
      </c>
      <c r="S276" s="706">
        <f t="shared" si="52"/>
        <v>0</v>
      </c>
    </row>
    <row r="277" spans="1:19">
      <c r="A277" s="714"/>
      <c r="B277" s="715"/>
      <c r="C277" s="707">
        <f t="shared" si="43"/>
        <v>1</v>
      </c>
      <c r="D277" s="716"/>
      <c r="E277" s="707">
        <f t="shared" si="44"/>
        <v>1</v>
      </c>
      <c r="F277" s="716"/>
      <c r="G277" s="707">
        <f t="shared" si="45"/>
        <v>1</v>
      </c>
      <c r="H277" s="716"/>
      <c r="I277" s="707">
        <f t="shared" si="46"/>
        <v>1</v>
      </c>
      <c r="J277" s="716"/>
      <c r="K277" s="707">
        <f t="shared" si="47"/>
        <v>1</v>
      </c>
      <c r="L277" s="716"/>
      <c r="M277" s="707">
        <f t="shared" si="48"/>
        <v>1</v>
      </c>
      <c r="N277" s="716"/>
      <c r="O277" s="707">
        <f t="shared" si="49"/>
        <v>1</v>
      </c>
      <c r="P277" s="716"/>
      <c r="Q277" s="707">
        <f t="shared" si="50"/>
        <v>1</v>
      </c>
      <c r="R277" s="768">
        <f t="shared" si="51"/>
        <v>0</v>
      </c>
      <c r="S277" s="706">
        <f t="shared" si="52"/>
        <v>0</v>
      </c>
    </row>
    <row r="278" spans="1:19">
      <c r="A278" s="714"/>
      <c r="B278" s="715"/>
      <c r="C278" s="707">
        <f t="shared" si="43"/>
        <v>1</v>
      </c>
      <c r="D278" s="716"/>
      <c r="E278" s="707">
        <f t="shared" si="44"/>
        <v>1</v>
      </c>
      <c r="F278" s="716"/>
      <c r="G278" s="707">
        <f t="shared" si="45"/>
        <v>1</v>
      </c>
      <c r="H278" s="716"/>
      <c r="I278" s="707">
        <f t="shared" si="46"/>
        <v>1</v>
      </c>
      <c r="J278" s="716"/>
      <c r="K278" s="707">
        <f t="shared" si="47"/>
        <v>1</v>
      </c>
      <c r="L278" s="716"/>
      <c r="M278" s="707">
        <f t="shared" si="48"/>
        <v>1</v>
      </c>
      <c r="N278" s="716"/>
      <c r="O278" s="707">
        <f t="shared" si="49"/>
        <v>1</v>
      </c>
      <c r="P278" s="716"/>
      <c r="Q278" s="707">
        <f t="shared" si="50"/>
        <v>1</v>
      </c>
      <c r="R278" s="768">
        <f t="shared" si="51"/>
        <v>0</v>
      </c>
      <c r="S278" s="706">
        <f t="shared" si="52"/>
        <v>0</v>
      </c>
    </row>
    <row r="279" spans="1:19">
      <c r="A279" s="714"/>
      <c r="B279" s="715"/>
      <c r="C279" s="707">
        <f t="shared" si="43"/>
        <v>1</v>
      </c>
      <c r="D279" s="716"/>
      <c r="E279" s="707">
        <f t="shared" si="44"/>
        <v>1</v>
      </c>
      <c r="F279" s="716"/>
      <c r="G279" s="707">
        <f t="shared" si="45"/>
        <v>1</v>
      </c>
      <c r="H279" s="716"/>
      <c r="I279" s="707">
        <f t="shared" si="46"/>
        <v>1</v>
      </c>
      <c r="J279" s="716"/>
      <c r="K279" s="707">
        <f t="shared" si="47"/>
        <v>1</v>
      </c>
      <c r="L279" s="716"/>
      <c r="M279" s="707">
        <f t="shared" si="48"/>
        <v>1</v>
      </c>
      <c r="N279" s="716"/>
      <c r="O279" s="707">
        <f t="shared" si="49"/>
        <v>1</v>
      </c>
      <c r="P279" s="716"/>
      <c r="Q279" s="707">
        <f t="shared" si="50"/>
        <v>1</v>
      </c>
      <c r="R279" s="768">
        <f t="shared" si="51"/>
        <v>0</v>
      </c>
      <c r="S279" s="706">
        <f t="shared" si="52"/>
        <v>0</v>
      </c>
    </row>
    <row r="280" spans="1:19">
      <c r="A280" s="714"/>
      <c r="B280" s="715"/>
      <c r="C280" s="707">
        <f t="shared" si="43"/>
        <v>1</v>
      </c>
      <c r="D280" s="716"/>
      <c r="E280" s="707">
        <f t="shared" si="44"/>
        <v>1</v>
      </c>
      <c r="F280" s="716"/>
      <c r="G280" s="707">
        <f t="shared" si="45"/>
        <v>1</v>
      </c>
      <c r="H280" s="716"/>
      <c r="I280" s="707">
        <f t="shared" si="46"/>
        <v>1</v>
      </c>
      <c r="J280" s="716"/>
      <c r="K280" s="707">
        <f t="shared" si="47"/>
        <v>1</v>
      </c>
      <c r="L280" s="716"/>
      <c r="M280" s="707">
        <f t="shared" si="48"/>
        <v>1</v>
      </c>
      <c r="N280" s="716"/>
      <c r="O280" s="707">
        <f t="shared" si="49"/>
        <v>1</v>
      </c>
      <c r="P280" s="716"/>
      <c r="Q280" s="707">
        <f t="shared" si="50"/>
        <v>1</v>
      </c>
      <c r="R280" s="768">
        <f t="shared" si="51"/>
        <v>0</v>
      </c>
      <c r="S280" s="706">
        <f t="shared" si="52"/>
        <v>0</v>
      </c>
    </row>
    <row r="281" spans="1:19">
      <c r="A281" s="714"/>
      <c r="B281" s="715"/>
      <c r="C281" s="707">
        <f t="shared" si="43"/>
        <v>1</v>
      </c>
      <c r="D281" s="716"/>
      <c r="E281" s="707">
        <f t="shared" si="44"/>
        <v>1</v>
      </c>
      <c r="F281" s="716"/>
      <c r="G281" s="707">
        <f t="shared" si="45"/>
        <v>1</v>
      </c>
      <c r="H281" s="716"/>
      <c r="I281" s="707">
        <f t="shared" si="46"/>
        <v>1</v>
      </c>
      <c r="J281" s="716"/>
      <c r="K281" s="707">
        <f t="shared" si="47"/>
        <v>1</v>
      </c>
      <c r="L281" s="716"/>
      <c r="M281" s="707">
        <f t="shared" si="48"/>
        <v>1</v>
      </c>
      <c r="N281" s="716"/>
      <c r="O281" s="707">
        <f t="shared" si="49"/>
        <v>1</v>
      </c>
      <c r="P281" s="716"/>
      <c r="Q281" s="707">
        <f t="shared" si="50"/>
        <v>1</v>
      </c>
      <c r="R281" s="768">
        <f t="shared" si="51"/>
        <v>0</v>
      </c>
      <c r="S281" s="706">
        <f t="shared" si="52"/>
        <v>0</v>
      </c>
    </row>
    <row r="282" spans="1:19">
      <c r="A282" s="714"/>
      <c r="B282" s="715"/>
      <c r="C282" s="707">
        <f t="shared" ref="C282:C345" si="53">IF(B282="",1,(LOOKUP(B282,$3:$3,$4:$4)-LOOKUP($B$24,$3:$3,$4:$4)+100)/100)</f>
        <v>1</v>
      </c>
      <c r="D282" s="716"/>
      <c r="E282" s="707">
        <f t="shared" ref="E282:E345" si="54">(SUMIF($5:$5,D282,$6:$6)-SUMIF($5:$5,$D$24,$6:$6)+100)/100</f>
        <v>1</v>
      </c>
      <c r="F282" s="716"/>
      <c r="G282" s="707">
        <f t="shared" ref="G282:G345" si="55">(SUMIF($7:$7,F282,$8:$8)-SUMIF($7:$7,$F$24,$8:$8)+100)/100</f>
        <v>1</v>
      </c>
      <c r="H282" s="716"/>
      <c r="I282" s="707">
        <f t="shared" ref="I282:I345" si="56">(SUMIF($9:$9,H282,$10:$10)-SUMIF($9:$9,$H$24,$10:$10)+100)/100</f>
        <v>1</v>
      </c>
      <c r="J282" s="716"/>
      <c r="K282" s="707">
        <f t="shared" ref="K282:K345" si="57">(SUMIF($11:$11,J282,$12:$12)-SUMIF($11:$11,$J$24,$12:$12)+100)/100</f>
        <v>1</v>
      </c>
      <c r="L282" s="716"/>
      <c r="M282" s="707">
        <f t="shared" ref="M282:M345" si="58">(SUMIF($13:$13,L282,$14:$14)-SUMIF($13:$13,$L$24,$14:$14)+100)/100</f>
        <v>1</v>
      </c>
      <c r="N282" s="716"/>
      <c r="O282" s="707">
        <f t="shared" ref="O282:O345" si="59">(SUMIF($15:$15,N282,$16:$16)-SUMIF($15:$15,$N$24,$16:$16)+100)/100</f>
        <v>1</v>
      </c>
      <c r="P282" s="716"/>
      <c r="Q282" s="707">
        <f t="shared" ref="Q282:Q345" si="60">(SUMIF($17:$17,P282,$18:$18)-SUMIF($17:$17,$P$24,$18:$18)+100)/100</f>
        <v>1</v>
      </c>
      <c r="R282" s="768">
        <f t="shared" ref="R282:R345" si="61">IF(B282="",0,ROUND($R$24*C282*E282*G282*I282*K282*M282*O282*Q282,0))</f>
        <v>0</v>
      </c>
      <c r="S282" s="706">
        <f t="shared" si="52"/>
        <v>0</v>
      </c>
    </row>
    <row r="283" spans="1:19">
      <c r="A283" s="714"/>
      <c r="B283" s="715"/>
      <c r="C283" s="707">
        <f t="shared" si="53"/>
        <v>1</v>
      </c>
      <c r="D283" s="716"/>
      <c r="E283" s="707">
        <f t="shared" si="54"/>
        <v>1</v>
      </c>
      <c r="F283" s="716"/>
      <c r="G283" s="707">
        <f t="shared" si="55"/>
        <v>1</v>
      </c>
      <c r="H283" s="716"/>
      <c r="I283" s="707">
        <f t="shared" si="56"/>
        <v>1</v>
      </c>
      <c r="J283" s="716"/>
      <c r="K283" s="707">
        <f t="shared" si="57"/>
        <v>1</v>
      </c>
      <c r="L283" s="716"/>
      <c r="M283" s="707">
        <f t="shared" si="58"/>
        <v>1</v>
      </c>
      <c r="N283" s="716"/>
      <c r="O283" s="707">
        <f t="shared" si="59"/>
        <v>1</v>
      </c>
      <c r="P283" s="716"/>
      <c r="Q283" s="707">
        <f t="shared" si="60"/>
        <v>1</v>
      </c>
      <c r="R283" s="768">
        <f t="shared" si="61"/>
        <v>0</v>
      </c>
      <c r="S283" s="706">
        <f t="shared" si="52"/>
        <v>0</v>
      </c>
    </row>
    <row r="284" spans="1:19">
      <c r="A284" s="714"/>
      <c r="B284" s="715"/>
      <c r="C284" s="707">
        <f t="shared" si="53"/>
        <v>1</v>
      </c>
      <c r="D284" s="716"/>
      <c r="E284" s="707">
        <f t="shared" si="54"/>
        <v>1</v>
      </c>
      <c r="F284" s="716"/>
      <c r="G284" s="707">
        <f t="shared" si="55"/>
        <v>1</v>
      </c>
      <c r="H284" s="716"/>
      <c r="I284" s="707">
        <f t="shared" si="56"/>
        <v>1</v>
      </c>
      <c r="J284" s="716"/>
      <c r="K284" s="707">
        <f t="shared" si="57"/>
        <v>1</v>
      </c>
      <c r="L284" s="716"/>
      <c r="M284" s="707">
        <f t="shared" si="58"/>
        <v>1</v>
      </c>
      <c r="N284" s="716"/>
      <c r="O284" s="707">
        <f t="shared" si="59"/>
        <v>1</v>
      </c>
      <c r="P284" s="716"/>
      <c r="Q284" s="707">
        <f t="shared" si="60"/>
        <v>1</v>
      </c>
      <c r="R284" s="768">
        <f t="shared" si="61"/>
        <v>0</v>
      </c>
      <c r="S284" s="706">
        <f t="shared" si="52"/>
        <v>0</v>
      </c>
    </row>
    <row r="285" spans="1:19">
      <c r="A285" s="714"/>
      <c r="B285" s="715"/>
      <c r="C285" s="707">
        <f t="shared" si="53"/>
        <v>1</v>
      </c>
      <c r="D285" s="716"/>
      <c r="E285" s="707">
        <f t="shared" si="54"/>
        <v>1</v>
      </c>
      <c r="F285" s="716"/>
      <c r="G285" s="707">
        <f t="shared" si="55"/>
        <v>1</v>
      </c>
      <c r="H285" s="716"/>
      <c r="I285" s="707">
        <f t="shared" si="56"/>
        <v>1</v>
      </c>
      <c r="J285" s="716"/>
      <c r="K285" s="707">
        <f t="shared" si="57"/>
        <v>1</v>
      </c>
      <c r="L285" s="716"/>
      <c r="M285" s="707">
        <f t="shared" si="58"/>
        <v>1</v>
      </c>
      <c r="N285" s="716"/>
      <c r="O285" s="707">
        <f t="shared" si="59"/>
        <v>1</v>
      </c>
      <c r="P285" s="716"/>
      <c r="Q285" s="707">
        <f t="shared" si="60"/>
        <v>1</v>
      </c>
      <c r="R285" s="768">
        <f t="shared" si="61"/>
        <v>0</v>
      </c>
      <c r="S285" s="706">
        <f t="shared" si="52"/>
        <v>0</v>
      </c>
    </row>
    <row r="286" spans="1:19">
      <c r="A286" s="714"/>
      <c r="B286" s="715"/>
      <c r="C286" s="707">
        <f t="shared" si="53"/>
        <v>1</v>
      </c>
      <c r="D286" s="716"/>
      <c r="E286" s="707">
        <f t="shared" si="54"/>
        <v>1</v>
      </c>
      <c r="F286" s="716"/>
      <c r="G286" s="707">
        <f t="shared" si="55"/>
        <v>1</v>
      </c>
      <c r="H286" s="716"/>
      <c r="I286" s="707">
        <f t="shared" si="56"/>
        <v>1</v>
      </c>
      <c r="J286" s="716"/>
      <c r="K286" s="707">
        <f t="shared" si="57"/>
        <v>1</v>
      </c>
      <c r="L286" s="716"/>
      <c r="M286" s="707">
        <f t="shared" si="58"/>
        <v>1</v>
      </c>
      <c r="N286" s="716"/>
      <c r="O286" s="707">
        <f t="shared" si="59"/>
        <v>1</v>
      </c>
      <c r="P286" s="716"/>
      <c r="Q286" s="707">
        <f t="shared" si="60"/>
        <v>1</v>
      </c>
      <c r="R286" s="768">
        <f t="shared" si="61"/>
        <v>0</v>
      </c>
      <c r="S286" s="706">
        <f t="shared" si="52"/>
        <v>0</v>
      </c>
    </row>
    <row r="287" spans="1:19">
      <c r="A287" s="714"/>
      <c r="B287" s="715"/>
      <c r="C287" s="707">
        <f t="shared" si="53"/>
        <v>1</v>
      </c>
      <c r="D287" s="716"/>
      <c r="E287" s="707">
        <f t="shared" si="54"/>
        <v>1</v>
      </c>
      <c r="F287" s="716"/>
      <c r="G287" s="707">
        <f t="shared" si="55"/>
        <v>1</v>
      </c>
      <c r="H287" s="716"/>
      <c r="I287" s="707">
        <f t="shared" si="56"/>
        <v>1</v>
      </c>
      <c r="J287" s="716"/>
      <c r="K287" s="707">
        <f t="shared" si="57"/>
        <v>1</v>
      </c>
      <c r="L287" s="716"/>
      <c r="M287" s="707">
        <f t="shared" si="58"/>
        <v>1</v>
      </c>
      <c r="N287" s="716"/>
      <c r="O287" s="707">
        <f t="shared" si="59"/>
        <v>1</v>
      </c>
      <c r="P287" s="716"/>
      <c r="Q287" s="707">
        <f t="shared" si="60"/>
        <v>1</v>
      </c>
      <c r="R287" s="768">
        <f t="shared" si="61"/>
        <v>0</v>
      </c>
      <c r="S287" s="706">
        <f t="shared" ref="S287:S320" si="62">ROUND(R287*B287/10000,0)</f>
        <v>0</v>
      </c>
    </row>
    <row r="288" spans="1:19">
      <c r="A288" s="714"/>
      <c r="B288" s="715"/>
      <c r="C288" s="707">
        <f t="shared" si="53"/>
        <v>1</v>
      </c>
      <c r="D288" s="716"/>
      <c r="E288" s="707">
        <f t="shared" si="54"/>
        <v>1</v>
      </c>
      <c r="F288" s="716"/>
      <c r="G288" s="707">
        <f t="shared" si="55"/>
        <v>1</v>
      </c>
      <c r="H288" s="716"/>
      <c r="I288" s="707">
        <f t="shared" si="56"/>
        <v>1</v>
      </c>
      <c r="J288" s="716"/>
      <c r="K288" s="707">
        <f t="shared" si="57"/>
        <v>1</v>
      </c>
      <c r="L288" s="716"/>
      <c r="M288" s="707">
        <f t="shared" si="58"/>
        <v>1</v>
      </c>
      <c r="N288" s="716"/>
      <c r="O288" s="707">
        <f t="shared" si="59"/>
        <v>1</v>
      </c>
      <c r="P288" s="716"/>
      <c r="Q288" s="707">
        <f t="shared" si="60"/>
        <v>1</v>
      </c>
      <c r="R288" s="768">
        <f t="shared" si="61"/>
        <v>0</v>
      </c>
      <c r="S288" s="706">
        <f t="shared" si="62"/>
        <v>0</v>
      </c>
    </row>
    <row r="289" spans="1:19">
      <c r="A289" s="714"/>
      <c r="B289" s="715"/>
      <c r="C289" s="707">
        <f t="shared" si="53"/>
        <v>1</v>
      </c>
      <c r="D289" s="716"/>
      <c r="E289" s="707">
        <f t="shared" si="54"/>
        <v>1</v>
      </c>
      <c r="F289" s="716"/>
      <c r="G289" s="707">
        <f t="shared" si="55"/>
        <v>1</v>
      </c>
      <c r="H289" s="716"/>
      <c r="I289" s="707">
        <f t="shared" si="56"/>
        <v>1</v>
      </c>
      <c r="J289" s="716"/>
      <c r="K289" s="707">
        <f t="shared" si="57"/>
        <v>1</v>
      </c>
      <c r="L289" s="716"/>
      <c r="M289" s="707">
        <f t="shared" si="58"/>
        <v>1</v>
      </c>
      <c r="N289" s="716"/>
      <c r="O289" s="707">
        <f t="shared" si="59"/>
        <v>1</v>
      </c>
      <c r="P289" s="716"/>
      <c r="Q289" s="707">
        <f t="shared" si="60"/>
        <v>1</v>
      </c>
      <c r="R289" s="768">
        <f t="shared" si="61"/>
        <v>0</v>
      </c>
      <c r="S289" s="706">
        <f t="shared" si="62"/>
        <v>0</v>
      </c>
    </row>
    <row r="290" spans="1:19">
      <c r="A290" s="714"/>
      <c r="B290" s="715"/>
      <c r="C290" s="707">
        <f t="shared" si="53"/>
        <v>1</v>
      </c>
      <c r="D290" s="716"/>
      <c r="E290" s="707">
        <f t="shared" si="54"/>
        <v>1</v>
      </c>
      <c r="F290" s="716"/>
      <c r="G290" s="707">
        <f t="shared" si="55"/>
        <v>1</v>
      </c>
      <c r="H290" s="716"/>
      <c r="I290" s="707">
        <f t="shared" si="56"/>
        <v>1</v>
      </c>
      <c r="J290" s="716"/>
      <c r="K290" s="707">
        <f t="shared" si="57"/>
        <v>1</v>
      </c>
      <c r="L290" s="716"/>
      <c r="M290" s="707">
        <f t="shared" si="58"/>
        <v>1</v>
      </c>
      <c r="N290" s="716"/>
      <c r="O290" s="707">
        <f t="shared" si="59"/>
        <v>1</v>
      </c>
      <c r="P290" s="716"/>
      <c r="Q290" s="707">
        <f t="shared" si="60"/>
        <v>1</v>
      </c>
      <c r="R290" s="768">
        <f t="shared" si="61"/>
        <v>0</v>
      </c>
      <c r="S290" s="706">
        <f t="shared" si="62"/>
        <v>0</v>
      </c>
    </row>
    <row r="291" spans="1:19">
      <c r="A291" s="714"/>
      <c r="B291" s="715"/>
      <c r="C291" s="707">
        <f t="shared" si="53"/>
        <v>1</v>
      </c>
      <c r="D291" s="716"/>
      <c r="E291" s="707">
        <f t="shared" si="54"/>
        <v>1</v>
      </c>
      <c r="F291" s="716"/>
      <c r="G291" s="707">
        <f t="shared" si="55"/>
        <v>1</v>
      </c>
      <c r="H291" s="716"/>
      <c r="I291" s="707">
        <f t="shared" si="56"/>
        <v>1</v>
      </c>
      <c r="J291" s="716"/>
      <c r="K291" s="707">
        <f t="shared" si="57"/>
        <v>1</v>
      </c>
      <c r="L291" s="716"/>
      <c r="M291" s="707">
        <f t="shared" si="58"/>
        <v>1</v>
      </c>
      <c r="N291" s="716"/>
      <c r="O291" s="707">
        <f t="shared" si="59"/>
        <v>1</v>
      </c>
      <c r="P291" s="716"/>
      <c r="Q291" s="707">
        <f t="shared" si="60"/>
        <v>1</v>
      </c>
      <c r="R291" s="768">
        <f t="shared" si="61"/>
        <v>0</v>
      </c>
      <c r="S291" s="706">
        <f t="shared" si="62"/>
        <v>0</v>
      </c>
    </row>
    <row r="292" spans="1:19">
      <c r="A292" s="714"/>
      <c r="B292" s="715"/>
      <c r="C292" s="707">
        <f t="shared" si="53"/>
        <v>1</v>
      </c>
      <c r="D292" s="716"/>
      <c r="E292" s="707">
        <f t="shared" si="54"/>
        <v>1</v>
      </c>
      <c r="F292" s="716"/>
      <c r="G292" s="707">
        <f t="shared" si="55"/>
        <v>1</v>
      </c>
      <c r="H292" s="716"/>
      <c r="I292" s="707">
        <f t="shared" si="56"/>
        <v>1</v>
      </c>
      <c r="J292" s="716"/>
      <c r="K292" s="707">
        <f t="shared" si="57"/>
        <v>1</v>
      </c>
      <c r="L292" s="716"/>
      <c r="M292" s="707">
        <f t="shared" si="58"/>
        <v>1</v>
      </c>
      <c r="N292" s="716"/>
      <c r="O292" s="707">
        <f t="shared" si="59"/>
        <v>1</v>
      </c>
      <c r="P292" s="716"/>
      <c r="Q292" s="707">
        <f t="shared" si="60"/>
        <v>1</v>
      </c>
      <c r="R292" s="768">
        <f t="shared" si="61"/>
        <v>0</v>
      </c>
      <c r="S292" s="706">
        <f t="shared" si="62"/>
        <v>0</v>
      </c>
    </row>
    <row r="293" spans="1:19">
      <c r="A293" s="714"/>
      <c r="B293" s="715"/>
      <c r="C293" s="707">
        <f t="shared" si="53"/>
        <v>1</v>
      </c>
      <c r="D293" s="716"/>
      <c r="E293" s="707">
        <f t="shared" si="54"/>
        <v>1</v>
      </c>
      <c r="F293" s="716"/>
      <c r="G293" s="707">
        <f t="shared" si="55"/>
        <v>1</v>
      </c>
      <c r="H293" s="716"/>
      <c r="I293" s="707">
        <f t="shared" si="56"/>
        <v>1</v>
      </c>
      <c r="J293" s="716"/>
      <c r="K293" s="707">
        <f t="shared" si="57"/>
        <v>1</v>
      </c>
      <c r="L293" s="716"/>
      <c r="M293" s="707">
        <f t="shared" si="58"/>
        <v>1</v>
      </c>
      <c r="N293" s="716"/>
      <c r="O293" s="707">
        <f t="shared" si="59"/>
        <v>1</v>
      </c>
      <c r="P293" s="716"/>
      <c r="Q293" s="707">
        <f t="shared" si="60"/>
        <v>1</v>
      </c>
      <c r="R293" s="768">
        <f t="shared" si="61"/>
        <v>0</v>
      </c>
      <c r="S293" s="706">
        <f t="shared" si="62"/>
        <v>0</v>
      </c>
    </row>
    <row r="294" spans="1:19">
      <c r="A294" s="714"/>
      <c r="B294" s="715"/>
      <c r="C294" s="707">
        <f t="shared" si="53"/>
        <v>1</v>
      </c>
      <c r="D294" s="716"/>
      <c r="E294" s="707">
        <f t="shared" si="54"/>
        <v>1</v>
      </c>
      <c r="F294" s="716"/>
      <c r="G294" s="707">
        <f t="shared" si="55"/>
        <v>1</v>
      </c>
      <c r="H294" s="716"/>
      <c r="I294" s="707">
        <f t="shared" si="56"/>
        <v>1</v>
      </c>
      <c r="J294" s="716"/>
      <c r="K294" s="707">
        <f t="shared" si="57"/>
        <v>1</v>
      </c>
      <c r="L294" s="716"/>
      <c r="M294" s="707">
        <f t="shared" si="58"/>
        <v>1</v>
      </c>
      <c r="N294" s="716"/>
      <c r="O294" s="707">
        <f t="shared" si="59"/>
        <v>1</v>
      </c>
      <c r="P294" s="716"/>
      <c r="Q294" s="707">
        <f t="shared" si="60"/>
        <v>1</v>
      </c>
      <c r="R294" s="768">
        <f t="shared" si="61"/>
        <v>0</v>
      </c>
      <c r="S294" s="706">
        <f t="shared" si="62"/>
        <v>0</v>
      </c>
    </row>
    <row r="295" spans="1:19">
      <c r="A295" s="714"/>
      <c r="B295" s="715"/>
      <c r="C295" s="707">
        <f t="shared" si="53"/>
        <v>1</v>
      </c>
      <c r="D295" s="716"/>
      <c r="E295" s="707">
        <f t="shared" si="54"/>
        <v>1</v>
      </c>
      <c r="F295" s="716"/>
      <c r="G295" s="707">
        <f t="shared" si="55"/>
        <v>1</v>
      </c>
      <c r="H295" s="716"/>
      <c r="I295" s="707">
        <f t="shared" si="56"/>
        <v>1</v>
      </c>
      <c r="J295" s="716"/>
      <c r="K295" s="707">
        <f t="shared" si="57"/>
        <v>1</v>
      </c>
      <c r="L295" s="716"/>
      <c r="M295" s="707">
        <f t="shared" si="58"/>
        <v>1</v>
      </c>
      <c r="N295" s="716"/>
      <c r="O295" s="707">
        <f t="shared" si="59"/>
        <v>1</v>
      </c>
      <c r="P295" s="716"/>
      <c r="Q295" s="707">
        <f t="shared" si="60"/>
        <v>1</v>
      </c>
      <c r="R295" s="768">
        <f t="shared" si="61"/>
        <v>0</v>
      </c>
      <c r="S295" s="706">
        <f t="shared" si="62"/>
        <v>0</v>
      </c>
    </row>
    <row r="296" spans="1:19">
      <c r="A296" s="714"/>
      <c r="B296" s="715"/>
      <c r="C296" s="707">
        <f t="shared" si="53"/>
        <v>1</v>
      </c>
      <c r="D296" s="716"/>
      <c r="E296" s="707">
        <f t="shared" si="54"/>
        <v>1</v>
      </c>
      <c r="F296" s="716"/>
      <c r="G296" s="707">
        <f t="shared" si="55"/>
        <v>1</v>
      </c>
      <c r="H296" s="716"/>
      <c r="I296" s="707">
        <f t="shared" si="56"/>
        <v>1</v>
      </c>
      <c r="J296" s="716"/>
      <c r="K296" s="707">
        <f t="shared" si="57"/>
        <v>1</v>
      </c>
      <c r="L296" s="716"/>
      <c r="M296" s="707">
        <f t="shared" si="58"/>
        <v>1</v>
      </c>
      <c r="N296" s="716"/>
      <c r="O296" s="707">
        <f t="shared" si="59"/>
        <v>1</v>
      </c>
      <c r="P296" s="716"/>
      <c r="Q296" s="707">
        <f t="shared" si="60"/>
        <v>1</v>
      </c>
      <c r="R296" s="768">
        <f t="shared" si="61"/>
        <v>0</v>
      </c>
      <c r="S296" s="706">
        <f t="shared" si="62"/>
        <v>0</v>
      </c>
    </row>
    <row r="297" spans="1:19">
      <c r="A297" s="714"/>
      <c r="B297" s="715"/>
      <c r="C297" s="707">
        <f t="shared" si="53"/>
        <v>1</v>
      </c>
      <c r="D297" s="716"/>
      <c r="E297" s="707">
        <f t="shared" si="54"/>
        <v>1</v>
      </c>
      <c r="F297" s="716"/>
      <c r="G297" s="707">
        <f t="shared" si="55"/>
        <v>1</v>
      </c>
      <c r="H297" s="716"/>
      <c r="I297" s="707">
        <f t="shared" si="56"/>
        <v>1</v>
      </c>
      <c r="J297" s="716"/>
      <c r="K297" s="707">
        <f t="shared" si="57"/>
        <v>1</v>
      </c>
      <c r="L297" s="716"/>
      <c r="M297" s="707">
        <f t="shared" si="58"/>
        <v>1</v>
      </c>
      <c r="N297" s="716"/>
      <c r="O297" s="707">
        <f t="shared" si="59"/>
        <v>1</v>
      </c>
      <c r="P297" s="716"/>
      <c r="Q297" s="707">
        <f t="shared" si="60"/>
        <v>1</v>
      </c>
      <c r="R297" s="768">
        <f t="shared" si="61"/>
        <v>0</v>
      </c>
      <c r="S297" s="706">
        <f t="shared" si="62"/>
        <v>0</v>
      </c>
    </row>
    <row r="298" spans="1:19">
      <c r="A298" s="714"/>
      <c r="B298" s="715"/>
      <c r="C298" s="707">
        <f t="shared" si="53"/>
        <v>1</v>
      </c>
      <c r="D298" s="716"/>
      <c r="E298" s="707">
        <f t="shared" si="54"/>
        <v>1</v>
      </c>
      <c r="F298" s="716"/>
      <c r="G298" s="707">
        <f t="shared" si="55"/>
        <v>1</v>
      </c>
      <c r="H298" s="716"/>
      <c r="I298" s="707">
        <f t="shared" si="56"/>
        <v>1</v>
      </c>
      <c r="J298" s="716"/>
      <c r="K298" s="707">
        <f t="shared" si="57"/>
        <v>1</v>
      </c>
      <c r="L298" s="716"/>
      <c r="M298" s="707">
        <f t="shared" si="58"/>
        <v>1</v>
      </c>
      <c r="N298" s="716"/>
      <c r="O298" s="707">
        <f t="shared" si="59"/>
        <v>1</v>
      </c>
      <c r="P298" s="716"/>
      <c r="Q298" s="707">
        <f t="shared" si="60"/>
        <v>1</v>
      </c>
      <c r="R298" s="768">
        <f t="shared" si="61"/>
        <v>0</v>
      </c>
      <c r="S298" s="706">
        <f t="shared" si="62"/>
        <v>0</v>
      </c>
    </row>
    <row r="299" spans="1:19">
      <c r="A299" s="714"/>
      <c r="B299" s="715"/>
      <c r="C299" s="707">
        <f t="shared" si="53"/>
        <v>1</v>
      </c>
      <c r="D299" s="716"/>
      <c r="E299" s="707">
        <f t="shared" si="54"/>
        <v>1</v>
      </c>
      <c r="F299" s="716"/>
      <c r="G299" s="707">
        <f t="shared" si="55"/>
        <v>1</v>
      </c>
      <c r="H299" s="716"/>
      <c r="I299" s="707">
        <f t="shared" si="56"/>
        <v>1</v>
      </c>
      <c r="J299" s="716"/>
      <c r="K299" s="707">
        <f t="shared" si="57"/>
        <v>1</v>
      </c>
      <c r="L299" s="716"/>
      <c r="M299" s="707">
        <f t="shared" si="58"/>
        <v>1</v>
      </c>
      <c r="N299" s="716"/>
      <c r="O299" s="707">
        <f t="shared" si="59"/>
        <v>1</v>
      </c>
      <c r="P299" s="716"/>
      <c r="Q299" s="707">
        <f t="shared" si="60"/>
        <v>1</v>
      </c>
      <c r="R299" s="768">
        <f t="shared" si="61"/>
        <v>0</v>
      </c>
      <c r="S299" s="706">
        <f t="shared" si="62"/>
        <v>0</v>
      </c>
    </row>
    <row r="300" spans="1:19">
      <c r="A300" s="714"/>
      <c r="B300" s="715"/>
      <c r="C300" s="707">
        <f t="shared" si="53"/>
        <v>1</v>
      </c>
      <c r="D300" s="716"/>
      <c r="E300" s="707">
        <f t="shared" si="54"/>
        <v>1</v>
      </c>
      <c r="F300" s="716"/>
      <c r="G300" s="707">
        <f t="shared" si="55"/>
        <v>1</v>
      </c>
      <c r="H300" s="716"/>
      <c r="I300" s="707">
        <f t="shared" si="56"/>
        <v>1</v>
      </c>
      <c r="J300" s="716"/>
      <c r="K300" s="707">
        <f t="shared" si="57"/>
        <v>1</v>
      </c>
      <c r="L300" s="716"/>
      <c r="M300" s="707">
        <f t="shared" si="58"/>
        <v>1</v>
      </c>
      <c r="N300" s="716"/>
      <c r="O300" s="707">
        <f t="shared" si="59"/>
        <v>1</v>
      </c>
      <c r="P300" s="716"/>
      <c r="Q300" s="707">
        <f t="shared" si="60"/>
        <v>1</v>
      </c>
      <c r="R300" s="768">
        <f t="shared" si="61"/>
        <v>0</v>
      </c>
      <c r="S300" s="706">
        <f t="shared" si="62"/>
        <v>0</v>
      </c>
    </row>
    <row r="301" spans="1:19">
      <c r="A301" s="714"/>
      <c r="B301" s="715"/>
      <c r="C301" s="707">
        <f t="shared" si="53"/>
        <v>1</v>
      </c>
      <c r="D301" s="716"/>
      <c r="E301" s="707">
        <f t="shared" si="54"/>
        <v>1</v>
      </c>
      <c r="F301" s="716"/>
      <c r="G301" s="707">
        <f t="shared" si="55"/>
        <v>1</v>
      </c>
      <c r="H301" s="716"/>
      <c r="I301" s="707">
        <f t="shared" si="56"/>
        <v>1</v>
      </c>
      <c r="J301" s="716"/>
      <c r="K301" s="707">
        <f t="shared" si="57"/>
        <v>1</v>
      </c>
      <c r="L301" s="716"/>
      <c r="M301" s="707">
        <f t="shared" si="58"/>
        <v>1</v>
      </c>
      <c r="N301" s="716"/>
      <c r="O301" s="707">
        <f t="shared" si="59"/>
        <v>1</v>
      </c>
      <c r="P301" s="716"/>
      <c r="Q301" s="707">
        <f t="shared" si="60"/>
        <v>1</v>
      </c>
      <c r="R301" s="768">
        <f t="shared" si="61"/>
        <v>0</v>
      </c>
      <c r="S301" s="706">
        <f t="shared" si="62"/>
        <v>0</v>
      </c>
    </row>
    <row r="302" spans="1:19">
      <c r="A302" s="714"/>
      <c r="B302" s="715"/>
      <c r="C302" s="707">
        <f t="shared" si="53"/>
        <v>1</v>
      </c>
      <c r="D302" s="716"/>
      <c r="E302" s="707">
        <f t="shared" si="54"/>
        <v>1</v>
      </c>
      <c r="F302" s="716"/>
      <c r="G302" s="707">
        <f t="shared" si="55"/>
        <v>1</v>
      </c>
      <c r="H302" s="716"/>
      <c r="I302" s="707">
        <f t="shared" si="56"/>
        <v>1</v>
      </c>
      <c r="J302" s="716"/>
      <c r="K302" s="707">
        <f t="shared" si="57"/>
        <v>1</v>
      </c>
      <c r="L302" s="716"/>
      <c r="M302" s="707">
        <f t="shared" si="58"/>
        <v>1</v>
      </c>
      <c r="N302" s="716"/>
      <c r="O302" s="707">
        <f t="shared" si="59"/>
        <v>1</v>
      </c>
      <c r="P302" s="716"/>
      <c r="Q302" s="707">
        <f t="shared" si="60"/>
        <v>1</v>
      </c>
      <c r="R302" s="768">
        <f t="shared" si="61"/>
        <v>0</v>
      </c>
      <c r="S302" s="706">
        <f t="shared" si="62"/>
        <v>0</v>
      </c>
    </row>
    <row r="303" spans="1:19">
      <c r="A303" s="714"/>
      <c r="B303" s="715"/>
      <c r="C303" s="707">
        <f t="shared" si="53"/>
        <v>1</v>
      </c>
      <c r="D303" s="716"/>
      <c r="E303" s="707">
        <f t="shared" si="54"/>
        <v>1</v>
      </c>
      <c r="F303" s="716"/>
      <c r="G303" s="707">
        <f t="shared" si="55"/>
        <v>1</v>
      </c>
      <c r="H303" s="716"/>
      <c r="I303" s="707">
        <f t="shared" si="56"/>
        <v>1</v>
      </c>
      <c r="J303" s="716"/>
      <c r="K303" s="707">
        <f t="shared" si="57"/>
        <v>1</v>
      </c>
      <c r="L303" s="716"/>
      <c r="M303" s="707">
        <f t="shared" si="58"/>
        <v>1</v>
      </c>
      <c r="N303" s="716"/>
      <c r="O303" s="707">
        <f t="shared" si="59"/>
        <v>1</v>
      </c>
      <c r="P303" s="716"/>
      <c r="Q303" s="707">
        <f t="shared" si="60"/>
        <v>1</v>
      </c>
      <c r="R303" s="768">
        <f t="shared" si="61"/>
        <v>0</v>
      </c>
      <c r="S303" s="706">
        <f t="shared" si="62"/>
        <v>0</v>
      </c>
    </row>
    <row r="304" spans="1:19">
      <c r="A304" s="714"/>
      <c r="B304" s="715"/>
      <c r="C304" s="707">
        <f t="shared" si="53"/>
        <v>1</v>
      </c>
      <c r="D304" s="716"/>
      <c r="E304" s="707">
        <f t="shared" si="54"/>
        <v>1</v>
      </c>
      <c r="F304" s="716"/>
      <c r="G304" s="707">
        <f t="shared" si="55"/>
        <v>1</v>
      </c>
      <c r="H304" s="716"/>
      <c r="I304" s="707">
        <f t="shared" si="56"/>
        <v>1</v>
      </c>
      <c r="J304" s="716"/>
      <c r="K304" s="707">
        <f t="shared" si="57"/>
        <v>1</v>
      </c>
      <c r="L304" s="716"/>
      <c r="M304" s="707">
        <f t="shared" si="58"/>
        <v>1</v>
      </c>
      <c r="N304" s="716"/>
      <c r="O304" s="707">
        <f t="shared" si="59"/>
        <v>1</v>
      </c>
      <c r="P304" s="716"/>
      <c r="Q304" s="707">
        <f t="shared" si="60"/>
        <v>1</v>
      </c>
      <c r="R304" s="768">
        <f t="shared" si="61"/>
        <v>0</v>
      </c>
      <c r="S304" s="706">
        <f t="shared" si="62"/>
        <v>0</v>
      </c>
    </row>
    <row r="305" spans="1:19">
      <c r="A305" s="714"/>
      <c r="B305" s="715"/>
      <c r="C305" s="707">
        <f t="shared" si="53"/>
        <v>1</v>
      </c>
      <c r="D305" s="716"/>
      <c r="E305" s="707">
        <f t="shared" si="54"/>
        <v>1</v>
      </c>
      <c r="F305" s="716"/>
      <c r="G305" s="707">
        <f t="shared" si="55"/>
        <v>1</v>
      </c>
      <c r="H305" s="716"/>
      <c r="I305" s="707">
        <f t="shared" si="56"/>
        <v>1</v>
      </c>
      <c r="J305" s="716"/>
      <c r="K305" s="707">
        <f t="shared" si="57"/>
        <v>1</v>
      </c>
      <c r="L305" s="716"/>
      <c r="M305" s="707">
        <f t="shared" si="58"/>
        <v>1</v>
      </c>
      <c r="N305" s="716"/>
      <c r="O305" s="707">
        <f t="shared" si="59"/>
        <v>1</v>
      </c>
      <c r="P305" s="716"/>
      <c r="Q305" s="707">
        <f t="shared" si="60"/>
        <v>1</v>
      </c>
      <c r="R305" s="768">
        <f t="shared" si="61"/>
        <v>0</v>
      </c>
      <c r="S305" s="706">
        <f t="shared" si="62"/>
        <v>0</v>
      </c>
    </row>
    <row r="306" spans="1:19">
      <c r="A306" s="714"/>
      <c r="B306" s="715"/>
      <c r="C306" s="707">
        <f t="shared" si="53"/>
        <v>1</v>
      </c>
      <c r="D306" s="716"/>
      <c r="E306" s="707">
        <f t="shared" si="54"/>
        <v>1</v>
      </c>
      <c r="F306" s="716"/>
      <c r="G306" s="707">
        <f t="shared" si="55"/>
        <v>1</v>
      </c>
      <c r="H306" s="716"/>
      <c r="I306" s="707">
        <f t="shared" si="56"/>
        <v>1</v>
      </c>
      <c r="J306" s="716"/>
      <c r="K306" s="707">
        <f t="shared" si="57"/>
        <v>1</v>
      </c>
      <c r="L306" s="716"/>
      <c r="M306" s="707">
        <f t="shared" si="58"/>
        <v>1</v>
      </c>
      <c r="N306" s="716"/>
      <c r="O306" s="707">
        <f t="shared" si="59"/>
        <v>1</v>
      </c>
      <c r="P306" s="716"/>
      <c r="Q306" s="707">
        <f t="shared" si="60"/>
        <v>1</v>
      </c>
      <c r="R306" s="768">
        <f t="shared" si="61"/>
        <v>0</v>
      </c>
      <c r="S306" s="706">
        <f t="shared" si="62"/>
        <v>0</v>
      </c>
    </row>
    <row r="307" spans="1:19">
      <c r="A307" s="714"/>
      <c r="B307" s="715"/>
      <c r="C307" s="707">
        <f t="shared" si="53"/>
        <v>1</v>
      </c>
      <c r="D307" s="716"/>
      <c r="E307" s="707">
        <f t="shared" si="54"/>
        <v>1</v>
      </c>
      <c r="F307" s="716"/>
      <c r="G307" s="707">
        <f t="shared" si="55"/>
        <v>1</v>
      </c>
      <c r="H307" s="716"/>
      <c r="I307" s="707">
        <f t="shared" si="56"/>
        <v>1</v>
      </c>
      <c r="J307" s="716"/>
      <c r="K307" s="707">
        <f t="shared" si="57"/>
        <v>1</v>
      </c>
      <c r="L307" s="716"/>
      <c r="M307" s="707">
        <f t="shared" si="58"/>
        <v>1</v>
      </c>
      <c r="N307" s="716"/>
      <c r="O307" s="707">
        <f t="shared" si="59"/>
        <v>1</v>
      </c>
      <c r="P307" s="716"/>
      <c r="Q307" s="707">
        <f t="shared" si="60"/>
        <v>1</v>
      </c>
      <c r="R307" s="768">
        <f t="shared" si="61"/>
        <v>0</v>
      </c>
      <c r="S307" s="706">
        <f t="shared" si="62"/>
        <v>0</v>
      </c>
    </row>
    <row r="308" spans="1:19">
      <c r="A308" s="714"/>
      <c r="B308" s="715"/>
      <c r="C308" s="707">
        <f t="shared" si="53"/>
        <v>1</v>
      </c>
      <c r="D308" s="716"/>
      <c r="E308" s="707">
        <f t="shared" si="54"/>
        <v>1</v>
      </c>
      <c r="F308" s="716"/>
      <c r="G308" s="707">
        <f t="shared" si="55"/>
        <v>1</v>
      </c>
      <c r="H308" s="716"/>
      <c r="I308" s="707">
        <f t="shared" si="56"/>
        <v>1</v>
      </c>
      <c r="J308" s="716"/>
      <c r="K308" s="707">
        <f t="shared" si="57"/>
        <v>1</v>
      </c>
      <c r="L308" s="716"/>
      <c r="M308" s="707">
        <f t="shared" si="58"/>
        <v>1</v>
      </c>
      <c r="N308" s="716"/>
      <c r="O308" s="707">
        <f t="shared" si="59"/>
        <v>1</v>
      </c>
      <c r="P308" s="716"/>
      <c r="Q308" s="707">
        <f t="shared" si="60"/>
        <v>1</v>
      </c>
      <c r="R308" s="768">
        <f t="shared" si="61"/>
        <v>0</v>
      </c>
      <c r="S308" s="706">
        <f t="shared" si="62"/>
        <v>0</v>
      </c>
    </row>
    <row r="309" spans="1:19">
      <c r="A309" s="714"/>
      <c r="B309" s="715"/>
      <c r="C309" s="707">
        <f t="shared" si="53"/>
        <v>1</v>
      </c>
      <c r="D309" s="716"/>
      <c r="E309" s="707">
        <f t="shared" si="54"/>
        <v>1</v>
      </c>
      <c r="F309" s="716"/>
      <c r="G309" s="707">
        <f t="shared" si="55"/>
        <v>1</v>
      </c>
      <c r="H309" s="716"/>
      <c r="I309" s="707">
        <f t="shared" si="56"/>
        <v>1</v>
      </c>
      <c r="J309" s="716"/>
      <c r="K309" s="707">
        <f t="shared" si="57"/>
        <v>1</v>
      </c>
      <c r="L309" s="716"/>
      <c r="M309" s="707">
        <f t="shared" si="58"/>
        <v>1</v>
      </c>
      <c r="N309" s="716"/>
      <c r="O309" s="707">
        <f t="shared" si="59"/>
        <v>1</v>
      </c>
      <c r="P309" s="716"/>
      <c r="Q309" s="707">
        <f t="shared" si="60"/>
        <v>1</v>
      </c>
      <c r="R309" s="768">
        <f t="shared" si="61"/>
        <v>0</v>
      </c>
      <c r="S309" s="706">
        <f t="shared" si="62"/>
        <v>0</v>
      </c>
    </row>
    <row r="310" spans="1:19">
      <c r="A310" s="714"/>
      <c r="B310" s="715"/>
      <c r="C310" s="707">
        <f t="shared" si="53"/>
        <v>1</v>
      </c>
      <c r="D310" s="716"/>
      <c r="E310" s="707">
        <f t="shared" si="54"/>
        <v>1</v>
      </c>
      <c r="F310" s="716"/>
      <c r="G310" s="707">
        <f t="shared" si="55"/>
        <v>1</v>
      </c>
      <c r="H310" s="716"/>
      <c r="I310" s="707">
        <f t="shared" si="56"/>
        <v>1</v>
      </c>
      <c r="J310" s="716"/>
      <c r="K310" s="707">
        <f t="shared" si="57"/>
        <v>1</v>
      </c>
      <c r="L310" s="716"/>
      <c r="M310" s="707">
        <f t="shared" si="58"/>
        <v>1</v>
      </c>
      <c r="N310" s="716"/>
      <c r="O310" s="707">
        <f t="shared" si="59"/>
        <v>1</v>
      </c>
      <c r="P310" s="716"/>
      <c r="Q310" s="707">
        <f t="shared" si="60"/>
        <v>1</v>
      </c>
      <c r="R310" s="768">
        <f t="shared" si="61"/>
        <v>0</v>
      </c>
      <c r="S310" s="706">
        <f t="shared" si="62"/>
        <v>0</v>
      </c>
    </row>
    <row r="311" spans="1:19">
      <c r="A311" s="714"/>
      <c r="B311" s="715"/>
      <c r="C311" s="707">
        <f t="shared" si="53"/>
        <v>1</v>
      </c>
      <c r="D311" s="716"/>
      <c r="E311" s="707">
        <f t="shared" si="54"/>
        <v>1</v>
      </c>
      <c r="F311" s="716"/>
      <c r="G311" s="707">
        <f t="shared" si="55"/>
        <v>1</v>
      </c>
      <c r="H311" s="716"/>
      <c r="I311" s="707">
        <f t="shared" si="56"/>
        <v>1</v>
      </c>
      <c r="J311" s="716"/>
      <c r="K311" s="707">
        <f t="shared" si="57"/>
        <v>1</v>
      </c>
      <c r="L311" s="716"/>
      <c r="M311" s="707">
        <f t="shared" si="58"/>
        <v>1</v>
      </c>
      <c r="N311" s="716"/>
      <c r="O311" s="707">
        <f t="shared" si="59"/>
        <v>1</v>
      </c>
      <c r="P311" s="716"/>
      <c r="Q311" s="707">
        <f t="shared" si="60"/>
        <v>1</v>
      </c>
      <c r="R311" s="768">
        <f t="shared" si="61"/>
        <v>0</v>
      </c>
      <c r="S311" s="706">
        <f t="shared" si="62"/>
        <v>0</v>
      </c>
    </row>
    <row r="312" spans="1:19">
      <c r="A312" s="714"/>
      <c r="B312" s="715"/>
      <c r="C312" s="707">
        <f t="shared" si="53"/>
        <v>1</v>
      </c>
      <c r="D312" s="716"/>
      <c r="E312" s="707">
        <f t="shared" si="54"/>
        <v>1</v>
      </c>
      <c r="F312" s="716"/>
      <c r="G312" s="707">
        <f t="shared" si="55"/>
        <v>1</v>
      </c>
      <c r="H312" s="716"/>
      <c r="I312" s="707">
        <f t="shared" si="56"/>
        <v>1</v>
      </c>
      <c r="J312" s="716"/>
      <c r="K312" s="707">
        <f t="shared" si="57"/>
        <v>1</v>
      </c>
      <c r="L312" s="716"/>
      <c r="M312" s="707">
        <f t="shared" si="58"/>
        <v>1</v>
      </c>
      <c r="N312" s="716"/>
      <c r="O312" s="707">
        <f t="shared" si="59"/>
        <v>1</v>
      </c>
      <c r="P312" s="716"/>
      <c r="Q312" s="707">
        <f t="shared" si="60"/>
        <v>1</v>
      </c>
      <c r="R312" s="768">
        <f t="shared" si="61"/>
        <v>0</v>
      </c>
      <c r="S312" s="706">
        <f t="shared" si="62"/>
        <v>0</v>
      </c>
    </row>
    <row r="313" spans="1:19">
      <c r="A313" s="714"/>
      <c r="B313" s="715"/>
      <c r="C313" s="707">
        <f t="shared" si="53"/>
        <v>1</v>
      </c>
      <c r="D313" s="716"/>
      <c r="E313" s="707">
        <f t="shared" si="54"/>
        <v>1</v>
      </c>
      <c r="F313" s="716"/>
      <c r="G313" s="707">
        <f t="shared" si="55"/>
        <v>1</v>
      </c>
      <c r="H313" s="716"/>
      <c r="I313" s="707">
        <f t="shared" si="56"/>
        <v>1</v>
      </c>
      <c r="J313" s="716"/>
      <c r="K313" s="707">
        <f t="shared" si="57"/>
        <v>1</v>
      </c>
      <c r="L313" s="716"/>
      <c r="M313" s="707">
        <f t="shared" si="58"/>
        <v>1</v>
      </c>
      <c r="N313" s="716"/>
      <c r="O313" s="707">
        <f t="shared" si="59"/>
        <v>1</v>
      </c>
      <c r="P313" s="716"/>
      <c r="Q313" s="707">
        <f t="shared" si="60"/>
        <v>1</v>
      </c>
      <c r="R313" s="768">
        <f t="shared" si="61"/>
        <v>0</v>
      </c>
      <c r="S313" s="706">
        <f t="shared" si="62"/>
        <v>0</v>
      </c>
    </row>
    <row r="314" spans="1:19">
      <c r="A314" s="714"/>
      <c r="B314" s="715"/>
      <c r="C314" s="707">
        <f t="shared" si="53"/>
        <v>1</v>
      </c>
      <c r="D314" s="716"/>
      <c r="E314" s="707">
        <f t="shared" si="54"/>
        <v>1</v>
      </c>
      <c r="F314" s="716"/>
      <c r="G314" s="707">
        <f t="shared" si="55"/>
        <v>1</v>
      </c>
      <c r="H314" s="716"/>
      <c r="I314" s="707">
        <f t="shared" si="56"/>
        <v>1</v>
      </c>
      <c r="J314" s="716"/>
      <c r="K314" s="707">
        <f t="shared" si="57"/>
        <v>1</v>
      </c>
      <c r="L314" s="716"/>
      <c r="M314" s="707">
        <f t="shared" si="58"/>
        <v>1</v>
      </c>
      <c r="N314" s="716"/>
      <c r="O314" s="707">
        <f t="shared" si="59"/>
        <v>1</v>
      </c>
      <c r="P314" s="716"/>
      <c r="Q314" s="707">
        <f t="shared" si="60"/>
        <v>1</v>
      </c>
      <c r="R314" s="768">
        <f t="shared" si="61"/>
        <v>0</v>
      </c>
      <c r="S314" s="706">
        <f t="shared" si="62"/>
        <v>0</v>
      </c>
    </row>
    <row r="315" spans="1:19">
      <c r="A315" s="714"/>
      <c r="B315" s="715"/>
      <c r="C315" s="707">
        <f t="shared" si="53"/>
        <v>1</v>
      </c>
      <c r="D315" s="716"/>
      <c r="E315" s="707">
        <f t="shared" si="54"/>
        <v>1</v>
      </c>
      <c r="F315" s="716"/>
      <c r="G315" s="707">
        <f t="shared" si="55"/>
        <v>1</v>
      </c>
      <c r="H315" s="716"/>
      <c r="I315" s="707">
        <f t="shared" si="56"/>
        <v>1</v>
      </c>
      <c r="J315" s="716"/>
      <c r="K315" s="707">
        <f t="shared" si="57"/>
        <v>1</v>
      </c>
      <c r="L315" s="716"/>
      <c r="M315" s="707">
        <f t="shared" si="58"/>
        <v>1</v>
      </c>
      <c r="N315" s="716"/>
      <c r="O315" s="707">
        <f t="shared" si="59"/>
        <v>1</v>
      </c>
      <c r="P315" s="716"/>
      <c r="Q315" s="707">
        <f t="shared" si="60"/>
        <v>1</v>
      </c>
      <c r="R315" s="768">
        <f t="shared" si="61"/>
        <v>0</v>
      </c>
      <c r="S315" s="706">
        <f t="shared" si="62"/>
        <v>0</v>
      </c>
    </row>
    <row r="316" spans="1:19">
      <c r="A316" s="714"/>
      <c r="B316" s="715"/>
      <c r="C316" s="707">
        <f t="shared" si="53"/>
        <v>1</v>
      </c>
      <c r="D316" s="716"/>
      <c r="E316" s="707">
        <f t="shared" si="54"/>
        <v>1</v>
      </c>
      <c r="F316" s="716"/>
      <c r="G316" s="707">
        <f t="shared" si="55"/>
        <v>1</v>
      </c>
      <c r="H316" s="716"/>
      <c r="I316" s="707">
        <f t="shared" si="56"/>
        <v>1</v>
      </c>
      <c r="J316" s="716"/>
      <c r="K316" s="707">
        <f t="shared" si="57"/>
        <v>1</v>
      </c>
      <c r="L316" s="716"/>
      <c r="M316" s="707">
        <f t="shared" si="58"/>
        <v>1</v>
      </c>
      <c r="N316" s="716"/>
      <c r="O316" s="707">
        <f t="shared" si="59"/>
        <v>1</v>
      </c>
      <c r="P316" s="716"/>
      <c r="Q316" s="707">
        <f t="shared" si="60"/>
        <v>1</v>
      </c>
      <c r="R316" s="768">
        <f t="shared" si="61"/>
        <v>0</v>
      </c>
      <c r="S316" s="706">
        <f t="shared" si="62"/>
        <v>0</v>
      </c>
    </row>
    <row r="317" spans="1:19">
      <c r="A317" s="714"/>
      <c r="B317" s="715"/>
      <c r="C317" s="707">
        <f t="shared" si="53"/>
        <v>1</v>
      </c>
      <c r="D317" s="716"/>
      <c r="E317" s="707">
        <f t="shared" si="54"/>
        <v>1</v>
      </c>
      <c r="F317" s="716"/>
      <c r="G317" s="707">
        <f t="shared" si="55"/>
        <v>1</v>
      </c>
      <c r="H317" s="716"/>
      <c r="I317" s="707">
        <f t="shared" si="56"/>
        <v>1</v>
      </c>
      <c r="J317" s="716"/>
      <c r="K317" s="707">
        <f t="shared" si="57"/>
        <v>1</v>
      </c>
      <c r="L317" s="716"/>
      <c r="M317" s="707">
        <f t="shared" si="58"/>
        <v>1</v>
      </c>
      <c r="N317" s="716"/>
      <c r="O317" s="707">
        <f t="shared" si="59"/>
        <v>1</v>
      </c>
      <c r="P317" s="716"/>
      <c r="Q317" s="707">
        <f t="shared" si="60"/>
        <v>1</v>
      </c>
      <c r="R317" s="768">
        <f t="shared" si="61"/>
        <v>0</v>
      </c>
      <c r="S317" s="706">
        <f t="shared" si="62"/>
        <v>0</v>
      </c>
    </row>
    <row r="318" spans="1:19">
      <c r="A318" s="714"/>
      <c r="B318" s="715"/>
      <c r="C318" s="707">
        <f t="shared" si="53"/>
        <v>1</v>
      </c>
      <c r="D318" s="716"/>
      <c r="E318" s="707">
        <f t="shared" si="54"/>
        <v>1</v>
      </c>
      <c r="F318" s="716"/>
      <c r="G318" s="707">
        <f t="shared" si="55"/>
        <v>1</v>
      </c>
      <c r="H318" s="716"/>
      <c r="I318" s="707">
        <f t="shared" si="56"/>
        <v>1</v>
      </c>
      <c r="J318" s="716"/>
      <c r="K318" s="707">
        <f t="shared" si="57"/>
        <v>1</v>
      </c>
      <c r="L318" s="716"/>
      <c r="M318" s="707">
        <f t="shared" si="58"/>
        <v>1</v>
      </c>
      <c r="N318" s="716"/>
      <c r="O318" s="707">
        <f t="shared" si="59"/>
        <v>1</v>
      </c>
      <c r="P318" s="716"/>
      <c r="Q318" s="707">
        <f t="shared" si="60"/>
        <v>1</v>
      </c>
      <c r="R318" s="768">
        <f t="shared" si="61"/>
        <v>0</v>
      </c>
      <c r="S318" s="706">
        <f t="shared" si="62"/>
        <v>0</v>
      </c>
    </row>
    <row r="319" spans="1:19">
      <c r="A319" s="714"/>
      <c r="B319" s="715"/>
      <c r="C319" s="707">
        <f t="shared" si="53"/>
        <v>1</v>
      </c>
      <c r="D319" s="716"/>
      <c r="E319" s="707">
        <f t="shared" si="54"/>
        <v>1</v>
      </c>
      <c r="F319" s="716"/>
      <c r="G319" s="707">
        <f t="shared" si="55"/>
        <v>1</v>
      </c>
      <c r="H319" s="716"/>
      <c r="I319" s="707">
        <f t="shared" si="56"/>
        <v>1</v>
      </c>
      <c r="J319" s="716"/>
      <c r="K319" s="707">
        <f t="shared" si="57"/>
        <v>1</v>
      </c>
      <c r="L319" s="716"/>
      <c r="M319" s="707">
        <f t="shared" si="58"/>
        <v>1</v>
      </c>
      <c r="N319" s="716"/>
      <c r="O319" s="707">
        <f t="shared" si="59"/>
        <v>1</v>
      </c>
      <c r="P319" s="716"/>
      <c r="Q319" s="707">
        <f t="shared" si="60"/>
        <v>1</v>
      </c>
      <c r="R319" s="768">
        <f t="shared" si="61"/>
        <v>0</v>
      </c>
      <c r="S319" s="706">
        <f t="shared" si="62"/>
        <v>0</v>
      </c>
    </row>
    <row r="320" spans="1:19">
      <c r="A320" s="714"/>
      <c r="B320" s="715"/>
      <c r="C320" s="707">
        <f t="shared" si="53"/>
        <v>1</v>
      </c>
      <c r="D320" s="716"/>
      <c r="E320" s="707">
        <f t="shared" si="54"/>
        <v>1</v>
      </c>
      <c r="F320" s="716"/>
      <c r="G320" s="707">
        <f t="shared" si="55"/>
        <v>1</v>
      </c>
      <c r="H320" s="716"/>
      <c r="I320" s="707">
        <f t="shared" si="56"/>
        <v>1</v>
      </c>
      <c r="J320" s="716"/>
      <c r="K320" s="707">
        <f t="shared" si="57"/>
        <v>1</v>
      </c>
      <c r="L320" s="716"/>
      <c r="M320" s="707">
        <f t="shared" si="58"/>
        <v>1</v>
      </c>
      <c r="N320" s="716"/>
      <c r="O320" s="707">
        <f t="shared" si="59"/>
        <v>1</v>
      </c>
      <c r="P320" s="716"/>
      <c r="Q320" s="707">
        <f t="shared" si="60"/>
        <v>1</v>
      </c>
      <c r="R320" s="768">
        <f t="shared" si="61"/>
        <v>0</v>
      </c>
      <c r="S320" s="706">
        <f t="shared" si="62"/>
        <v>0</v>
      </c>
    </row>
    <row r="321" spans="1:19">
      <c r="A321" s="714"/>
      <c r="B321" s="715"/>
      <c r="C321" s="707">
        <f t="shared" si="53"/>
        <v>1</v>
      </c>
      <c r="D321" s="716"/>
      <c r="E321" s="707">
        <f t="shared" si="54"/>
        <v>1</v>
      </c>
      <c r="F321" s="716"/>
      <c r="G321" s="707">
        <f t="shared" si="55"/>
        <v>1</v>
      </c>
      <c r="H321" s="716"/>
      <c r="I321" s="707">
        <f t="shared" si="56"/>
        <v>1</v>
      </c>
      <c r="J321" s="716"/>
      <c r="K321" s="707">
        <f t="shared" si="57"/>
        <v>1</v>
      </c>
      <c r="L321" s="716"/>
      <c r="M321" s="707">
        <f t="shared" si="58"/>
        <v>1</v>
      </c>
      <c r="N321" s="716"/>
      <c r="O321" s="707">
        <f t="shared" si="59"/>
        <v>1</v>
      </c>
      <c r="P321" s="716"/>
      <c r="Q321" s="707">
        <f t="shared" si="60"/>
        <v>1</v>
      </c>
      <c r="R321" s="768">
        <f t="shared" si="61"/>
        <v>0</v>
      </c>
      <c r="S321" s="706">
        <f t="shared" ref="S321:S384" si="63">ROUND(R321*B321/10000,0)</f>
        <v>0</v>
      </c>
    </row>
    <row r="322" spans="1:19">
      <c r="A322" s="714"/>
      <c r="B322" s="715"/>
      <c r="C322" s="707">
        <f t="shared" si="53"/>
        <v>1</v>
      </c>
      <c r="D322" s="716"/>
      <c r="E322" s="707">
        <f t="shared" si="54"/>
        <v>1</v>
      </c>
      <c r="F322" s="716"/>
      <c r="G322" s="707">
        <f t="shared" si="55"/>
        <v>1</v>
      </c>
      <c r="H322" s="716"/>
      <c r="I322" s="707">
        <f t="shared" si="56"/>
        <v>1</v>
      </c>
      <c r="J322" s="716"/>
      <c r="K322" s="707">
        <f t="shared" si="57"/>
        <v>1</v>
      </c>
      <c r="L322" s="716"/>
      <c r="M322" s="707">
        <f t="shared" si="58"/>
        <v>1</v>
      </c>
      <c r="N322" s="716"/>
      <c r="O322" s="707">
        <f t="shared" si="59"/>
        <v>1</v>
      </c>
      <c r="P322" s="716"/>
      <c r="Q322" s="707">
        <f t="shared" si="60"/>
        <v>1</v>
      </c>
      <c r="R322" s="768">
        <f t="shared" si="61"/>
        <v>0</v>
      </c>
      <c r="S322" s="706">
        <f t="shared" si="63"/>
        <v>0</v>
      </c>
    </row>
    <row r="323" spans="1:19">
      <c r="A323" s="714"/>
      <c r="B323" s="715"/>
      <c r="C323" s="707">
        <f t="shared" si="53"/>
        <v>1</v>
      </c>
      <c r="D323" s="716"/>
      <c r="E323" s="707">
        <f t="shared" si="54"/>
        <v>1</v>
      </c>
      <c r="F323" s="716"/>
      <c r="G323" s="707">
        <f t="shared" si="55"/>
        <v>1</v>
      </c>
      <c r="H323" s="716"/>
      <c r="I323" s="707">
        <f t="shared" si="56"/>
        <v>1</v>
      </c>
      <c r="J323" s="716"/>
      <c r="K323" s="707">
        <f t="shared" si="57"/>
        <v>1</v>
      </c>
      <c r="L323" s="716"/>
      <c r="M323" s="707">
        <f t="shared" si="58"/>
        <v>1</v>
      </c>
      <c r="N323" s="716"/>
      <c r="O323" s="707">
        <f t="shared" si="59"/>
        <v>1</v>
      </c>
      <c r="P323" s="716"/>
      <c r="Q323" s="707">
        <f t="shared" si="60"/>
        <v>1</v>
      </c>
      <c r="R323" s="768">
        <f t="shared" si="61"/>
        <v>0</v>
      </c>
      <c r="S323" s="706">
        <f t="shared" si="63"/>
        <v>0</v>
      </c>
    </row>
    <row r="324" spans="1:19">
      <c r="A324" s="714"/>
      <c r="B324" s="715"/>
      <c r="C324" s="707">
        <f t="shared" si="53"/>
        <v>1</v>
      </c>
      <c r="D324" s="716"/>
      <c r="E324" s="707">
        <f t="shared" si="54"/>
        <v>1</v>
      </c>
      <c r="F324" s="716"/>
      <c r="G324" s="707">
        <f t="shared" si="55"/>
        <v>1</v>
      </c>
      <c r="H324" s="716"/>
      <c r="I324" s="707">
        <f t="shared" si="56"/>
        <v>1</v>
      </c>
      <c r="J324" s="716"/>
      <c r="K324" s="707">
        <f t="shared" si="57"/>
        <v>1</v>
      </c>
      <c r="L324" s="716"/>
      <c r="M324" s="707">
        <f t="shared" si="58"/>
        <v>1</v>
      </c>
      <c r="N324" s="716"/>
      <c r="O324" s="707">
        <f t="shared" si="59"/>
        <v>1</v>
      </c>
      <c r="P324" s="716"/>
      <c r="Q324" s="707">
        <f t="shared" si="60"/>
        <v>1</v>
      </c>
      <c r="R324" s="768">
        <f t="shared" si="61"/>
        <v>0</v>
      </c>
      <c r="S324" s="706">
        <f t="shared" si="63"/>
        <v>0</v>
      </c>
    </row>
    <row r="325" spans="1:19">
      <c r="A325" s="714"/>
      <c r="B325" s="715"/>
      <c r="C325" s="707">
        <f t="shared" si="53"/>
        <v>1</v>
      </c>
      <c r="D325" s="716"/>
      <c r="E325" s="707">
        <f t="shared" si="54"/>
        <v>1</v>
      </c>
      <c r="F325" s="716"/>
      <c r="G325" s="707">
        <f t="shared" si="55"/>
        <v>1</v>
      </c>
      <c r="H325" s="716"/>
      <c r="I325" s="707">
        <f t="shared" si="56"/>
        <v>1</v>
      </c>
      <c r="J325" s="716"/>
      <c r="K325" s="707">
        <f t="shared" si="57"/>
        <v>1</v>
      </c>
      <c r="L325" s="716"/>
      <c r="M325" s="707">
        <f t="shared" si="58"/>
        <v>1</v>
      </c>
      <c r="N325" s="716"/>
      <c r="O325" s="707">
        <f t="shared" si="59"/>
        <v>1</v>
      </c>
      <c r="P325" s="716"/>
      <c r="Q325" s="707">
        <f t="shared" si="60"/>
        <v>1</v>
      </c>
      <c r="R325" s="768">
        <f t="shared" si="61"/>
        <v>0</v>
      </c>
      <c r="S325" s="706">
        <f t="shared" si="63"/>
        <v>0</v>
      </c>
    </row>
    <row r="326" spans="1:19">
      <c r="A326" s="714"/>
      <c r="B326" s="715"/>
      <c r="C326" s="707">
        <f t="shared" si="53"/>
        <v>1</v>
      </c>
      <c r="D326" s="716"/>
      <c r="E326" s="707">
        <f t="shared" si="54"/>
        <v>1</v>
      </c>
      <c r="F326" s="716"/>
      <c r="G326" s="707">
        <f t="shared" si="55"/>
        <v>1</v>
      </c>
      <c r="H326" s="716"/>
      <c r="I326" s="707">
        <f t="shared" si="56"/>
        <v>1</v>
      </c>
      <c r="J326" s="716"/>
      <c r="K326" s="707">
        <f t="shared" si="57"/>
        <v>1</v>
      </c>
      <c r="L326" s="716"/>
      <c r="M326" s="707">
        <f t="shared" si="58"/>
        <v>1</v>
      </c>
      <c r="N326" s="716"/>
      <c r="O326" s="707">
        <f t="shared" si="59"/>
        <v>1</v>
      </c>
      <c r="P326" s="716"/>
      <c r="Q326" s="707">
        <f t="shared" si="60"/>
        <v>1</v>
      </c>
      <c r="R326" s="768">
        <f t="shared" si="61"/>
        <v>0</v>
      </c>
      <c r="S326" s="706">
        <f t="shared" si="63"/>
        <v>0</v>
      </c>
    </row>
    <row r="327" spans="1:19">
      <c r="A327" s="714"/>
      <c r="B327" s="715"/>
      <c r="C327" s="707">
        <f t="shared" si="53"/>
        <v>1</v>
      </c>
      <c r="D327" s="716"/>
      <c r="E327" s="707">
        <f t="shared" si="54"/>
        <v>1</v>
      </c>
      <c r="F327" s="716"/>
      <c r="G327" s="707">
        <f t="shared" si="55"/>
        <v>1</v>
      </c>
      <c r="H327" s="716"/>
      <c r="I327" s="707">
        <f t="shared" si="56"/>
        <v>1</v>
      </c>
      <c r="J327" s="716"/>
      <c r="K327" s="707">
        <f t="shared" si="57"/>
        <v>1</v>
      </c>
      <c r="L327" s="716"/>
      <c r="M327" s="707">
        <f t="shared" si="58"/>
        <v>1</v>
      </c>
      <c r="N327" s="716"/>
      <c r="O327" s="707">
        <f t="shared" si="59"/>
        <v>1</v>
      </c>
      <c r="P327" s="716"/>
      <c r="Q327" s="707">
        <f t="shared" si="60"/>
        <v>1</v>
      </c>
      <c r="R327" s="768">
        <f t="shared" si="61"/>
        <v>0</v>
      </c>
      <c r="S327" s="706">
        <f t="shared" si="63"/>
        <v>0</v>
      </c>
    </row>
    <row r="328" spans="1:19">
      <c r="A328" s="714"/>
      <c r="B328" s="715"/>
      <c r="C328" s="707">
        <f t="shared" si="53"/>
        <v>1</v>
      </c>
      <c r="D328" s="716"/>
      <c r="E328" s="707">
        <f t="shared" si="54"/>
        <v>1</v>
      </c>
      <c r="F328" s="716"/>
      <c r="G328" s="707">
        <f t="shared" si="55"/>
        <v>1</v>
      </c>
      <c r="H328" s="716"/>
      <c r="I328" s="707">
        <f t="shared" si="56"/>
        <v>1</v>
      </c>
      <c r="J328" s="716"/>
      <c r="K328" s="707">
        <f t="shared" si="57"/>
        <v>1</v>
      </c>
      <c r="L328" s="716"/>
      <c r="M328" s="707">
        <f t="shared" si="58"/>
        <v>1</v>
      </c>
      <c r="N328" s="716"/>
      <c r="O328" s="707">
        <f t="shared" si="59"/>
        <v>1</v>
      </c>
      <c r="P328" s="716"/>
      <c r="Q328" s="707">
        <f t="shared" si="60"/>
        <v>1</v>
      </c>
      <c r="R328" s="768">
        <f t="shared" si="61"/>
        <v>0</v>
      </c>
      <c r="S328" s="706">
        <f t="shared" si="63"/>
        <v>0</v>
      </c>
    </row>
    <row r="329" spans="1:19">
      <c r="A329" s="714"/>
      <c r="B329" s="715"/>
      <c r="C329" s="707">
        <f t="shared" si="53"/>
        <v>1</v>
      </c>
      <c r="D329" s="716"/>
      <c r="E329" s="707">
        <f t="shared" si="54"/>
        <v>1</v>
      </c>
      <c r="F329" s="716"/>
      <c r="G329" s="707">
        <f t="shared" si="55"/>
        <v>1</v>
      </c>
      <c r="H329" s="716"/>
      <c r="I329" s="707">
        <f t="shared" si="56"/>
        <v>1</v>
      </c>
      <c r="J329" s="716"/>
      <c r="K329" s="707">
        <f t="shared" si="57"/>
        <v>1</v>
      </c>
      <c r="L329" s="716"/>
      <c r="M329" s="707">
        <f t="shared" si="58"/>
        <v>1</v>
      </c>
      <c r="N329" s="716"/>
      <c r="O329" s="707">
        <f t="shared" si="59"/>
        <v>1</v>
      </c>
      <c r="P329" s="716"/>
      <c r="Q329" s="707">
        <f t="shared" si="60"/>
        <v>1</v>
      </c>
      <c r="R329" s="768">
        <f t="shared" si="61"/>
        <v>0</v>
      </c>
      <c r="S329" s="706">
        <f t="shared" si="63"/>
        <v>0</v>
      </c>
    </row>
    <row r="330" spans="1:19">
      <c r="A330" s="714"/>
      <c r="B330" s="715"/>
      <c r="C330" s="707">
        <f t="shared" si="53"/>
        <v>1</v>
      </c>
      <c r="D330" s="716"/>
      <c r="E330" s="707">
        <f t="shared" si="54"/>
        <v>1</v>
      </c>
      <c r="F330" s="716"/>
      <c r="G330" s="707">
        <f t="shared" si="55"/>
        <v>1</v>
      </c>
      <c r="H330" s="716"/>
      <c r="I330" s="707">
        <f t="shared" si="56"/>
        <v>1</v>
      </c>
      <c r="J330" s="716"/>
      <c r="K330" s="707">
        <f t="shared" si="57"/>
        <v>1</v>
      </c>
      <c r="L330" s="716"/>
      <c r="M330" s="707">
        <f t="shared" si="58"/>
        <v>1</v>
      </c>
      <c r="N330" s="716"/>
      <c r="O330" s="707">
        <f t="shared" si="59"/>
        <v>1</v>
      </c>
      <c r="P330" s="716"/>
      <c r="Q330" s="707">
        <f t="shared" si="60"/>
        <v>1</v>
      </c>
      <c r="R330" s="768">
        <f t="shared" si="61"/>
        <v>0</v>
      </c>
      <c r="S330" s="706">
        <f t="shared" si="63"/>
        <v>0</v>
      </c>
    </row>
    <row r="331" spans="1:19">
      <c r="A331" s="714"/>
      <c r="B331" s="715"/>
      <c r="C331" s="707">
        <f t="shared" si="53"/>
        <v>1</v>
      </c>
      <c r="D331" s="716"/>
      <c r="E331" s="707">
        <f t="shared" si="54"/>
        <v>1</v>
      </c>
      <c r="F331" s="716"/>
      <c r="G331" s="707">
        <f t="shared" si="55"/>
        <v>1</v>
      </c>
      <c r="H331" s="716"/>
      <c r="I331" s="707">
        <f t="shared" si="56"/>
        <v>1</v>
      </c>
      <c r="J331" s="716"/>
      <c r="K331" s="707">
        <f t="shared" si="57"/>
        <v>1</v>
      </c>
      <c r="L331" s="716"/>
      <c r="M331" s="707">
        <f t="shared" si="58"/>
        <v>1</v>
      </c>
      <c r="N331" s="716"/>
      <c r="O331" s="707">
        <f t="shared" si="59"/>
        <v>1</v>
      </c>
      <c r="P331" s="716"/>
      <c r="Q331" s="707">
        <f t="shared" si="60"/>
        <v>1</v>
      </c>
      <c r="R331" s="768">
        <f t="shared" si="61"/>
        <v>0</v>
      </c>
      <c r="S331" s="706">
        <f t="shared" si="63"/>
        <v>0</v>
      </c>
    </row>
    <row r="332" spans="1:19">
      <c r="A332" s="714"/>
      <c r="B332" s="715"/>
      <c r="C332" s="707">
        <f t="shared" si="53"/>
        <v>1</v>
      </c>
      <c r="D332" s="716"/>
      <c r="E332" s="707">
        <f t="shared" si="54"/>
        <v>1</v>
      </c>
      <c r="F332" s="716"/>
      <c r="G332" s="707">
        <f t="shared" si="55"/>
        <v>1</v>
      </c>
      <c r="H332" s="716"/>
      <c r="I332" s="707">
        <f t="shared" si="56"/>
        <v>1</v>
      </c>
      <c r="J332" s="716"/>
      <c r="K332" s="707">
        <f t="shared" si="57"/>
        <v>1</v>
      </c>
      <c r="L332" s="716"/>
      <c r="M332" s="707">
        <f t="shared" si="58"/>
        <v>1</v>
      </c>
      <c r="N332" s="716"/>
      <c r="O332" s="707">
        <f t="shared" si="59"/>
        <v>1</v>
      </c>
      <c r="P332" s="716"/>
      <c r="Q332" s="707">
        <f t="shared" si="60"/>
        <v>1</v>
      </c>
      <c r="R332" s="768">
        <f t="shared" si="61"/>
        <v>0</v>
      </c>
      <c r="S332" s="706">
        <f t="shared" si="63"/>
        <v>0</v>
      </c>
    </row>
    <row r="333" spans="1:19">
      <c r="A333" s="714"/>
      <c r="B333" s="715"/>
      <c r="C333" s="707">
        <f t="shared" si="53"/>
        <v>1</v>
      </c>
      <c r="D333" s="716"/>
      <c r="E333" s="707">
        <f t="shared" si="54"/>
        <v>1</v>
      </c>
      <c r="F333" s="716"/>
      <c r="G333" s="707">
        <f t="shared" si="55"/>
        <v>1</v>
      </c>
      <c r="H333" s="716"/>
      <c r="I333" s="707">
        <f t="shared" si="56"/>
        <v>1</v>
      </c>
      <c r="J333" s="716"/>
      <c r="K333" s="707">
        <f t="shared" si="57"/>
        <v>1</v>
      </c>
      <c r="L333" s="716"/>
      <c r="M333" s="707">
        <f t="shared" si="58"/>
        <v>1</v>
      </c>
      <c r="N333" s="716"/>
      <c r="O333" s="707">
        <f t="shared" si="59"/>
        <v>1</v>
      </c>
      <c r="P333" s="716"/>
      <c r="Q333" s="707">
        <f t="shared" si="60"/>
        <v>1</v>
      </c>
      <c r="R333" s="768">
        <f t="shared" si="61"/>
        <v>0</v>
      </c>
      <c r="S333" s="706">
        <f t="shared" si="63"/>
        <v>0</v>
      </c>
    </row>
    <row r="334" spans="1:19">
      <c r="A334" s="714"/>
      <c r="B334" s="715"/>
      <c r="C334" s="707">
        <f t="shared" si="53"/>
        <v>1</v>
      </c>
      <c r="D334" s="716"/>
      <c r="E334" s="707">
        <f t="shared" si="54"/>
        <v>1</v>
      </c>
      <c r="F334" s="716"/>
      <c r="G334" s="707">
        <f t="shared" si="55"/>
        <v>1</v>
      </c>
      <c r="H334" s="716"/>
      <c r="I334" s="707">
        <f t="shared" si="56"/>
        <v>1</v>
      </c>
      <c r="J334" s="716"/>
      <c r="K334" s="707">
        <f t="shared" si="57"/>
        <v>1</v>
      </c>
      <c r="L334" s="716"/>
      <c r="M334" s="707">
        <f t="shared" si="58"/>
        <v>1</v>
      </c>
      <c r="N334" s="716"/>
      <c r="O334" s="707">
        <f t="shared" si="59"/>
        <v>1</v>
      </c>
      <c r="P334" s="716"/>
      <c r="Q334" s="707">
        <f t="shared" si="60"/>
        <v>1</v>
      </c>
      <c r="R334" s="768">
        <f t="shared" si="61"/>
        <v>0</v>
      </c>
      <c r="S334" s="706">
        <f t="shared" si="63"/>
        <v>0</v>
      </c>
    </row>
    <row r="335" spans="1:19">
      <c r="A335" s="714"/>
      <c r="B335" s="715"/>
      <c r="C335" s="707">
        <f t="shared" si="53"/>
        <v>1</v>
      </c>
      <c r="D335" s="716"/>
      <c r="E335" s="707">
        <f t="shared" si="54"/>
        <v>1</v>
      </c>
      <c r="F335" s="716"/>
      <c r="G335" s="707">
        <f t="shared" si="55"/>
        <v>1</v>
      </c>
      <c r="H335" s="716"/>
      <c r="I335" s="707">
        <f t="shared" si="56"/>
        <v>1</v>
      </c>
      <c r="J335" s="716"/>
      <c r="K335" s="707">
        <f t="shared" si="57"/>
        <v>1</v>
      </c>
      <c r="L335" s="716"/>
      <c r="M335" s="707">
        <f t="shared" si="58"/>
        <v>1</v>
      </c>
      <c r="N335" s="716"/>
      <c r="O335" s="707">
        <f t="shared" si="59"/>
        <v>1</v>
      </c>
      <c r="P335" s="716"/>
      <c r="Q335" s="707">
        <f t="shared" si="60"/>
        <v>1</v>
      </c>
      <c r="R335" s="768">
        <f t="shared" si="61"/>
        <v>0</v>
      </c>
      <c r="S335" s="706">
        <f t="shared" si="63"/>
        <v>0</v>
      </c>
    </row>
    <row r="336" spans="1:19">
      <c r="A336" s="714"/>
      <c r="B336" s="715"/>
      <c r="C336" s="707">
        <f t="shared" si="53"/>
        <v>1</v>
      </c>
      <c r="D336" s="716"/>
      <c r="E336" s="707">
        <f t="shared" si="54"/>
        <v>1</v>
      </c>
      <c r="F336" s="716"/>
      <c r="G336" s="707">
        <f t="shared" si="55"/>
        <v>1</v>
      </c>
      <c r="H336" s="716"/>
      <c r="I336" s="707">
        <f t="shared" si="56"/>
        <v>1</v>
      </c>
      <c r="J336" s="716"/>
      <c r="K336" s="707">
        <f t="shared" si="57"/>
        <v>1</v>
      </c>
      <c r="L336" s="716"/>
      <c r="M336" s="707">
        <f t="shared" si="58"/>
        <v>1</v>
      </c>
      <c r="N336" s="716"/>
      <c r="O336" s="707">
        <f t="shared" si="59"/>
        <v>1</v>
      </c>
      <c r="P336" s="716"/>
      <c r="Q336" s="707">
        <f t="shared" si="60"/>
        <v>1</v>
      </c>
      <c r="R336" s="768">
        <f t="shared" si="61"/>
        <v>0</v>
      </c>
      <c r="S336" s="706">
        <f t="shared" si="63"/>
        <v>0</v>
      </c>
    </row>
    <row r="337" spans="1:19">
      <c r="A337" s="714"/>
      <c r="B337" s="715"/>
      <c r="C337" s="707">
        <f t="shared" si="53"/>
        <v>1</v>
      </c>
      <c r="D337" s="716"/>
      <c r="E337" s="707">
        <f t="shared" si="54"/>
        <v>1</v>
      </c>
      <c r="F337" s="716"/>
      <c r="G337" s="707">
        <f t="shared" si="55"/>
        <v>1</v>
      </c>
      <c r="H337" s="716"/>
      <c r="I337" s="707">
        <f t="shared" si="56"/>
        <v>1</v>
      </c>
      <c r="J337" s="716"/>
      <c r="K337" s="707">
        <f t="shared" si="57"/>
        <v>1</v>
      </c>
      <c r="L337" s="716"/>
      <c r="M337" s="707">
        <f t="shared" si="58"/>
        <v>1</v>
      </c>
      <c r="N337" s="716"/>
      <c r="O337" s="707">
        <f t="shared" si="59"/>
        <v>1</v>
      </c>
      <c r="P337" s="716"/>
      <c r="Q337" s="707">
        <f t="shared" si="60"/>
        <v>1</v>
      </c>
      <c r="R337" s="768">
        <f t="shared" si="61"/>
        <v>0</v>
      </c>
      <c r="S337" s="706">
        <f t="shared" si="63"/>
        <v>0</v>
      </c>
    </row>
    <row r="338" spans="1:19">
      <c r="A338" s="714"/>
      <c r="B338" s="715"/>
      <c r="C338" s="707">
        <f t="shared" si="53"/>
        <v>1</v>
      </c>
      <c r="D338" s="716"/>
      <c r="E338" s="707">
        <f t="shared" si="54"/>
        <v>1</v>
      </c>
      <c r="F338" s="716"/>
      <c r="G338" s="707">
        <f t="shared" si="55"/>
        <v>1</v>
      </c>
      <c r="H338" s="716"/>
      <c r="I338" s="707">
        <f t="shared" si="56"/>
        <v>1</v>
      </c>
      <c r="J338" s="716"/>
      <c r="K338" s="707">
        <f t="shared" si="57"/>
        <v>1</v>
      </c>
      <c r="L338" s="716"/>
      <c r="M338" s="707">
        <f t="shared" si="58"/>
        <v>1</v>
      </c>
      <c r="N338" s="716"/>
      <c r="O338" s="707">
        <f t="shared" si="59"/>
        <v>1</v>
      </c>
      <c r="P338" s="716"/>
      <c r="Q338" s="707">
        <f t="shared" si="60"/>
        <v>1</v>
      </c>
      <c r="R338" s="768">
        <f t="shared" si="61"/>
        <v>0</v>
      </c>
      <c r="S338" s="706">
        <f t="shared" si="63"/>
        <v>0</v>
      </c>
    </row>
    <row r="339" spans="1:19">
      <c r="A339" s="714"/>
      <c r="B339" s="715"/>
      <c r="C339" s="707">
        <f t="shared" si="53"/>
        <v>1</v>
      </c>
      <c r="D339" s="716"/>
      <c r="E339" s="707">
        <f t="shared" si="54"/>
        <v>1</v>
      </c>
      <c r="F339" s="716"/>
      <c r="G339" s="707">
        <f t="shared" si="55"/>
        <v>1</v>
      </c>
      <c r="H339" s="716"/>
      <c r="I339" s="707">
        <f t="shared" si="56"/>
        <v>1</v>
      </c>
      <c r="J339" s="716"/>
      <c r="K339" s="707">
        <f t="shared" si="57"/>
        <v>1</v>
      </c>
      <c r="L339" s="716"/>
      <c r="M339" s="707">
        <f t="shared" si="58"/>
        <v>1</v>
      </c>
      <c r="N339" s="716"/>
      <c r="O339" s="707">
        <f t="shared" si="59"/>
        <v>1</v>
      </c>
      <c r="P339" s="716"/>
      <c r="Q339" s="707">
        <f t="shared" si="60"/>
        <v>1</v>
      </c>
      <c r="R339" s="768">
        <f t="shared" si="61"/>
        <v>0</v>
      </c>
      <c r="S339" s="706">
        <f t="shared" si="63"/>
        <v>0</v>
      </c>
    </row>
    <row r="340" spans="1:19">
      <c r="A340" s="714"/>
      <c r="B340" s="715"/>
      <c r="C340" s="707">
        <f t="shared" si="53"/>
        <v>1</v>
      </c>
      <c r="D340" s="716"/>
      <c r="E340" s="707">
        <f t="shared" si="54"/>
        <v>1</v>
      </c>
      <c r="F340" s="716"/>
      <c r="G340" s="707">
        <f t="shared" si="55"/>
        <v>1</v>
      </c>
      <c r="H340" s="716"/>
      <c r="I340" s="707">
        <f t="shared" si="56"/>
        <v>1</v>
      </c>
      <c r="J340" s="716"/>
      <c r="K340" s="707">
        <f t="shared" si="57"/>
        <v>1</v>
      </c>
      <c r="L340" s="716"/>
      <c r="M340" s="707">
        <f t="shared" si="58"/>
        <v>1</v>
      </c>
      <c r="N340" s="716"/>
      <c r="O340" s="707">
        <f t="shared" si="59"/>
        <v>1</v>
      </c>
      <c r="P340" s="716"/>
      <c r="Q340" s="707">
        <f t="shared" si="60"/>
        <v>1</v>
      </c>
      <c r="R340" s="768">
        <f t="shared" si="61"/>
        <v>0</v>
      </c>
      <c r="S340" s="706">
        <f t="shared" si="63"/>
        <v>0</v>
      </c>
    </row>
    <row r="341" spans="1:19">
      <c r="A341" s="714"/>
      <c r="B341" s="715"/>
      <c r="C341" s="707">
        <f t="shared" si="53"/>
        <v>1</v>
      </c>
      <c r="D341" s="716"/>
      <c r="E341" s="707">
        <f t="shared" si="54"/>
        <v>1</v>
      </c>
      <c r="F341" s="716"/>
      <c r="G341" s="707">
        <f t="shared" si="55"/>
        <v>1</v>
      </c>
      <c r="H341" s="716"/>
      <c r="I341" s="707">
        <f t="shared" si="56"/>
        <v>1</v>
      </c>
      <c r="J341" s="716"/>
      <c r="K341" s="707">
        <f t="shared" si="57"/>
        <v>1</v>
      </c>
      <c r="L341" s="716"/>
      <c r="M341" s="707">
        <f t="shared" si="58"/>
        <v>1</v>
      </c>
      <c r="N341" s="716"/>
      <c r="O341" s="707">
        <f t="shared" si="59"/>
        <v>1</v>
      </c>
      <c r="P341" s="716"/>
      <c r="Q341" s="707">
        <f t="shared" si="60"/>
        <v>1</v>
      </c>
      <c r="R341" s="768">
        <f t="shared" si="61"/>
        <v>0</v>
      </c>
      <c r="S341" s="706">
        <f t="shared" si="63"/>
        <v>0</v>
      </c>
    </row>
    <row r="342" spans="1:19">
      <c r="A342" s="714"/>
      <c r="B342" s="715"/>
      <c r="C342" s="707">
        <f t="shared" si="53"/>
        <v>1</v>
      </c>
      <c r="D342" s="716"/>
      <c r="E342" s="707">
        <f t="shared" si="54"/>
        <v>1</v>
      </c>
      <c r="F342" s="716"/>
      <c r="G342" s="707">
        <f t="shared" si="55"/>
        <v>1</v>
      </c>
      <c r="H342" s="716"/>
      <c r="I342" s="707">
        <f t="shared" si="56"/>
        <v>1</v>
      </c>
      <c r="J342" s="716"/>
      <c r="K342" s="707">
        <f t="shared" si="57"/>
        <v>1</v>
      </c>
      <c r="L342" s="716"/>
      <c r="M342" s="707">
        <f t="shared" si="58"/>
        <v>1</v>
      </c>
      <c r="N342" s="716"/>
      <c r="O342" s="707">
        <f t="shared" si="59"/>
        <v>1</v>
      </c>
      <c r="P342" s="716"/>
      <c r="Q342" s="707">
        <f t="shared" si="60"/>
        <v>1</v>
      </c>
      <c r="R342" s="768">
        <f t="shared" si="61"/>
        <v>0</v>
      </c>
      <c r="S342" s="706">
        <f t="shared" si="63"/>
        <v>0</v>
      </c>
    </row>
    <row r="343" spans="1:19">
      <c r="A343" s="714"/>
      <c r="B343" s="715"/>
      <c r="C343" s="707">
        <f t="shared" si="53"/>
        <v>1</v>
      </c>
      <c r="D343" s="716"/>
      <c r="E343" s="707">
        <f t="shared" si="54"/>
        <v>1</v>
      </c>
      <c r="F343" s="716"/>
      <c r="G343" s="707">
        <f t="shared" si="55"/>
        <v>1</v>
      </c>
      <c r="H343" s="716"/>
      <c r="I343" s="707">
        <f t="shared" si="56"/>
        <v>1</v>
      </c>
      <c r="J343" s="716"/>
      <c r="K343" s="707">
        <f t="shared" si="57"/>
        <v>1</v>
      </c>
      <c r="L343" s="716"/>
      <c r="M343" s="707">
        <f t="shared" si="58"/>
        <v>1</v>
      </c>
      <c r="N343" s="716"/>
      <c r="O343" s="707">
        <f t="shared" si="59"/>
        <v>1</v>
      </c>
      <c r="P343" s="716"/>
      <c r="Q343" s="707">
        <f t="shared" si="60"/>
        <v>1</v>
      </c>
      <c r="R343" s="768">
        <f t="shared" si="61"/>
        <v>0</v>
      </c>
      <c r="S343" s="706">
        <f t="shared" si="63"/>
        <v>0</v>
      </c>
    </row>
    <row r="344" spans="1:19">
      <c r="A344" s="714"/>
      <c r="B344" s="715"/>
      <c r="C344" s="707">
        <f t="shared" si="53"/>
        <v>1</v>
      </c>
      <c r="D344" s="716"/>
      <c r="E344" s="707">
        <f t="shared" si="54"/>
        <v>1</v>
      </c>
      <c r="F344" s="716"/>
      <c r="G344" s="707">
        <f t="shared" si="55"/>
        <v>1</v>
      </c>
      <c r="H344" s="716"/>
      <c r="I344" s="707">
        <f t="shared" si="56"/>
        <v>1</v>
      </c>
      <c r="J344" s="716"/>
      <c r="K344" s="707">
        <f t="shared" si="57"/>
        <v>1</v>
      </c>
      <c r="L344" s="716"/>
      <c r="M344" s="707">
        <f t="shared" si="58"/>
        <v>1</v>
      </c>
      <c r="N344" s="716"/>
      <c r="O344" s="707">
        <f t="shared" si="59"/>
        <v>1</v>
      </c>
      <c r="P344" s="716"/>
      <c r="Q344" s="707">
        <f t="shared" si="60"/>
        <v>1</v>
      </c>
      <c r="R344" s="768">
        <f t="shared" si="61"/>
        <v>0</v>
      </c>
      <c r="S344" s="706">
        <f t="shared" si="63"/>
        <v>0</v>
      </c>
    </row>
    <row r="345" spans="1:19">
      <c r="A345" s="714"/>
      <c r="B345" s="715"/>
      <c r="C345" s="707">
        <f t="shared" si="53"/>
        <v>1</v>
      </c>
      <c r="D345" s="716"/>
      <c r="E345" s="707">
        <f t="shared" si="54"/>
        <v>1</v>
      </c>
      <c r="F345" s="716"/>
      <c r="G345" s="707">
        <f t="shared" si="55"/>
        <v>1</v>
      </c>
      <c r="H345" s="716"/>
      <c r="I345" s="707">
        <f t="shared" si="56"/>
        <v>1</v>
      </c>
      <c r="J345" s="716"/>
      <c r="K345" s="707">
        <f t="shared" si="57"/>
        <v>1</v>
      </c>
      <c r="L345" s="716"/>
      <c r="M345" s="707">
        <f t="shared" si="58"/>
        <v>1</v>
      </c>
      <c r="N345" s="716"/>
      <c r="O345" s="707">
        <f t="shared" si="59"/>
        <v>1</v>
      </c>
      <c r="P345" s="716"/>
      <c r="Q345" s="707">
        <f t="shared" si="60"/>
        <v>1</v>
      </c>
      <c r="R345" s="768">
        <f t="shared" si="61"/>
        <v>0</v>
      </c>
      <c r="S345" s="706">
        <f t="shared" si="63"/>
        <v>0</v>
      </c>
    </row>
    <row r="346" spans="1:19">
      <c r="A346" s="714"/>
      <c r="B346" s="715"/>
      <c r="C346" s="707">
        <f t="shared" ref="C346:C409" si="64">IF(B346="",1,(LOOKUP(B346,$3:$3,$4:$4)-LOOKUP($B$24,$3:$3,$4:$4)+100)/100)</f>
        <v>1</v>
      </c>
      <c r="D346" s="716"/>
      <c r="E346" s="707">
        <f t="shared" ref="E346:E409" si="65">(SUMIF($5:$5,D346,$6:$6)-SUMIF($5:$5,$D$24,$6:$6)+100)/100</f>
        <v>1</v>
      </c>
      <c r="F346" s="716"/>
      <c r="G346" s="707">
        <f t="shared" ref="G346:G409" si="66">(SUMIF($7:$7,F346,$8:$8)-SUMIF($7:$7,$F$24,$8:$8)+100)/100</f>
        <v>1</v>
      </c>
      <c r="H346" s="716"/>
      <c r="I346" s="707">
        <f t="shared" ref="I346:I409" si="67">(SUMIF($9:$9,H346,$10:$10)-SUMIF($9:$9,$H$24,$10:$10)+100)/100</f>
        <v>1</v>
      </c>
      <c r="J346" s="716"/>
      <c r="K346" s="707">
        <f t="shared" ref="K346:K409" si="68">(SUMIF($11:$11,J346,$12:$12)-SUMIF($11:$11,$J$24,$12:$12)+100)/100</f>
        <v>1</v>
      </c>
      <c r="L346" s="716"/>
      <c r="M346" s="707">
        <f t="shared" ref="M346:M409" si="69">(SUMIF($13:$13,L346,$14:$14)-SUMIF($13:$13,$L$24,$14:$14)+100)/100</f>
        <v>1</v>
      </c>
      <c r="N346" s="716"/>
      <c r="O346" s="707">
        <f t="shared" ref="O346:O409" si="70">(SUMIF($15:$15,N346,$16:$16)-SUMIF($15:$15,$N$24,$16:$16)+100)/100</f>
        <v>1</v>
      </c>
      <c r="P346" s="716"/>
      <c r="Q346" s="707">
        <f t="shared" ref="Q346:Q409" si="71">(SUMIF($17:$17,P346,$18:$18)-SUMIF($17:$17,$P$24,$18:$18)+100)/100</f>
        <v>1</v>
      </c>
      <c r="R346" s="768">
        <f t="shared" ref="R346:R409" si="72">IF(B346="",0,ROUND($R$24*C346*E346*G346*I346*K346*M346*O346*Q346,0))</f>
        <v>0</v>
      </c>
      <c r="S346" s="706">
        <f t="shared" si="63"/>
        <v>0</v>
      </c>
    </row>
    <row r="347" spans="1:19">
      <c r="A347" s="714"/>
      <c r="B347" s="715"/>
      <c r="C347" s="707">
        <f t="shared" si="64"/>
        <v>1</v>
      </c>
      <c r="D347" s="716"/>
      <c r="E347" s="707">
        <f t="shared" si="65"/>
        <v>1</v>
      </c>
      <c r="F347" s="716"/>
      <c r="G347" s="707">
        <f t="shared" si="66"/>
        <v>1</v>
      </c>
      <c r="H347" s="716"/>
      <c r="I347" s="707">
        <f t="shared" si="67"/>
        <v>1</v>
      </c>
      <c r="J347" s="716"/>
      <c r="K347" s="707">
        <f t="shared" si="68"/>
        <v>1</v>
      </c>
      <c r="L347" s="716"/>
      <c r="M347" s="707">
        <f t="shared" si="69"/>
        <v>1</v>
      </c>
      <c r="N347" s="716"/>
      <c r="O347" s="707">
        <f t="shared" si="70"/>
        <v>1</v>
      </c>
      <c r="P347" s="716"/>
      <c r="Q347" s="707">
        <f t="shared" si="71"/>
        <v>1</v>
      </c>
      <c r="R347" s="768">
        <f t="shared" si="72"/>
        <v>0</v>
      </c>
      <c r="S347" s="706">
        <f t="shared" si="63"/>
        <v>0</v>
      </c>
    </row>
    <row r="348" spans="1:19">
      <c r="A348" s="714"/>
      <c r="B348" s="715"/>
      <c r="C348" s="707">
        <f t="shared" si="64"/>
        <v>1</v>
      </c>
      <c r="D348" s="716"/>
      <c r="E348" s="707">
        <f t="shared" si="65"/>
        <v>1</v>
      </c>
      <c r="F348" s="716"/>
      <c r="G348" s="707">
        <f t="shared" si="66"/>
        <v>1</v>
      </c>
      <c r="H348" s="716"/>
      <c r="I348" s="707">
        <f t="shared" si="67"/>
        <v>1</v>
      </c>
      <c r="J348" s="716"/>
      <c r="K348" s="707">
        <f t="shared" si="68"/>
        <v>1</v>
      </c>
      <c r="L348" s="716"/>
      <c r="M348" s="707">
        <f t="shared" si="69"/>
        <v>1</v>
      </c>
      <c r="N348" s="716"/>
      <c r="O348" s="707">
        <f t="shared" si="70"/>
        <v>1</v>
      </c>
      <c r="P348" s="716"/>
      <c r="Q348" s="707">
        <f t="shared" si="71"/>
        <v>1</v>
      </c>
      <c r="R348" s="768">
        <f t="shared" si="72"/>
        <v>0</v>
      </c>
      <c r="S348" s="706">
        <f t="shared" si="63"/>
        <v>0</v>
      </c>
    </row>
    <row r="349" spans="1:19">
      <c r="A349" s="714"/>
      <c r="B349" s="715"/>
      <c r="C349" s="707">
        <f t="shared" si="64"/>
        <v>1</v>
      </c>
      <c r="D349" s="716"/>
      <c r="E349" s="707">
        <f t="shared" si="65"/>
        <v>1</v>
      </c>
      <c r="F349" s="716"/>
      <c r="G349" s="707">
        <f t="shared" si="66"/>
        <v>1</v>
      </c>
      <c r="H349" s="716"/>
      <c r="I349" s="707">
        <f t="shared" si="67"/>
        <v>1</v>
      </c>
      <c r="J349" s="716"/>
      <c r="K349" s="707">
        <f t="shared" si="68"/>
        <v>1</v>
      </c>
      <c r="L349" s="716"/>
      <c r="M349" s="707">
        <f t="shared" si="69"/>
        <v>1</v>
      </c>
      <c r="N349" s="716"/>
      <c r="O349" s="707">
        <f t="shared" si="70"/>
        <v>1</v>
      </c>
      <c r="P349" s="716"/>
      <c r="Q349" s="707">
        <f t="shared" si="71"/>
        <v>1</v>
      </c>
      <c r="R349" s="768">
        <f t="shared" si="72"/>
        <v>0</v>
      </c>
      <c r="S349" s="706">
        <f t="shared" si="63"/>
        <v>0</v>
      </c>
    </row>
    <row r="350" spans="1:19">
      <c r="A350" s="714"/>
      <c r="B350" s="715"/>
      <c r="C350" s="707">
        <f t="shared" si="64"/>
        <v>1</v>
      </c>
      <c r="D350" s="716"/>
      <c r="E350" s="707">
        <f t="shared" si="65"/>
        <v>1</v>
      </c>
      <c r="F350" s="716"/>
      <c r="G350" s="707">
        <f t="shared" si="66"/>
        <v>1</v>
      </c>
      <c r="H350" s="716"/>
      <c r="I350" s="707">
        <f t="shared" si="67"/>
        <v>1</v>
      </c>
      <c r="J350" s="716"/>
      <c r="K350" s="707">
        <f t="shared" si="68"/>
        <v>1</v>
      </c>
      <c r="L350" s="716"/>
      <c r="M350" s="707">
        <f t="shared" si="69"/>
        <v>1</v>
      </c>
      <c r="N350" s="716"/>
      <c r="O350" s="707">
        <f t="shared" si="70"/>
        <v>1</v>
      </c>
      <c r="P350" s="716"/>
      <c r="Q350" s="707">
        <f t="shared" si="71"/>
        <v>1</v>
      </c>
      <c r="R350" s="768">
        <f t="shared" si="72"/>
        <v>0</v>
      </c>
      <c r="S350" s="706">
        <f t="shared" si="63"/>
        <v>0</v>
      </c>
    </row>
    <row r="351" spans="1:19">
      <c r="A351" s="714"/>
      <c r="B351" s="715"/>
      <c r="C351" s="707">
        <f t="shared" si="64"/>
        <v>1</v>
      </c>
      <c r="D351" s="716"/>
      <c r="E351" s="707">
        <f t="shared" si="65"/>
        <v>1</v>
      </c>
      <c r="F351" s="716"/>
      <c r="G351" s="707">
        <f t="shared" si="66"/>
        <v>1</v>
      </c>
      <c r="H351" s="716"/>
      <c r="I351" s="707">
        <f t="shared" si="67"/>
        <v>1</v>
      </c>
      <c r="J351" s="716"/>
      <c r="K351" s="707">
        <f t="shared" si="68"/>
        <v>1</v>
      </c>
      <c r="L351" s="716"/>
      <c r="M351" s="707">
        <f t="shared" si="69"/>
        <v>1</v>
      </c>
      <c r="N351" s="716"/>
      <c r="O351" s="707">
        <f t="shared" si="70"/>
        <v>1</v>
      </c>
      <c r="P351" s="716"/>
      <c r="Q351" s="707">
        <f t="shared" si="71"/>
        <v>1</v>
      </c>
      <c r="R351" s="768">
        <f t="shared" si="72"/>
        <v>0</v>
      </c>
      <c r="S351" s="706">
        <f t="shared" si="63"/>
        <v>0</v>
      </c>
    </row>
    <row r="352" spans="1:19">
      <c r="A352" s="714"/>
      <c r="B352" s="715"/>
      <c r="C352" s="707">
        <f t="shared" si="64"/>
        <v>1</v>
      </c>
      <c r="D352" s="716"/>
      <c r="E352" s="707">
        <f t="shared" si="65"/>
        <v>1</v>
      </c>
      <c r="F352" s="716"/>
      <c r="G352" s="707">
        <f t="shared" si="66"/>
        <v>1</v>
      </c>
      <c r="H352" s="716"/>
      <c r="I352" s="707">
        <f t="shared" si="67"/>
        <v>1</v>
      </c>
      <c r="J352" s="716"/>
      <c r="K352" s="707">
        <f t="shared" si="68"/>
        <v>1</v>
      </c>
      <c r="L352" s="716"/>
      <c r="M352" s="707">
        <f t="shared" si="69"/>
        <v>1</v>
      </c>
      <c r="N352" s="716"/>
      <c r="O352" s="707">
        <f t="shared" si="70"/>
        <v>1</v>
      </c>
      <c r="P352" s="716"/>
      <c r="Q352" s="707">
        <f t="shared" si="71"/>
        <v>1</v>
      </c>
      <c r="R352" s="768">
        <f t="shared" si="72"/>
        <v>0</v>
      </c>
      <c r="S352" s="706">
        <f t="shared" si="63"/>
        <v>0</v>
      </c>
    </row>
    <row r="353" spans="1:19">
      <c r="A353" s="714"/>
      <c r="B353" s="715"/>
      <c r="C353" s="707">
        <f t="shared" si="64"/>
        <v>1</v>
      </c>
      <c r="D353" s="716"/>
      <c r="E353" s="707">
        <f t="shared" si="65"/>
        <v>1</v>
      </c>
      <c r="F353" s="716"/>
      <c r="G353" s="707">
        <f t="shared" si="66"/>
        <v>1</v>
      </c>
      <c r="H353" s="716"/>
      <c r="I353" s="707">
        <f t="shared" si="67"/>
        <v>1</v>
      </c>
      <c r="J353" s="716"/>
      <c r="K353" s="707">
        <f t="shared" si="68"/>
        <v>1</v>
      </c>
      <c r="L353" s="716"/>
      <c r="M353" s="707">
        <f t="shared" si="69"/>
        <v>1</v>
      </c>
      <c r="N353" s="716"/>
      <c r="O353" s="707">
        <f t="shared" si="70"/>
        <v>1</v>
      </c>
      <c r="P353" s="716"/>
      <c r="Q353" s="707">
        <f t="shared" si="71"/>
        <v>1</v>
      </c>
      <c r="R353" s="768">
        <f t="shared" si="72"/>
        <v>0</v>
      </c>
      <c r="S353" s="706">
        <f t="shared" si="63"/>
        <v>0</v>
      </c>
    </row>
    <row r="354" spans="1:19">
      <c r="A354" s="714"/>
      <c r="B354" s="715"/>
      <c r="C354" s="707">
        <f t="shared" si="64"/>
        <v>1</v>
      </c>
      <c r="D354" s="716"/>
      <c r="E354" s="707">
        <f t="shared" si="65"/>
        <v>1</v>
      </c>
      <c r="F354" s="716"/>
      <c r="G354" s="707">
        <f t="shared" si="66"/>
        <v>1</v>
      </c>
      <c r="H354" s="716"/>
      <c r="I354" s="707">
        <f t="shared" si="67"/>
        <v>1</v>
      </c>
      <c r="J354" s="716"/>
      <c r="K354" s="707">
        <f t="shared" si="68"/>
        <v>1</v>
      </c>
      <c r="L354" s="716"/>
      <c r="M354" s="707">
        <f t="shared" si="69"/>
        <v>1</v>
      </c>
      <c r="N354" s="716"/>
      <c r="O354" s="707">
        <f t="shared" si="70"/>
        <v>1</v>
      </c>
      <c r="P354" s="716"/>
      <c r="Q354" s="707">
        <f t="shared" si="71"/>
        <v>1</v>
      </c>
      <c r="R354" s="768">
        <f t="shared" si="72"/>
        <v>0</v>
      </c>
      <c r="S354" s="706">
        <f t="shared" si="63"/>
        <v>0</v>
      </c>
    </row>
    <row r="355" spans="1:19">
      <c r="A355" s="714"/>
      <c r="B355" s="715"/>
      <c r="C355" s="707">
        <f t="shared" si="64"/>
        <v>1</v>
      </c>
      <c r="D355" s="716"/>
      <c r="E355" s="707">
        <f t="shared" si="65"/>
        <v>1</v>
      </c>
      <c r="F355" s="716"/>
      <c r="G355" s="707">
        <f t="shared" si="66"/>
        <v>1</v>
      </c>
      <c r="H355" s="716"/>
      <c r="I355" s="707">
        <f t="shared" si="67"/>
        <v>1</v>
      </c>
      <c r="J355" s="716"/>
      <c r="K355" s="707">
        <f t="shared" si="68"/>
        <v>1</v>
      </c>
      <c r="L355" s="716"/>
      <c r="M355" s="707">
        <f t="shared" si="69"/>
        <v>1</v>
      </c>
      <c r="N355" s="716"/>
      <c r="O355" s="707">
        <f t="shared" si="70"/>
        <v>1</v>
      </c>
      <c r="P355" s="716"/>
      <c r="Q355" s="707">
        <f t="shared" si="71"/>
        <v>1</v>
      </c>
      <c r="R355" s="768">
        <f t="shared" si="72"/>
        <v>0</v>
      </c>
      <c r="S355" s="706">
        <f t="shared" si="63"/>
        <v>0</v>
      </c>
    </row>
    <row r="356" spans="1:19">
      <c r="A356" s="714"/>
      <c r="B356" s="715"/>
      <c r="C356" s="707">
        <f t="shared" si="64"/>
        <v>1</v>
      </c>
      <c r="D356" s="716"/>
      <c r="E356" s="707">
        <f t="shared" si="65"/>
        <v>1</v>
      </c>
      <c r="F356" s="716"/>
      <c r="G356" s="707">
        <f t="shared" si="66"/>
        <v>1</v>
      </c>
      <c r="H356" s="716"/>
      <c r="I356" s="707">
        <f t="shared" si="67"/>
        <v>1</v>
      </c>
      <c r="J356" s="716"/>
      <c r="K356" s="707">
        <f t="shared" si="68"/>
        <v>1</v>
      </c>
      <c r="L356" s="716"/>
      <c r="M356" s="707">
        <f t="shared" si="69"/>
        <v>1</v>
      </c>
      <c r="N356" s="716"/>
      <c r="O356" s="707">
        <f t="shared" si="70"/>
        <v>1</v>
      </c>
      <c r="P356" s="716"/>
      <c r="Q356" s="707">
        <f t="shared" si="71"/>
        <v>1</v>
      </c>
      <c r="R356" s="768">
        <f t="shared" si="72"/>
        <v>0</v>
      </c>
      <c r="S356" s="706">
        <f t="shared" si="63"/>
        <v>0</v>
      </c>
    </row>
    <row r="357" spans="1:19">
      <c r="A357" s="714"/>
      <c r="B357" s="715"/>
      <c r="C357" s="707">
        <f t="shared" si="64"/>
        <v>1</v>
      </c>
      <c r="D357" s="716"/>
      <c r="E357" s="707">
        <f t="shared" si="65"/>
        <v>1</v>
      </c>
      <c r="F357" s="716"/>
      <c r="G357" s="707">
        <f t="shared" si="66"/>
        <v>1</v>
      </c>
      <c r="H357" s="716"/>
      <c r="I357" s="707">
        <f t="shared" si="67"/>
        <v>1</v>
      </c>
      <c r="J357" s="716"/>
      <c r="K357" s="707">
        <f t="shared" si="68"/>
        <v>1</v>
      </c>
      <c r="L357" s="716"/>
      <c r="M357" s="707">
        <f t="shared" si="69"/>
        <v>1</v>
      </c>
      <c r="N357" s="716"/>
      <c r="O357" s="707">
        <f t="shared" si="70"/>
        <v>1</v>
      </c>
      <c r="P357" s="716"/>
      <c r="Q357" s="707">
        <f t="shared" si="71"/>
        <v>1</v>
      </c>
      <c r="R357" s="768">
        <f t="shared" si="72"/>
        <v>0</v>
      </c>
      <c r="S357" s="706">
        <f t="shared" si="63"/>
        <v>0</v>
      </c>
    </row>
    <row r="358" spans="1:19">
      <c r="A358" s="714"/>
      <c r="B358" s="715"/>
      <c r="C358" s="707">
        <f t="shared" si="64"/>
        <v>1</v>
      </c>
      <c r="D358" s="716"/>
      <c r="E358" s="707">
        <f t="shared" si="65"/>
        <v>1</v>
      </c>
      <c r="F358" s="716"/>
      <c r="G358" s="707">
        <f t="shared" si="66"/>
        <v>1</v>
      </c>
      <c r="H358" s="716"/>
      <c r="I358" s="707">
        <f t="shared" si="67"/>
        <v>1</v>
      </c>
      <c r="J358" s="716"/>
      <c r="K358" s="707">
        <f t="shared" si="68"/>
        <v>1</v>
      </c>
      <c r="L358" s="716"/>
      <c r="M358" s="707">
        <f t="shared" si="69"/>
        <v>1</v>
      </c>
      <c r="N358" s="716"/>
      <c r="O358" s="707">
        <f t="shared" si="70"/>
        <v>1</v>
      </c>
      <c r="P358" s="716"/>
      <c r="Q358" s="707">
        <f t="shared" si="71"/>
        <v>1</v>
      </c>
      <c r="R358" s="768">
        <f t="shared" si="72"/>
        <v>0</v>
      </c>
      <c r="S358" s="706">
        <f t="shared" si="63"/>
        <v>0</v>
      </c>
    </row>
    <row r="359" spans="1:19">
      <c r="A359" s="714"/>
      <c r="B359" s="715"/>
      <c r="C359" s="707">
        <f t="shared" si="64"/>
        <v>1</v>
      </c>
      <c r="D359" s="716"/>
      <c r="E359" s="707">
        <f t="shared" si="65"/>
        <v>1</v>
      </c>
      <c r="F359" s="716"/>
      <c r="G359" s="707">
        <f t="shared" si="66"/>
        <v>1</v>
      </c>
      <c r="H359" s="716"/>
      <c r="I359" s="707">
        <f t="shared" si="67"/>
        <v>1</v>
      </c>
      <c r="J359" s="716"/>
      <c r="K359" s="707">
        <f t="shared" si="68"/>
        <v>1</v>
      </c>
      <c r="L359" s="716"/>
      <c r="M359" s="707">
        <f t="shared" si="69"/>
        <v>1</v>
      </c>
      <c r="N359" s="716"/>
      <c r="O359" s="707">
        <f t="shared" si="70"/>
        <v>1</v>
      </c>
      <c r="P359" s="716"/>
      <c r="Q359" s="707">
        <f t="shared" si="71"/>
        <v>1</v>
      </c>
      <c r="R359" s="768">
        <f t="shared" si="72"/>
        <v>0</v>
      </c>
      <c r="S359" s="706">
        <f t="shared" si="63"/>
        <v>0</v>
      </c>
    </row>
    <row r="360" spans="1:19">
      <c r="A360" s="714"/>
      <c r="B360" s="715"/>
      <c r="C360" s="707">
        <f t="shared" si="64"/>
        <v>1</v>
      </c>
      <c r="D360" s="716"/>
      <c r="E360" s="707">
        <f t="shared" si="65"/>
        <v>1</v>
      </c>
      <c r="F360" s="716"/>
      <c r="G360" s="707">
        <f t="shared" si="66"/>
        <v>1</v>
      </c>
      <c r="H360" s="716"/>
      <c r="I360" s="707">
        <f t="shared" si="67"/>
        <v>1</v>
      </c>
      <c r="J360" s="716"/>
      <c r="K360" s="707">
        <f t="shared" si="68"/>
        <v>1</v>
      </c>
      <c r="L360" s="716"/>
      <c r="M360" s="707">
        <f t="shared" si="69"/>
        <v>1</v>
      </c>
      <c r="N360" s="716"/>
      <c r="O360" s="707">
        <f t="shared" si="70"/>
        <v>1</v>
      </c>
      <c r="P360" s="716"/>
      <c r="Q360" s="707">
        <f t="shared" si="71"/>
        <v>1</v>
      </c>
      <c r="R360" s="768">
        <f t="shared" si="72"/>
        <v>0</v>
      </c>
      <c r="S360" s="706">
        <f t="shared" si="63"/>
        <v>0</v>
      </c>
    </row>
    <row r="361" spans="1:19">
      <c r="A361" s="714"/>
      <c r="B361" s="715"/>
      <c r="C361" s="707">
        <f t="shared" si="64"/>
        <v>1</v>
      </c>
      <c r="D361" s="716"/>
      <c r="E361" s="707">
        <f t="shared" si="65"/>
        <v>1</v>
      </c>
      <c r="F361" s="716"/>
      <c r="G361" s="707">
        <f t="shared" si="66"/>
        <v>1</v>
      </c>
      <c r="H361" s="716"/>
      <c r="I361" s="707">
        <f t="shared" si="67"/>
        <v>1</v>
      </c>
      <c r="J361" s="716"/>
      <c r="K361" s="707">
        <f t="shared" si="68"/>
        <v>1</v>
      </c>
      <c r="L361" s="716"/>
      <c r="M361" s="707">
        <f t="shared" si="69"/>
        <v>1</v>
      </c>
      <c r="N361" s="716"/>
      <c r="O361" s="707">
        <f t="shared" si="70"/>
        <v>1</v>
      </c>
      <c r="P361" s="716"/>
      <c r="Q361" s="707">
        <f t="shared" si="71"/>
        <v>1</v>
      </c>
      <c r="R361" s="768">
        <f t="shared" si="72"/>
        <v>0</v>
      </c>
      <c r="S361" s="706">
        <f t="shared" si="63"/>
        <v>0</v>
      </c>
    </row>
    <row r="362" spans="1:19">
      <c r="A362" s="714"/>
      <c r="B362" s="715"/>
      <c r="C362" s="707">
        <f t="shared" si="64"/>
        <v>1</v>
      </c>
      <c r="D362" s="716"/>
      <c r="E362" s="707">
        <f t="shared" si="65"/>
        <v>1</v>
      </c>
      <c r="F362" s="716"/>
      <c r="G362" s="707">
        <f t="shared" si="66"/>
        <v>1</v>
      </c>
      <c r="H362" s="716"/>
      <c r="I362" s="707">
        <f t="shared" si="67"/>
        <v>1</v>
      </c>
      <c r="J362" s="716"/>
      <c r="K362" s="707">
        <f t="shared" si="68"/>
        <v>1</v>
      </c>
      <c r="L362" s="716"/>
      <c r="M362" s="707">
        <f t="shared" si="69"/>
        <v>1</v>
      </c>
      <c r="N362" s="716"/>
      <c r="O362" s="707">
        <f t="shared" si="70"/>
        <v>1</v>
      </c>
      <c r="P362" s="716"/>
      <c r="Q362" s="707">
        <f t="shared" si="71"/>
        <v>1</v>
      </c>
      <c r="R362" s="768">
        <f t="shared" si="72"/>
        <v>0</v>
      </c>
      <c r="S362" s="706">
        <f t="shared" si="63"/>
        <v>0</v>
      </c>
    </row>
    <row r="363" spans="1:19">
      <c r="A363" s="714"/>
      <c r="B363" s="715"/>
      <c r="C363" s="707">
        <f t="shared" si="64"/>
        <v>1</v>
      </c>
      <c r="D363" s="716"/>
      <c r="E363" s="707">
        <f t="shared" si="65"/>
        <v>1</v>
      </c>
      <c r="F363" s="716"/>
      <c r="G363" s="707">
        <f t="shared" si="66"/>
        <v>1</v>
      </c>
      <c r="H363" s="716"/>
      <c r="I363" s="707">
        <f t="shared" si="67"/>
        <v>1</v>
      </c>
      <c r="J363" s="716"/>
      <c r="K363" s="707">
        <f t="shared" si="68"/>
        <v>1</v>
      </c>
      <c r="L363" s="716"/>
      <c r="M363" s="707">
        <f t="shared" si="69"/>
        <v>1</v>
      </c>
      <c r="N363" s="716"/>
      <c r="O363" s="707">
        <f t="shared" si="70"/>
        <v>1</v>
      </c>
      <c r="P363" s="716"/>
      <c r="Q363" s="707">
        <f t="shared" si="71"/>
        <v>1</v>
      </c>
      <c r="R363" s="768">
        <f t="shared" si="72"/>
        <v>0</v>
      </c>
      <c r="S363" s="706">
        <f t="shared" si="63"/>
        <v>0</v>
      </c>
    </row>
    <row r="364" spans="1:19">
      <c r="A364" s="714"/>
      <c r="B364" s="715"/>
      <c r="C364" s="707">
        <f t="shared" si="64"/>
        <v>1</v>
      </c>
      <c r="D364" s="716"/>
      <c r="E364" s="707">
        <f t="shared" si="65"/>
        <v>1</v>
      </c>
      <c r="F364" s="716"/>
      <c r="G364" s="707">
        <f t="shared" si="66"/>
        <v>1</v>
      </c>
      <c r="H364" s="716"/>
      <c r="I364" s="707">
        <f t="shared" si="67"/>
        <v>1</v>
      </c>
      <c r="J364" s="716"/>
      <c r="K364" s="707">
        <f t="shared" si="68"/>
        <v>1</v>
      </c>
      <c r="L364" s="716"/>
      <c r="M364" s="707">
        <f t="shared" si="69"/>
        <v>1</v>
      </c>
      <c r="N364" s="716"/>
      <c r="O364" s="707">
        <f t="shared" si="70"/>
        <v>1</v>
      </c>
      <c r="P364" s="716"/>
      <c r="Q364" s="707">
        <f t="shared" si="71"/>
        <v>1</v>
      </c>
      <c r="R364" s="768">
        <f t="shared" si="72"/>
        <v>0</v>
      </c>
      <c r="S364" s="706">
        <f t="shared" si="63"/>
        <v>0</v>
      </c>
    </row>
    <row r="365" spans="1:19">
      <c r="A365" s="714"/>
      <c r="B365" s="715"/>
      <c r="C365" s="707">
        <f t="shared" si="64"/>
        <v>1</v>
      </c>
      <c r="D365" s="716"/>
      <c r="E365" s="707">
        <f t="shared" si="65"/>
        <v>1</v>
      </c>
      <c r="F365" s="716"/>
      <c r="G365" s="707">
        <f t="shared" si="66"/>
        <v>1</v>
      </c>
      <c r="H365" s="716"/>
      <c r="I365" s="707">
        <f t="shared" si="67"/>
        <v>1</v>
      </c>
      <c r="J365" s="716"/>
      <c r="K365" s="707">
        <f t="shared" si="68"/>
        <v>1</v>
      </c>
      <c r="L365" s="716"/>
      <c r="M365" s="707">
        <f t="shared" si="69"/>
        <v>1</v>
      </c>
      <c r="N365" s="716"/>
      <c r="O365" s="707">
        <f t="shared" si="70"/>
        <v>1</v>
      </c>
      <c r="P365" s="716"/>
      <c r="Q365" s="707">
        <f t="shared" si="71"/>
        <v>1</v>
      </c>
      <c r="R365" s="768">
        <f t="shared" si="72"/>
        <v>0</v>
      </c>
      <c r="S365" s="706">
        <f t="shared" si="63"/>
        <v>0</v>
      </c>
    </row>
    <row r="366" spans="1:19">
      <c r="A366" s="714"/>
      <c r="B366" s="715"/>
      <c r="C366" s="707">
        <f t="shared" si="64"/>
        <v>1</v>
      </c>
      <c r="D366" s="716"/>
      <c r="E366" s="707">
        <f t="shared" si="65"/>
        <v>1</v>
      </c>
      <c r="F366" s="716"/>
      <c r="G366" s="707">
        <f t="shared" si="66"/>
        <v>1</v>
      </c>
      <c r="H366" s="716"/>
      <c r="I366" s="707">
        <f t="shared" si="67"/>
        <v>1</v>
      </c>
      <c r="J366" s="716"/>
      <c r="K366" s="707">
        <f t="shared" si="68"/>
        <v>1</v>
      </c>
      <c r="L366" s="716"/>
      <c r="M366" s="707">
        <f t="shared" si="69"/>
        <v>1</v>
      </c>
      <c r="N366" s="716"/>
      <c r="O366" s="707">
        <f t="shared" si="70"/>
        <v>1</v>
      </c>
      <c r="P366" s="716"/>
      <c r="Q366" s="707">
        <f t="shared" si="71"/>
        <v>1</v>
      </c>
      <c r="R366" s="768">
        <f t="shared" si="72"/>
        <v>0</v>
      </c>
      <c r="S366" s="706">
        <f t="shared" si="63"/>
        <v>0</v>
      </c>
    </row>
    <row r="367" spans="1:19">
      <c r="A367" s="714"/>
      <c r="B367" s="715"/>
      <c r="C367" s="707">
        <f t="shared" si="64"/>
        <v>1</v>
      </c>
      <c r="D367" s="716"/>
      <c r="E367" s="707">
        <f t="shared" si="65"/>
        <v>1</v>
      </c>
      <c r="F367" s="716"/>
      <c r="G367" s="707">
        <f t="shared" si="66"/>
        <v>1</v>
      </c>
      <c r="H367" s="716"/>
      <c r="I367" s="707">
        <f t="shared" si="67"/>
        <v>1</v>
      </c>
      <c r="J367" s="716"/>
      <c r="K367" s="707">
        <f t="shared" si="68"/>
        <v>1</v>
      </c>
      <c r="L367" s="716"/>
      <c r="M367" s="707">
        <f t="shared" si="69"/>
        <v>1</v>
      </c>
      <c r="N367" s="716"/>
      <c r="O367" s="707">
        <f t="shared" si="70"/>
        <v>1</v>
      </c>
      <c r="P367" s="716"/>
      <c r="Q367" s="707">
        <f t="shared" si="71"/>
        <v>1</v>
      </c>
      <c r="R367" s="768">
        <f t="shared" si="72"/>
        <v>0</v>
      </c>
      <c r="S367" s="706">
        <f t="shared" si="63"/>
        <v>0</v>
      </c>
    </row>
    <row r="368" spans="1:19">
      <c r="A368" s="714"/>
      <c r="B368" s="715"/>
      <c r="C368" s="707">
        <f t="shared" si="64"/>
        <v>1</v>
      </c>
      <c r="D368" s="716"/>
      <c r="E368" s="707">
        <f t="shared" si="65"/>
        <v>1</v>
      </c>
      <c r="F368" s="716"/>
      <c r="G368" s="707">
        <f t="shared" si="66"/>
        <v>1</v>
      </c>
      <c r="H368" s="716"/>
      <c r="I368" s="707">
        <f t="shared" si="67"/>
        <v>1</v>
      </c>
      <c r="J368" s="716"/>
      <c r="K368" s="707">
        <f t="shared" si="68"/>
        <v>1</v>
      </c>
      <c r="L368" s="716"/>
      <c r="M368" s="707">
        <f t="shared" si="69"/>
        <v>1</v>
      </c>
      <c r="N368" s="716"/>
      <c r="O368" s="707">
        <f t="shared" si="70"/>
        <v>1</v>
      </c>
      <c r="P368" s="716"/>
      <c r="Q368" s="707">
        <f t="shared" si="71"/>
        <v>1</v>
      </c>
      <c r="R368" s="768">
        <f t="shared" si="72"/>
        <v>0</v>
      </c>
      <c r="S368" s="706">
        <f t="shared" si="63"/>
        <v>0</v>
      </c>
    </row>
    <row r="369" spans="1:19">
      <c r="A369" s="714"/>
      <c r="B369" s="715"/>
      <c r="C369" s="707">
        <f t="shared" si="64"/>
        <v>1</v>
      </c>
      <c r="D369" s="716"/>
      <c r="E369" s="707">
        <f t="shared" si="65"/>
        <v>1</v>
      </c>
      <c r="F369" s="716"/>
      <c r="G369" s="707">
        <f t="shared" si="66"/>
        <v>1</v>
      </c>
      <c r="H369" s="716"/>
      <c r="I369" s="707">
        <f t="shared" si="67"/>
        <v>1</v>
      </c>
      <c r="J369" s="716"/>
      <c r="K369" s="707">
        <f t="shared" si="68"/>
        <v>1</v>
      </c>
      <c r="L369" s="716"/>
      <c r="M369" s="707">
        <f t="shared" si="69"/>
        <v>1</v>
      </c>
      <c r="N369" s="716"/>
      <c r="O369" s="707">
        <f t="shared" si="70"/>
        <v>1</v>
      </c>
      <c r="P369" s="716"/>
      <c r="Q369" s="707">
        <f t="shared" si="71"/>
        <v>1</v>
      </c>
      <c r="R369" s="768">
        <f t="shared" si="72"/>
        <v>0</v>
      </c>
      <c r="S369" s="706">
        <f t="shared" si="63"/>
        <v>0</v>
      </c>
    </row>
    <row r="370" spans="1:19">
      <c r="A370" s="714"/>
      <c r="B370" s="715"/>
      <c r="C370" s="707">
        <f t="shared" si="64"/>
        <v>1</v>
      </c>
      <c r="D370" s="716"/>
      <c r="E370" s="707">
        <f t="shared" si="65"/>
        <v>1</v>
      </c>
      <c r="F370" s="716"/>
      <c r="G370" s="707">
        <f t="shared" si="66"/>
        <v>1</v>
      </c>
      <c r="H370" s="716"/>
      <c r="I370" s="707">
        <f t="shared" si="67"/>
        <v>1</v>
      </c>
      <c r="J370" s="716"/>
      <c r="K370" s="707">
        <f t="shared" si="68"/>
        <v>1</v>
      </c>
      <c r="L370" s="716"/>
      <c r="M370" s="707">
        <f t="shared" si="69"/>
        <v>1</v>
      </c>
      <c r="N370" s="716"/>
      <c r="O370" s="707">
        <f t="shared" si="70"/>
        <v>1</v>
      </c>
      <c r="P370" s="716"/>
      <c r="Q370" s="707">
        <f t="shared" si="71"/>
        <v>1</v>
      </c>
      <c r="R370" s="768">
        <f t="shared" si="72"/>
        <v>0</v>
      </c>
      <c r="S370" s="706">
        <f t="shared" si="63"/>
        <v>0</v>
      </c>
    </row>
    <row r="371" spans="1:19">
      <c r="A371" s="714"/>
      <c r="B371" s="715"/>
      <c r="C371" s="707">
        <f t="shared" si="64"/>
        <v>1</v>
      </c>
      <c r="D371" s="716"/>
      <c r="E371" s="707">
        <f t="shared" si="65"/>
        <v>1</v>
      </c>
      <c r="F371" s="716"/>
      <c r="G371" s="707">
        <f t="shared" si="66"/>
        <v>1</v>
      </c>
      <c r="H371" s="716"/>
      <c r="I371" s="707">
        <f t="shared" si="67"/>
        <v>1</v>
      </c>
      <c r="J371" s="716"/>
      <c r="K371" s="707">
        <f t="shared" si="68"/>
        <v>1</v>
      </c>
      <c r="L371" s="716"/>
      <c r="M371" s="707">
        <f t="shared" si="69"/>
        <v>1</v>
      </c>
      <c r="N371" s="716"/>
      <c r="O371" s="707">
        <f t="shared" si="70"/>
        <v>1</v>
      </c>
      <c r="P371" s="716"/>
      <c r="Q371" s="707">
        <f t="shared" si="71"/>
        <v>1</v>
      </c>
      <c r="R371" s="768">
        <f t="shared" si="72"/>
        <v>0</v>
      </c>
      <c r="S371" s="706">
        <f t="shared" si="63"/>
        <v>0</v>
      </c>
    </row>
    <row r="372" spans="1:19">
      <c r="A372" s="714"/>
      <c r="B372" s="715"/>
      <c r="C372" s="707">
        <f t="shared" si="64"/>
        <v>1</v>
      </c>
      <c r="D372" s="716"/>
      <c r="E372" s="707">
        <f t="shared" si="65"/>
        <v>1</v>
      </c>
      <c r="F372" s="716"/>
      <c r="G372" s="707">
        <f t="shared" si="66"/>
        <v>1</v>
      </c>
      <c r="H372" s="716"/>
      <c r="I372" s="707">
        <f t="shared" si="67"/>
        <v>1</v>
      </c>
      <c r="J372" s="716"/>
      <c r="K372" s="707">
        <f t="shared" si="68"/>
        <v>1</v>
      </c>
      <c r="L372" s="716"/>
      <c r="M372" s="707">
        <f t="shared" si="69"/>
        <v>1</v>
      </c>
      <c r="N372" s="716"/>
      <c r="O372" s="707">
        <f t="shared" si="70"/>
        <v>1</v>
      </c>
      <c r="P372" s="716"/>
      <c r="Q372" s="707">
        <f t="shared" si="71"/>
        <v>1</v>
      </c>
      <c r="R372" s="768">
        <f t="shared" si="72"/>
        <v>0</v>
      </c>
      <c r="S372" s="706">
        <f t="shared" si="63"/>
        <v>0</v>
      </c>
    </row>
    <row r="373" spans="1:19">
      <c r="A373" s="714"/>
      <c r="B373" s="715"/>
      <c r="C373" s="707">
        <f t="shared" si="64"/>
        <v>1</v>
      </c>
      <c r="D373" s="716"/>
      <c r="E373" s="707">
        <f t="shared" si="65"/>
        <v>1</v>
      </c>
      <c r="F373" s="716"/>
      <c r="G373" s="707">
        <f t="shared" si="66"/>
        <v>1</v>
      </c>
      <c r="H373" s="716"/>
      <c r="I373" s="707">
        <f t="shared" si="67"/>
        <v>1</v>
      </c>
      <c r="J373" s="716"/>
      <c r="K373" s="707">
        <f t="shared" si="68"/>
        <v>1</v>
      </c>
      <c r="L373" s="716"/>
      <c r="M373" s="707">
        <f t="shared" si="69"/>
        <v>1</v>
      </c>
      <c r="N373" s="716"/>
      <c r="O373" s="707">
        <f t="shared" si="70"/>
        <v>1</v>
      </c>
      <c r="P373" s="716"/>
      <c r="Q373" s="707">
        <f t="shared" si="71"/>
        <v>1</v>
      </c>
      <c r="R373" s="768">
        <f t="shared" si="72"/>
        <v>0</v>
      </c>
      <c r="S373" s="706">
        <f t="shared" si="63"/>
        <v>0</v>
      </c>
    </row>
    <row r="374" spans="1:19">
      <c r="A374" s="714"/>
      <c r="B374" s="715"/>
      <c r="C374" s="707">
        <f t="shared" si="64"/>
        <v>1</v>
      </c>
      <c r="D374" s="716"/>
      <c r="E374" s="707">
        <f t="shared" si="65"/>
        <v>1</v>
      </c>
      <c r="F374" s="716"/>
      <c r="G374" s="707">
        <f t="shared" si="66"/>
        <v>1</v>
      </c>
      <c r="H374" s="716"/>
      <c r="I374" s="707">
        <f t="shared" si="67"/>
        <v>1</v>
      </c>
      <c r="J374" s="716"/>
      <c r="K374" s="707">
        <f t="shared" si="68"/>
        <v>1</v>
      </c>
      <c r="L374" s="716"/>
      <c r="M374" s="707">
        <f t="shared" si="69"/>
        <v>1</v>
      </c>
      <c r="N374" s="716"/>
      <c r="O374" s="707">
        <f t="shared" si="70"/>
        <v>1</v>
      </c>
      <c r="P374" s="716"/>
      <c r="Q374" s="707">
        <f t="shared" si="71"/>
        <v>1</v>
      </c>
      <c r="R374" s="768">
        <f t="shared" si="72"/>
        <v>0</v>
      </c>
      <c r="S374" s="706">
        <f t="shared" si="63"/>
        <v>0</v>
      </c>
    </row>
    <row r="375" spans="1:19">
      <c r="A375" s="714"/>
      <c r="B375" s="715"/>
      <c r="C375" s="707">
        <f t="shared" si="64"/>
        <v>1</v>
      </c>
      <c r="D375" s="716"/>
      <c r="E375" s="707">
        <f t="shared" si="65"/>
        <v>1</v>
      </c>
      <c r="F375" s="716"/>
      <c r="G375" s="707">
        <f t="shared" si="66"/>
        <v>1</v>
      </c>
      <c r="H375" s="716"/>
      <c r="I375" s="707">
        <f t="shared" si="67"/>
        <v>1</v>
      </c>
      <c r="J375" s="716"/>
      <c r="K375" s="707">
        <f t="shared" si="68"/>
        <v>1</v>
      </c>
      <c r="L375" s="716"/>
      <c r="M375" s="707">
        <f t="shared" si="69"/>
        <v>1</v>
      </c>
      <c r="N375" s="716"/>
      <c r="O375" s="707">
        <f t="shared" si="70"/>
        <v>1</v>
      </c>
      <c r="P375" s="716"/>
      <c r="Q375" s="707">
        <f t="shared" si="71"/>
        <v>1</v>
      </c>
      <c r="R375" s="768">
        <f t="shared" si="72"/>
        <v>0</v>
      </c>
      <c r="S375" s="706">
        <f t="shared" si="63"/>
        <v>0</v>
      </c>
    </row>
    <row r="376" spans="1:19">
      <c r="A376" s="714"/>
      <c r="B376" s="715"/>
      <c r="C376" s="707">
        <f t="shared" si="64"/>
        <v>1</v>
      </c>
      <c r="D376" s="716"/>
      <c r="E376" s="707">
        <f t="shared" si="65"/>
        <v>1</v>
      </c>
      <c r="F376" s="716"/>
      <c r="G376" s="707">
        <f t="shared" si="66"/>
        <v>1</v>
      </c>
      <c r="H376" s="716"/>
      <c r="I376" s="707">
        <f t="shared" si="67"/>
        <v>1</v>
      </c>
      <c r="J376" s="716"/>
      <c r="K376" s="707">
        <f t="shared" si="68"/>
        <v>1</v>
      </c>
      <c r="L376" s="716"/>
      <c r="M376" s="707">
        <f t="shared" si="69"/>
        <v>1</v>
      </c>
      <c r="N376" s="716"/>
      <c r="O376" s="707">
        <f t="shared" si="70"/>
        <v>1</v>
      </c>
      <c r="P376" s="716"/>
      <c r="Q376" s="707">
        <f t="shared" si="71"/>
        <v>1</v>
      </c>
      <c r="R376" s="768">
        <f t="shared" si="72"/>
        <v>0</v>
      </c>
      <c r="S376" s="706">
        <f t="shared" si="63"/>
        <v>0</v>
      </c>
    </row>
    <row r="377" spans="1:19">
      <c r="A377" s="714"/>
      <c r="B377" s="715"/>
      <c r="C377" s="707">
        <f t="shared" si="64"/>
        <v>1</v>
      </c>
      <c r="D377" s="716"/>
      <c r="E377" s="707">
        <f t="shared" si="65"/>
        <v>1</v>
      </c>
      <c r="F377" s="716"/>
      <c r="G377" s="707">
        <f t="shared" si="66"/>
        <v>1</v>
      </c>
      <c r="H377" s="716"/>
      <c r="I377" s="707">
        <f t="shared" si="67"/>
        <v>1</v>
      </c>
      <c r="J377" s="716"/>
      <c r="K377" s="707">
        <f t="shared" si="68"/>
        <v>1</v>
      </c>
      <c r="L377" s="716"/>
      <c r="M377" s="707">
        <f t="shared" si="69"/>
        <v>1</v>
      </c>
      <c r="N377" s="716"/>
      <c r="O377" s="707">
        <f t="shared" si="70"/>
        <v>1</v>
      </c>
      <c r="P377" s="716"/>
      <c r="Q377" s="707">
        <f t="shared" si="71"/>
        <v>1</v>
      </c>
      <c r="R377" s="768">
        <f t="shared" si="72"/>
        <v>0</v>
      </c>
      <c r="S377" s="706">
        <f t="shared" si="63"/>
        <v>0</v>
      </c>
    </row>
    <row r="378" spans="1:19">
      <c r="A378" s="714"/>
      <c r="B378" s="715"/>
      <c r="C378" s="707">
        <f t="shared" si="64"/>
        <v>1</v>
      </c>
      <c r="D378" s="716"/>
      <c r="E378" s="707">
        <f t="shared" si="65"/>
        <v>1</v>
      </c>
      <c r="F378" s="716"/>
      <c r="G378" s="707">
        <f t="shared" si="66"/>
        <v>1</v>
      </c>
      <c r="H378" s="716"/>
      <c r="I378" s="707">
        <f t="shared" si="67"/>
        <v>1</v>
      </c>
      <c r="J378" s="716"/>
      <c r="K378" s="707">
        <f t="shared" si="68"/>
        <v>1</v>
      </c>
      <c r="L378" s="716"/>
      <c r="M378" s="707">
        <f t="shared" si="69"/>
        <v>1</v>
      </c>
      <c r="N378" s="716"/>
      <c r="O378" s="707">
        <f t="shared" si="70"/>
        <v>1</v>
      </c>
      <c r="P378" s="716"/>
      <c r="Q378" s="707">
        <f t="shared" si="71"/>
        <v>1</v>
      </c>
      <c r="R378" s="768">
        <f t="shared" si="72"/>
        <v>0</v>
      </c>
      <c r="S378" s="706">
        <f t="shared" si="63"/>
        <v>0</v>
      </c>
    </row>
    <row r="379" spans="1:19">
      <c r="A379" s="714"/>
      <c r="B379" s="715"/>
      <c r="C379" s="707">
        <f t="shared" si="64"/>
        <v>1</v>
      </c>
      <c r="D379" s="716"/>
      <c r="E379" s="707">
        <f t="shared" si="65"/>
        <v>1</v>
      </c>
      <c r="F379" s="716"/>
      <c r="G379" s="707">
        <f t="shared" si="66"/>
        <v>1</v>
      </c>
      <c r="H379" s="716"/>
      <c r="I379" s="707">
        <f t="shared" si="67"/>
        <v>1</v>
      </c>
      <c r="J379" s="716"/>
      <c r="K379" s="707">
        <f t="shared" si="68"/>
        <v>1</v>
      </c>
      <c r="L379" s="716"/>
      <c r="M379" s="707">
        <f t="shared" si="69"/>
        <v>1</v>
      </c>
      <c r="N379" s="716"/>
      <c r="O379" s="707">
        <f t="shared" si="70"/>
        <v>1</v>
      </c>
      <c r="P379" s="716"/>
      <c r="Q379" s="707">
        <f t="shared" si="71"/>
        <v>1</v>
      </c>
      <c r="R379" s="768">
        <f t="shared" si="72"/>
        <v>0</v>
      </c>
      <c r="S379" s="706">
        <f t="shared" si="63"/>
        <v>0</v>
      </c>
    </row>
    <row r="380" spans="1:19">
      <c r="A380" s="714"/>
      <c r="B380" s="715"/>
      <c r="C380" s="707">
        <f t="shared" si="64"/>
        <v>1</v>
      </c>
      <c r="D380" s="716"/>
      <c r="E380" s="707">
        <f t="shared" si="65"/>
        <v>1</v>
      </c>
      <c r="F380" s="716"/>
      <c r="G380" s="707">
        <f t="shared" si="66"/>
        <v>1</v>
      </c>
      <c r="H380" s="716"/>
      <c r="I380" s="707">
        <f t="shared" si="67"/>
        <v>1</v>
      </c>
      <c r="J380" s="716"/>
      <c r="K380" s="707">
        <f t="shared" si="68"/>
        <v>1</v>
      </c>
      <c r="L380" s="716"/>
      <c r="M380" s="707">
        <f t="shared" si="69"/>
        <v>1</v>
      </c>
      <c r="N380" s="716"/>
      <c r="O380" s="707">
        <f t="shared" si="70"/>
        <v>1</v>
      </c>
      <c r="P380" s="716"/>
      <c r="Q380" s="707">
        <f t="shared" si="71"/>
        <v>1</v>
      </c>
      <c r="R380" s="768">
        <f t="shared" si="72"/>
        <v>0</v>
      </c>
      <c r="S380" s="706">
        <f t="shared" si="63"/>
        <v>0</v>
      </c>
    </row>
    <row r="381" spans="1:19">
      <c r="A381" s="714"/>
      <c r="B381" s="715"/>
      <c r="C381" s="707">
        <f t="shared" si="64"/>
        <v>1</v>
      </c>
      <c r="D381" s="716"/>
      <c r="E381" s="707">
        <f t="shared" si="65"/>
        <v>1</v>
      </c>
      <c r="F381" s="716"/>
      <c r="G381" s="707">
        <f t="shared" si="66"/>
        <v>1</v>
      </c>
      <c r="H381" s="716"/>
      <c r="I381" s="707">
        <f t="shared" si="67"/>
        <v>1</v>
      </c>
      <c r="J381" s="716"/>
      <c r="K381" s="707">
        <f t="shared" si="68"/>
        <v>1</v>
      </c>
      <c r="L381" s="716"/>
      <c r="M381" s="707">
        <f t="shared" si="69"/>
        <v>1</v>
      </c>
      <c r="N381" s="716"/>
      <c r="O381" s="707">
        <f t="shared" si="70"/>
        <v>1</v>
      </c>
      <c r="P381" s="716"/>
      <c r="Q381" s="707">
        <f t="shared" si="71"/>
        <v>1</v>
      </c>
      <c r="R381" s="768">
        <f t="shared" si="72"/>
        <v>0</v>
      </c>
      <c r="S381" s="706">
        <f t="shared" si="63"/>
        <v>0</v>
      </c>
    </row>
    <row r="382" spans="1:19">
      <c r="A382" s="714"/>
      <c r="B382" s="715"/>
      <c r="C382" s="707">
        <f t="shared" si="64"/>
        <v>1</v>
      </c>
      <c r="D382" s="716"/>
      <c r="E382" s="707">
        <f t="shared" si="65"/>
        <v>1</v>
      </c>
      <c r="F382" s="716"/>
      <c r="G382" s="707">
        <f t="shared" si="66"/>
        <v>1</v>
      </c>
      <c r="H382" s="716"/>
      <c r="I382" s="707">
        <f t="shared" si="67"/>
        <v>1</v>
      </c>
      <c r="J382" s="716"/>
      <c r="K382" s="707">
        <f t="shared" si="68"/>
        <v>1</v>
      </c>
      <c r="L382" s="716"/>
      <c r="M382" s="707">
        <f t="shared" si="69"/>
        <v>1</v>
      </c>
      <c r="N382" s="716"/>
      <c r="O382" s="707">
        <f t="shared" si="70"/>
        <v>1</v>
      </c>
      <c r="P382" s="716"/>
      <c r="Q382" s="707">
        <f t="shared" si="71"/>
        <v>1</v>
      </c>
      <c r="R382" s="768">
        <f t="shared" si="72"/>
        <v>0</v>
      </c>
      <c r="S382" s="706">
        <f t="shared" si="63"/>
        <v>0</v>
      </c>
    </row>
    <row r="383" spans="1:19">
      <c r="A383" s="714"/>
      <c r="B383" s="715"/>
      <c r="C383" s="707">
        <f t="shared" si="64"/>
        <v>1</v>
      </c>
      <c r="D383" s="716"/>
      <c r="E383" s="707">
        <f t="shared" si="65"/>
        <v>1</v>
      </c>
      <c r="F383" s="716"/>
      <c r="G383" s="707">
        <f t="shared" si="66"/>
        <v>1</v>
      </c>
      <c r="H383" s="716"/>
      <c r="I383" s="707">
        <f t="shared" si="67"/>
        <v>1</v>
      </c>
      <c r="J383" s="716"/>
      <c r="K383" s="707">
        <f t="shared" si="68"/>
        <v>1</v>
      </c>
      <c r="L383" s="716"/>
      <c r="M383" s="707">
        <f t="shared" si="69"/>
        <v>1</v>
      </c>
      <c r="N383" s="716"/>
      <c r="O383" s="707">
        <f t="shared" si="70"/>
        <v>1</v>
      </c>
      <c r="P383" s="716"/>
      <c r="Q383" s="707">
        <f t="shared" si="71"/>
        <v>1</v>
      </c>
      <c r="R383" s="768">
        <f t="shared" si="72"/>
        <v>0</v>
      </c>
      <c r="S383" s="706">
        <f t="shared" si="63"/>
        <v>0</v>
      </c>
    </row>
    <row r="384" spans="1:19">
      <c r="A384" s="714"/>
      <c r="B384" s="715"/>
      <c r="C384" s="707">
        <f t="shared" si="64"/>
        <v>1</v>
      </c>
      <c r="D384" s="716"/>
      <c r="E384" s="707">
        <f t="shared" si="65"/>
        <v>1</v>
      </c>
      <c r="F384" s="716"/>
      <c r="G384" s="707">
        <f t="shared" si="66"/>
        <v>1</v>
      </c>
      <c r="H384" s="716"/>
      <c r="I384" s="707">
        <f t="shared" si="67"/>
        <v>1</v>
      </c>
      <c r="J384" s="716"/>
      <c r="K384" s="707">
        <f t="shared" si="68"/>
        <v>1</v>
      </c>
      <c r="L384" s="716"/>
      <c r="M384" s="707">
        <f t="shared" si="69"/>
        <v>1</v>
      </c>
      <c r="N384" s="716"/>
      <c r="O384" s="707">
        <f t="shared" si="70"/>
        <v>1</v>
      </c>
      <c r="P384" s="716"/>
      <c r="Q384" s="707">
        <f t="shared" si="71"/>
        <v>1</v>
      </c>
      <c r="R384" s="768">
        <f t="shared" si="72"/>
        <v>0</v>
      </c>
      <c r="S384" s="706">
        <f t="shared" si="63"/>
        <v>0</v>
      </c>
    </row>
    <row r="385" spans="1:19">
      <c r="A385" s="714"/>
      <c r="B385" s="715"/>
      <c r="C385" s="707">
        <f t="shared" si="64"/>
        <v>1</v>
      </c>
      <c r="D385" s="716"/>
      <c r="E385" s="707">
        <f t="shared" si="65"/>
        <v>1</v>
      </c>
      <c r="F385" s="716"/>
      <c r="G385" s="707">
        <f t="shared" si="66"/>
        <v>1</v>
      </c>
      <c r="H385" s="716"/>
      <c r="I385" s="707">
        <f t="shared" si="67"/>
        <v>1</v>
      </c>
      <c r="J385" s="716"/>
      <c r="K385" s="707">
        <f t="shared" si="68"/>
        <v>1</v>
      </c>
      <c r="L385" s="716"/>
      <c r="M385" s="707">
        <f t="shared" si="69"/>
        <v>1</v>
      </c>
      <c r="N385" s="716"/>
      <c r="O385" s="707">
        <f t="shared" si="70"/>
        <v>1</v>
      </c>
      <c r="P385" s="716"/>
      <c r="Q385" s="707">
        <f t="shared" si="71"/>
        <v>1</v>
      </c>
      <c r="R385" s="768">
        <f t="shared" si="72"/>
        <v>0</v>
      </c>
      <c r="S385" s="706">
        <f t="shared" ref="S385:S422" si="73">ROUND(R385*B385/10000,0)</f>
        <v>0</v>
      </c>
    </row>
    <row r="386" spans="1:19">
      <c r="A386" s="714"/>
      <c r="B386" s="715"/>
      <c r="C386" s="707">
        <f t="shared" si="64"/>
        <v>1</v>
      </c>
      <c r="D386" s="716"/>
      <c r="E386" s="707">
        <f t="shared" si="65"/>
        <v>1</v>
      </c>
      <c r="F386" s="716"/>
      <c r="G386" s="707">
        <f t="shared" si="66"/>
        <v>1</v>
      </c>
      <c r="H386" s="716"/>
      <c r="I386" s="707">
        <f t="shared" si="67"/>
        <v>1</v>
      </c>
      <c r="J386" s="716"/>
      <c r="K386" s="707">
        <f t="shared" si="68"/>
        <v>1</v>
      </c>
      <c r="L386" s="716"/>
      <c r="M386" s="707">
        <f t="shared" si="69"/>
        <v>1</v>
      </c>
      <c r="N386" s="716"/>
      <c r="O386" s="707">
        <f t="shared" si="70"/>
        <v>1</v>
      </c>
      <c r="P386" s="716"/>
      <c r="Q386" s="707">
        <f t="shared" si="71"/>
        <v>1</v>
      </c>
      <c r="R386" s="768">
        <f t="shared" si="72"/>
        <v>0</v>
      </c>
      <c r="S386" s="706">
        <f t="shared" si="73"/>
        <v>0</v>
      </c>
    </row>
    <row r="387" spans="1:19">
      <c r="A387" s="714"/>
      <c r="B387" s="715"/>
      <c r="C387" s="707">
        <f t="shared" si="64"/>
        <v>1</v>
      </c>
      <c r="D387" s="716"/>
      <c r="E387" s="707">
        <f t="shared" si="65"/>
        <v>1</v>
      </c>
      <c r="F387" s="716"/>
      <c r="G387" s="707">
        <f t="shared" si="66"/>
        <v>1</v>
      </c>
      <c r="H387" s="716"/>
      <c r="I387" s="707">
        <f t="shared" si="67"/>
        <v>1</v>
      </c>
      <c r="J387" s="716"/>
      <c r="K387" s="707">
        <f t="shared" si="68"/>
        <v>1</v>
      </c>
      <c r="L387" s="716"/>
      <c r="M387" s="707">
        <f t="shared" si="69"/>
        <v>1</v>
      </c>
      <c r="N387" s="716"/>
      <c r="O387" s="707">
        <f t="shared" si="70"/>
        <v>1</v>
      </c>
      <c r="P387" s="716"/>
      <c r="Q387" s="707">
        <f t="shared" si="71"/>
        <v>1</v>
      </c>
      <c r="R387" s="768">
        <f t="shared" si="72"/>
        <v>0</v>
      </c>
      <c r="S387" s="706">
        <f t="shared" si="73"/>
        <v>0</v>
      </c>
    </row>
    <row r="388" spans="1:19">
      <c r="A388" s="714"/>
      <c r="B388" s="715"/>
      <c r="C388" s="707">
        <f t="shared" si="64"/>
        <v>1</v>
      </c>
      <c r="D388" s="716"/>
      <c r="E388" s="707">
        <f t="shared" si="65"/>
        <v>1</v>
      </c>
      <c r="F388" s="716"/>
      <c r="G388" s="707">
        <f t="shared" si="66"/>
        <v>1</v>
      </c>
      <c r="H388" s="716"/>
      <c r="I388" s="707">
        <f t="shared" si="67"/>
        <v>1</v>
      </c>
      <c r="J388" s="716"/>
      <c r="K388" s="707">
        <f t="shared" si="68"/>
        <v>1</v>
      </c>
      <c r="L388" s="716"/>
      <c r="M388" s="707">
        <f t="shared" si="69"/>
        <v>1</v>
      </c>
      <c r="N388" s="716"/>
      <c r="O388" s="707">
        <f t="shared" si="70"/>
        <v>1</v>
      </c>
      <c r="P388" s="716"/>
      <c r="Q388" s="707">
        <f t="shared" si="71"/>
        <v>1</v>
      </c>
      <c r="R388" s="768">
        <f t="shared" si="72"/>
        <v>0</v>
      </c>
      <c r="S388" s="706">
        <f t="shared" si="73"/>
        <v>0</v>
      </c>
    </row>
    <row r="389" spans="1:19">
      <c r="A389" s="714"/>
      <c r="B389" s="715"/>
      <c r="C389" s="707">
        <f t="shared" si="64"/>
        <v>1</v>
      </c>
      <c r="D389" s="716"/>
      <c r="E389" s="707">
        <f t="shared" si="65"/>
        <v>1</v>
      </c>
      <c r="F389" s="716"/>
      <c r="G389" s="707">
        <f t="shared" si="66"/>
        <v>1</v>
      </c>
      <c r="H389" s="716"/>
      <c r="I389" s="707">
        <f t="shared" si="67"/>
        <v>1</v>
      </c>
      <c r="J389" s="716"/>
      <c r="K389" s="707">
        <f t="shared" si="68"/>
        <v>1</v>
      </c>
      <c r="L389" s="716"/>
      <c r="M389" s="707">
        <f t="shared" si="69"/>
        <v>1</v>
      </c>
      <c r="N389" s="716"/>
      <c r="O389" s="707">
        <f t="shared" si="70"/>
        <v>1</v>
      </c>
      <c r="P389" s="716"/>
      <c r="Q389" s="707">
        <f t="shared" si="71"/>
        <v>1</v>
      </c>
      <c r="R389" s="768">
        <f t="shared" si="72"/>
        <v>0</v>
      </c>
      <c r="S389" s="706">
        <f t="shared" si="73"/>
        <v>0</v>
      </c>
    </row>
    <row r="390" spans="1:19">
      <c r="A390" s="714"/>
      <c r="B390" s="715"/>
      <c r="C390" s="707">
        <f t="shared" si="64"/>
        <v>1</v>
      </c>
      <c r="D390" s="716"/>
      <c r="E390" s="707">
        <f t="shared" si="65"/>
        <v>1</v>
      </c>
      <c r="F390" s="716"/>
      <c r="G390" s="707">
        <f t="shared" si="66"/>
        <v>1</v>
      </c>
      <c r="H390" s="716"/>
      <c r="I390" s="707">
        <f t="shared" si="67"/>
        <v>1</v>
      </c>
      <c r="J390" s="716"/>
      <c r="K390" s="707">
        <f t="shared" si="68"/>
        <v>1</v>
      </c>
      <c r="L390" s="716"/>
      <c r="M390" s="707">
        <f t="shared" si="69"/>
        <v>1</v>
      </c>
      <c r="N390" s="716"/>
      <c r="O390" s="707">
        <f t="shared" si="70"/>
        <v>1</v>
      </c>
      <c r="P390" s="716"/>
      <c r="Q390" s="707">
        <f t="shared" si="71"/>
        <v>1</v>
      </c>
      <c r="R390" s="768">
        <f t="shared" si="72"/>
        <v>0</v>
      </c>
      <c r="S390" s="706">
        <f t="shared" si="73"/>
        <v>0</v>
      </c>
    </row>
    <row r="391" spans="1:19">
      <c r="A391" s="714"/>
      <c r="B391" s="715"/>
      <c r="C391" s="707">
        <f t="shared" si="64"/>
        <v>1</v>
      </c>
      <c r="D391" s="716"/>
      <c r="E391" s="707">
        <f t="shared" si="65"/>
        <v>1</v>
      </c>
      <c r="F391" s="716"/>
      <c r="G391" s="707">
        <f t="shared" si="66"/>
        <v>1</v>
      </c>
      <c r="H391" s="716"/>
      <c r="I391" s="707">
        <f t="shared" si="67"/>
        <v>1</v>
      </c>
      <c r="J391" s="716"/>
      <c r="K391" s="707">
        <f t="shared" si="68"/>
        <v>1</v>
      </c>
      <c r="L391" s="716"/>
      <c r="M391" s="707">
        <f t="shared" si="69"/>
        <v>1</v>
      </c>
      <c r="N391" s="716"/>
      <c r="O391" s="707">
        <f t="shared" si="70"/>
        <v>1</v>
      </c>
      <c r="P391" s="716"/>
      <c r="Q391" s="707">
        <f t="shared" si="71"/>
        <v>1</v>
      </c>
      <c r="R391" s="768">
        <f t="shared" si="72"/>
        <v>0</v>
      </c>
      <c r="S391" s="706">
        <f t="shared" si="73"/>
        <v>0</v>
      </c>
    </row>
    <row r="392" spans="1:19">
      <c r="A392" s="714"/>
      <c r="B392" s="715"/>
      <c r="C392" s="707">
        <f t="shared" si="64"/>
        <v>1</v>
      </c>
      <c r="D392" s="716"/>
      <c r="E392" s="707">
        <f t="shared" si="65"/>
        <v>1</v>
      </c>
      <c r="F392" s="716"/>
      <c r="G392" s="707">
        <f t="shared" si="66"/>
        <v>1</v>
      </c>
      <c r="H392" s="716"/>
      <c r="I392" s="707">
        <f t="shared" si="67"/>
        <v>1</v>
      </c>
      <c r="J392" s="716"/>
      <c r="K392" s="707">
        <f t="shared" si="68"/>
        <v>1</v>
      </c>
      <c r="L392" s="716"/>
      <c r="M392" s="707">
        <f t="shared" si="69"/>
        <v>1</v>
      </c>
      <c r="N392" s="716"/>
      <c r="O392" s="707">
        <f t="shared" si="70"/>
        <v>1</v>
      </c>
      <c r="P392" s="716"/>
      <c r="Q392" s="707">
        <f t="shared" si="71"/>
        <v>1</v>
      </c>
      <c r="R392" s="768">
        <f t="shared" si="72"/>
        <v>0</v>
      </c>
      <c r="S392" s="706">
        <f t="shared" si="73"/>
        <v>0</v>
      </c>
    </row>
    <row r="393" spans="1:19">
      <c r="A393" s="714"/>
      <c r="B393" s="715"/>
      <c r="C393" s="707">
        <f t="shared" si="64"/>
        <v>1</v>
      </c>
      <c r="D393" s="716"/>
      <c r="E393" s="707">
        <f t="shared" si="65"/>
        <v>1</v>
      </c>
      <c r="F393" s="716"/>
      <c r="G393" s="707">
        <f t="shared" si="66"/>
        <v>1</v>
      </c>
      <c r="H393" s="716"/>
      <c r="I393" s="707">
        <f t="shared" si="67"/>
        <v>1</v>
      </c>
      <c r="J393" s="716"/>
      <c r="K393" s="707">
        <f t="shared" si="68"/>
        <v>1</v>
      </c>
      <c r="L393" s="716"/>
      <c r="M393" s="707">
        <f t="shared" si="69"/>
        <v>1</v>
      </c>
      <c r="N393" s="716"/>
      <c r="O393" s="707">
        <f t="shared" si="70"/>
        <v>1</v>
      </c>
      <c r="P393" s="716"/>
      <c r="Q393" s="707">
        <f t="shared" si="71"/>
        <v>1</v>
      </c>
      <c r="R393" s="768">
        <f t="shared" si="72"/>
        <v>0</v>
      </c>
      <c r="S393" s="706">
        <f t="shared" si="73"/>
        <v>0</v>
      </c>
    </row>
    <row r="394" spans="1:19">
      <c r="A394" s="714"/>
      <c r="B394" s="715"/>
      <c r="C394" s="707">
        <f t="shared" si="64"/>
        <v>1</v>
      </c>
      <c r="D394" s="716"/>
      <c r="E394" s="707">
        <f t="shared" si="65"/>
        <v>1</v>
      </c>
      <c r="F394" s="716"/>
      <c r="G394" s="707">
        <f t="shared" si="66"/>
        <v>1</v>
      </c>
      <c r="H394" s="716"/>
      <c r="I394" s="707">
        <f t="shared" si="67"/>
        <v>1</v>
      </c>
      <c r="J394" s="716"/>
      <c r="K394" s="707">
        <f t="shared" si="68"/>
        <v>1</v>
      </c>
      <c r="L394" s="716"/>
      <c r="M394" s="707">
        <f t="shared" si="69"/>
        <v>1</v>
      </c>
      <c r="N394" s="716"/>
      <c r="O394" s="707">
        <f t="shared" si="70"/>
        <v>1</v>
      </c>
      <c r="P394" s="716"/>
      <c r="Q394" s="707">
        <f t="shared" si="71"/>
        <v>1</v>
      </c>
      <c r="R394" s="768">
        <f t="shared" si="72"/>
        <v>0</v>
      </c>
      <c r="S394" s="706">
        <f t="shared" si="73"/>
        <v>0</v>
      </c>
    </row>
    <row r="395" spans="1:19">
      <c r="A395" s="714"/>
      <c r="B395" s="715"/>
      <c r="C395" s="707">
        <f t="shared" si="64"/>
        <v>1</v>
      </c>
      <c r="D395" s="716"/>
      <c r="E395" s="707">
        <f t="shared" si="65"/>
        <v>1</v>
      </c>
      <c r="F395" s="716"/>
      <c r="G395" s="707">
        <f t="shared" si="66"/>
        <v>1</v>
      </c>
      <c r="H395" s="716"/>
      <c r="I395" s="707">
        <f t="shared" si="67"/>
        <v>1</v>
      </c>
      <c r="J395" s="716"/>
      <c r="K395" s="707">
        <f t="shared" si="68"/>
        <v>1</v>
      </c>
      <c r="L395" s="716"/>
      <c r="M395" s="707">
        <f t="shared" si="69"/>
        <v>1</v>
      </c>
      <c r="N395" s="716"/>
      <c r="O395" s="707">
        <f t="shared" si="70"/>
        <v>1</v>
      </c>
      <c r="P395" s="716"/>
      <c r="Q395" s="707">
        <f t="shared" si="71"/>
        <v>1</v>
      </c>
      <c r="R395" s="768">
        <f t="shared" si="72"/>
        <v>0</v>
      </c>
      <c r="S395" s="706">
        <f t="shared" si="73"/>
        <v>0</v>
      </c>
    </row>
    <row r="396" spans="1:19">
      <c r="A396" s="714"/>
      <c r="B396" s="715"/>
      <c r="C396" s="707">
        <f t="shared" si="64"/>
        <v>1</v>
      </c>
      <c r="D396" s="716"/>
      <c r="E396" s="707">
        <f t="shared" si="65"/>
        <v>1</v>
      </c>
      <c r="F396" s="716"/>
      <c r="G396" s="707">
        <f t="shared" si="66"/>
        <v>1</v>
      </c>
      <c r="H396" s="716"/>
      <c r="I396" s="707">
        <f t="shared" si="67"/>
        <v>1</v>
      </c>
      <c r="J396" s="716"/>
      <c r="K396" s="707">
        <f t="shared" si="68"/>
        <v>1</v>
      </c>
      <c r="L396" s="716"/>
      <c r="M396" s="707">
        <f t="shared" si="69"/>
        <v>1</v>
      </c>
      <c r="N396" s="716"/>
      <c r="O396" s="707">
        <f t="shared" si="70"/>
        <v>1</v>
      </c>
      <c r="P396" s="716"/>
      <c r="Q396" s="707">
        <f t="shared" si="71"/>
        <v>1</v>
      </c>
      <c r="R396" s="768">
        <f t="shared" si="72"/>
        <v>0</v>
      </c>
      <c r="S396" s="706">
        <f t="shared" si="73"/>
        <v>0</v>
      </c>
    </row>
    <row r="397" spans="1:19">
      <c r="A397" s="714"/>
      <c r="B397" s="715"/>
      <c r="C397" s="707">
        <f t="shared" si="64"/>
        <v>1</v>
      </c>
      <c r="D397" s="716"/>
      <c r="E397" s="707">
        <f t="shared" si="65"/>
        <v>1</v>
      </c>
      <c r="F397" s="716"/>
      <c r="G397" s="707">
        <f t="shared" si="66"/>
        <v>1</v>
      </c>
      <c r="H397" s="716"/>
      <c r="I397" s="707">
        <f t="shared" si="67"/>
        <v>1</v>
      </c>
      <c r="J397" s="716"/>
      <c r="K397" s="707">
        <f t="shared" si="68"/>
        <v>1</v>
      </c>
      <c r="L397" s="716"/>
      <c r="M397" s="707">
        <f t="shared" si="69"/>
        <v>1</v>
      </c>
      <c r="N397" s="716"/>
      <c r="O397" s="707">
        <f t="shared" si="70"/>
        <v>1</v>
      </c>
      <c r="P397" s="716"/>
      <c r="Q397" s="707">
        <f t="shared" si="71"/>
        <v>1</v>
      </c>
      <c r="R397" s="768">
        <f t="shared" si="72"/>
        <v>0</v>
      </c>
      <c r="S397" s="706">
        <f t="shared" si="73"/>
        <v>0</v>
      </c>
    </row>
    <row r="398" spans="1:19">
      <c r="A398" s="714"/>
      <c r="B398" s="715"/>
      <c r="C398" s="707">
        <f t="shared" si="64"/>
        <v>1</v>
      </c>
      <c r="D398" s="716"/>
      <c r="E398" s="707">
        <f t="shared" si="65"/>
        <v>1</v>
      </c>
      <c r="F398" s="716"/>
      <c r="G398" s="707">
        <f t="shared" si="66"/>
        <v>1</v>
      </c>
      <c r="H398" s="716"/>
      <c r="I398" s="707">
        <f t="shared" si="67"/>
        <v>1</v>
      </c>
      <c r="J398" s="716"/>
      <c r="K398" s="707">
        <f t="shared" si="68"/>
        <v>1</v>
      </c>
      <c r="L398" s="716"/>
      <c r="M398" s="707">
        <f t="shared" si="69"/>
        <v>1</v>
      </c>
      <c r="N398" s="716"/>
      <c r="O398" s="707">
        <f t="shared" si="70"/>
        <v>1</v>
      </c>
      <c r="P398" s="716"/>
      <c r="Q398" s="707">
        <f t="shared" si="71"/>
        <v>1</v>
      </c>
      <c r="R398" s="768">
        <f t="shared" si="72"/>
        <v>0</v>
      </c>
      <c r="S398" s="706">
        <f t="shared" si="73"/>
        <v>0</v>
      </c>
    </row>
    <row r="399" spans="1:19">
      <c r="A399" s="714"/>
      <c r="B399" s="715"/>
      <c r="C399" s="707">
        <f t="shared" si="64"/>
        <v>1</v>
      </c>
      <c r="D399" s="716"/>
      <c r="E399" s="707">
        <f t="shared" si="65"/>
        <v>1</v>
      </c>
      <c r="F399" s="716"/>
      <c r="G399" s="707">
        <f t="shared" si="66"/>
        <v>1</v>
      </c>
      <c r="H399" s="716"/>
      <c r="I399" s="707">
        <f t="shared" si="67"/>
        <v>1</v>
      </c>
      <c r="J399" s="716"/>
      <c r="K399" s="707">
        <f t="shared" si="68"/>
        <v>1</v>
      </c>
      <c r="L399" s="716"/>
      <c r="M399" s="707">
        <f t="shared" si="69"/>
        <v>1</v>
      </c>
      <c r="N399" s="716"/>
      <c r="O399" s="707">
        <f t="shared" si="70"/>
        <v>1</v>
      </c>
      <c r="P399" s="716"/>
      <c r="Q399" s="707">
        <f t="shared" si="71"/>
        <v>1</v>
      </c>
      <c r="R399" s="768">
        <f t="shared" si="72"/>
        <v>0</v>
      </c>
      <c r="S399" s="706">
        <f t="shared" si="73"/>
        <v>0</v>
      </c>
    </row>
    <row r="400" spans="1:19">
      <c r="A400" s="714"/>
      <c r="B400" s="715"/>
      <c r="C400" s="707">
        <f t="shared" si="64"/>
        <v>1</v>
      </c>
      <c r="D400" s="716"/>
      <c r="E400" s="707">
        <f t="shared" si="65"/>
        <v>1</v>
      </c>
      <c r="F400" s="716"/>
      <c r="G400" s="707">
        <f t="shared" si="66"/>
        <v>1</v>
      </c>
      <c r="H400" s="716"/>
      <c r="I400" s="707">
        <f t="shared" si="67"/>
        <v>1</v>
      </c>
      <c r="J400" s="716"/>
      <c r="K400" s="707">
        <f t="shared" si="68"/>
        <v>1</v>
      </c>
      <c r="L400" s="716"/>
      <c r="M400" s="707">
        <f t="shared" si="69"/>
        <v>1</v>
      </c>
      <c r="N400" s="716"/>
      <c r="O400" s="707">
        <f t="shared" si="70"/>
        <v>1</v>
      </c>
      <c r="P400" s="716"/>
      <c r="Q400" s="707">
        <f t="shared" si="71"/>
        <v>1</v>
      </c>
      <c r="R400" s="768">
        <f t="shared" si="72"/>
        <v>0</v>
      </c>
      <c r="S400" s="706">
        <f t="shared" si="73"/>
        <v>0</v>
      </c>
    </row>
    <row r="401" spans="1:19">
      <c r="A401" s="714"/>
      <c r="B401" s="715"/>
      <c r="C401" s="707">
        <f t="shared" si="64"/>
        <v>1</v>
      </c>
      <c r="D401" s="716"/>
      <c r="E401" s="707">
        <f t="shared" si="65"/>
        <v>1</v>
      </c>
      <c r="F401" s="716"/>
      <c r="G401" s="707">
        <f t="shared" si="66"/>
        <v>1</v>
      </c>
      <c r="H401" s="716"/>
      <c r="I401" s="707">
        <f t="shared" si="67"/>
        <v>1</v>
      </c>
      <c r="J401" s="716"/>
      <c r="K401" s="707">
        <f t="shared" si="68"/>
        <v>1</v>
      </c>
      <c r="L401" s="716"/>
      <c r="M401" s="707">
        <f t="shared" si="69"/>
        <v>1</v>
      </c>
      <c r="N401" s="716"/>
      <c r="O401" s="707">
        <f t="shared" si="70"/>
        <v>1</v>
      </c>
      <c r="P401" s="716"/>
      <c r="Q401" s="707">
        <f t="shared" si="71"/>
        <v>1</v>
      </c>
      <c r="R401" s="768">
        <f t="shared" si="72"/>
        <v>0</v>
      </c>
      <c r="S401" s="706">
        <f t="shared" si="73"/>
        <v>0</v>
      </c>
    </row>
    <row r="402" spans="1:19">
      <c r="A402" s="714"/>
      <c r="B402" s="715"/>
      <c r="C402" s="707">
        <f t="shared" si="64"/>
        <v>1</v>
      </c>
      <c r="D402" s="716"/>
      <c r="E402" s="707">
        <f t="shared" si="65"/>
        <v>1</v>
      </c>
      <c r="F402" s="716"/>
      <c r="G402" s="707">
        <f t="shared" si="66"/>
        <v>1</v>
      </c>
      <c r="H402" s="716"/>
      <c r="I402" s="707">
        <f t="shared" si="67"/>
        <v>1</v>
      </c>
      <c r="J402" s="716"/>
      <c r="K402" s="707">
        <f t="shared" si="68"/>
        <v>1</v>
      </c>
      <c r="L402" s="716"/>
      <c r="M402" s="707">
        <f t="shared" si="69"/>
        <v>1</v>
      </c>
      <c r="N402" s="716"/>
      <c r="O402" s="707">
        <f t="shared" si="70"/>
        <v>1</v>
      </c>
      <c r="P402" s="716"/>
      <c r="Q402" s="707">
        <f t="shared" si="71"/>
        <v>1</v>
      </c>
      <c r="R402" s="768">
        <f t="shared" si="72"/>
        <v>0</v>
      </c>
      <c r="S402" s="706">
        <f t="shared" si="73"/>
        <v>0</v>
      </c>
    </row>
    <row r="403" spans="1:19">
      <c r="A403" s="714"/>
      <c r="B403" s="715"/>
      <c r="C403" s="707">
        <f t="shared" si="64"/>
        <v>1</v>
      </c>
      <c r="D403" s="716"/>
      <c r="E403" s="707">
        <f t="shared" si="65"/>
        <v>1</v>
      </c>
      <c r="F403" s="716"/>
      <c r="G403" s="707">
        <f t="shared" si="66"/>
        <v>1</v>
      </c>
      <c r="H403" s="716"/>
      <c r="I403" s="707">
        <f t="shared" si="67"/>
        <v>1</v>
      </c>
      <c r="J403" s="716"/>
      <c r="K403" s="707">
        <f t="shared" si="68"/>
        <v>1</v>
      </c>
      <c r="L403" s="716"/>
      <c r="M403" s="707">
        <f t="shared" si="69"/>
        <v>1</v>
      </c>
      <c r="N403" s="716"/>
      <c r="O403" s="707">
        <f t="shared" si="70"/>
        <v>1</v>
      </c>
      <c r="P403" s="716"/>
      <c r="Q403" s="707">
        <f t="shared" si="71"/>
        <v>1</v>
      </c>
      <c r="R403" s="768">
        <f t="shared" si="72"/>
        <v>0</v>
      </c>
      <c r="S403" s="706">
        <f t="shared" si="73"/>
        <v>0</v>
      </c>
    </row>
    <row r="404" spans="1:19">
      <c r="A404" s="714"/>
      <c r="B404" s="715"/>
      <c r="C404" s="707">
        <f t="shared" si="64"/>
        <v>1</v>
      </c>
      <c r="D404" s="716"/>
      <c r="E404" s="707">
        <f t="shared" si="65"/>
        <v>1</v>
      </c>
      <c r="F404" s="716"/>
      <c r="G404" s="707">
        <f t="shared" si="66"/>
        <v>1</v>
      </c>
      <c r="H404" s="716"/>
      <c r="I404" s="707">
        <f t="shared" si="67"/>
        <v>1</v>
      </c>
      <c r="J404" s="716"/>
      <c r="K404" s="707">
        <f t="shared" si="68"/>
        <v>1</v>
      </c>
      <c r="L404" s="716"/>
      <c r="M404" s="707">
        <f t="shared" si="69"/>
        <v>1</v>
      </c>
      <c r="N404" s="716"/>
      <c r="O404" s="707">
        <f t="shared" si="70"/>
        <v>1</v>
      </c>
      <c r="P404" s="716"/>
      <c r="Q404" s="707">
        <f t="shared" si="71"/>
        <v>1</v>
      </c>
      <c r="R404" s="768">
        <f t="shared" si="72"/>
        <v>0</v>
      </c>
      <c r="S404" s="706">
        <f t="shared" si="73"/>
        <v>0</v>
      </c>
    </row>
    <row r="405" spans="1:19">
      <c r="A405" s="714"/>
      <c r="B405" s="715"/>
      <c r="C405" s="707">
        <f t="shared" si="64"/>
        <v>1</v>
      </c>
      <c r="D405" s="716"/>
      <c r="E405" s="707">
        <f t="shared" si="65"/>
        <v>1</v>
      </c>
      <c r="F405" s="716"/>
      <c r="G405" s="707">
        <f t="shared" si="66"/>
        <v>1</v>
      </c>
      <c r="H405" s="716"/>
      <c r="I405" s="707">
        <f t="shared" si="67"/>
        <v>1</v>
      </c>
      <c r="J405" s="716"/>
      <c r="K405" s="707">
        <f t="shared" si="68"/>
        <v>1</v>
      </c>
      <c r="L405" s="716"/>
      <c r="M405" s="707">
        <f t="shared" si="69"/>
        <v>1</v>
      </c>
      <c r="N405" s="716"/>
      <c r="O405" s="707">
        <f t="shared" si="70"/>
        <v>1</v>
      </c>
      <c r="P405" s="716"/>
      <c r="Q405" s="707">
        <f t="shared" si="71"/>
        <v>1</v>
      </c>
      <c r="R405" s="768">
        <f t="shared" si="72"/>
        <v>0</v>
      </c>
      <c r="S405" s="706">
        <f t="shared" si="73"/>
        <v>0</v>
      </c>
    </row>
    <row r="406" spans="1:19">
      <c r="A406" s="714"/>
      <c r="B406" s="715"/>
      <c r="C406" s="707">
        <f t="shared" si="64"/>
        <v>1</v>
      </c>
      <c r="D406" s="716"/>
      <c r="E406" s="707">
        <f t="shared" si="65"/>
        <v>1</v>
      </c>
      <c r="F406" s="716"/>
      <c r="G406" s="707">
        <f t="shared" si="66"/>
        <v>1</v>
      </c>
      <c r="H406" s="716"/>
      <c r="I406" s="707">
        <f t="shared" si="67"/>
        <v>1</v>
      </c>
      <c r="J406" s="716"/>
      <c r="K406" s="707">
        <f t="shared" si="68"/>
        <v>1</v>
      </c>
      <c r="L406" s="716"/>
      <c r="M406" s="707">
        <f t="shared" si="69"/>
        <v>1</v>
      </c>
      <c r="N406" s="716"/>
      <c r="O406" s="707">
        <f t="shared" si="70"/>
        <v>1</v>
      </c>
      <c r="P406" s="716"/>
      <c r="Q406" s="707">
        <f t="shared" si="71"/>
        <v>1</v>
      </c>
      <c r="R406" s="768">
        <f t="shared" si="72"/>
        <v>0</v>
      </c>
      <c r="S406" s="706">
        <f t="shared" si="73"/>
        <v>0</v>
      </c>
    </row>
    <row r="407" spans="1:19">
      <c r="A407" s="714"/>
      <c r="B407" s="715"/>
      <c r="C407" s="707">
        <f t="shared" si="64"/>
        <v>1</v>
      </c>
      <c r="D407" s="716"/>
      <c r="E407" s="707">
        <f t="shared" si="65"/>
        <v>1</v>
      </c>
      <c r="F407" s="716"/>
      <c r="G407" s="707">
        <f t="shared" si="66"/>
        <v>1</v>
      </c>
      <c r="H407" s="716"/>
      <c r="I407" s="707">
        <f t="shared" si="67"/>
        <v>1</v>
      </c>
      <c r="J407" s="716"/>
      <c r="K407" s="707">
        <f t="shared" si="68"/>
        <v>1</v>
      </c>
      <c r="L407" s="716"/>
      <c r="M407" s="707">
        <f t="shared" si="69"/>
        <v>1</v>
      </c>
      <c r="N407" s="716"/>
      <c r="O407" s="707">
        <f t="shared" si="70"/>
        <v>1</v>
      </c>
      <c r="P407" s="716"/>
      <c r="Q407" s="707">
        <f t="shared" si="71"/>
        <v>1</v>
      </c>
      <c r="R407" s="768">
        <f t="shared" si="72"/>
        <v>0</v>
      </c>
      <c r="S407" s="706">
        <f t="shared" si="73"/>
        <v>0</v>
      </c>
    </row>
    <row r="408" spans="1:19">
      <c r="A408" s="714"/>
      <c r="B408" s="715"/>
      <c r="C408" s="707">
        <f t="shared" si="64"/>
        <v>1</v>
      </c>
      <c r="D408" s="716"/>
      <c r="E408" s="707">
        <f t="shared" si="65"/>
        <v>1</v>
      </c>
      <c r="F408" s="716"/>
      <c r="G408" s="707">
        <f t="shared" si="66"/>
        <v>1</v>
      </c>
      <c r="H408" s="716"/>
      <c r="I408" s="707">
        <f t="shared" si="67"/>
        <v>1</v>
      </c>
      <c r="J408" s="716"/>
      <c r="K408" s="707">
        <f t="shared" si="68"/>
        <v>1</v>
      </c>
      <c r="L408" s="716"/>
      <c r="M408" s="707">
        <f t="shared" si="69"/>
        <v>1</v>
      </c>
      <c r="N408" s="716"/>
      <c r="O408" s="707">
        <f t="shared" si="70"/>
        <v>1</v>
      </c>
      <c r="P408" s="716"/>
      <c r="Q408" s="707">
        <f t="shared" si="71"/>
        <v>1</v>
      </c>
      <c r="R408" s="768">
        <f t="shared" si="72"/>
        <v>0</v>
      </c>
      <c r="S408" s="706">
        <f t="shared" si="73"/>
        <v>0</v>
      </c>
    </row>
    <row r="409" spans="1:19">
      <c r="A409" s="714"/>
      <c r="B409" s="715"/>
      <c r="C409" s="707">
        <f t="shared" si="64"/>
        <v>1</v>
      </c>
      <c r="D409" s="716"/>
      <c r="E409" s="707">
        <f t="shared" si="65"/>
        <v>1</v>
      </c>
      <c r="F409" s="716"/>
      <c r="G409" s="707">
        <f t="shared" si="66"/>
        <v>1</v>
      </c>
      <c r="H409" s="716"/>
      <c r="I409" s="707">
        <f t="shared" si="67"/>
        <v>1</v>
      </c>
      <c r="J409" s="716"/>
      <c r="K409" s="707">
        <f t="shared" si="68"/>
        <v>1</v>
      </c>
      <c r="L409" s="716"/>
      <c r="M409" s="707">
        <f t="shared" si="69"/>
        <v>1</v>
      </c>
      <c r="N409" s="716"/>
      <c r="O409" s="707">
        <f t="shared" si="70"/>
        <v>1</v>
      </c>
      <c r="P409" s="716"/>
      <c r="Q409" s="707">
        <f t="shared" si="71"/>
        <v>1</v>
      </c>
      <c r="R409" s="768">
        <f t="shared" si="72"/>
        <v>0</v>
      </c>
      <c r="S409" s="706">
        <f t="shared" si="73"/>
        <v>0</v>
      </c>
    </row>
    <row r="410" spans="1:19">
      <c r="A410" s="714"/>
      <c r="B410" s="715"/>
      <c r="C410" s="707">
        <f t="shared" ref="C410:C473" si="74">IF(B410="",1,(LOOKUP(B410,$3:$3,$4:$4)-LOOKUP($B$24,$3:$3,$4:$4)+100)/100)</f>
        <v>1</v>
      </c>
      <c r="D410" s="716"/>
      <c r="E410" s="707">
        <f t="shared" ref="E410:E473" si="75">(SUMIF($5:$5,D410,$6:$6)-SUMIF($5:$5,$D$24,$6:$6)+100)/100</f>
        <v>1</v>
      </c>
      <c r="F410" s="716"/>
      <c r="G410" s="707">
        <f t="shared" ref="G410:G473" si="76">(SUMIF($7:$7,F410,$8:$8)-SUMIF($7:$7,$F$24,$8:$8)+100)/100</f>
        <v>1</v>
      </c>
      <c r="H410" s="716"/>
      <c r="I410" s="707">
        <f t="shared" ref="I410:I473" si="77">(SUMIF($9:$9,H410,$10:$10)-SUMIF($9:$9,$H$24,$10:$10)+100)/100</f>
        <v>1</v>
      </c>
      <c r="J410" s="716"/>
      <c r="K410" s="707">
        <f t="shared" ref="K410:K473" si="78">(SUMIF($11:$11,J410,$12:$12)-SUMIF($11:$11,$J$24,$12:$12)+100)/100</f>
        <v>1</v>
      </c>
      <c r="L410" s="716"/>
      <c r="M410" s="707">
        <f t="shared" ref="M410:M473" si="79">(SUMIF($13:$13,L410,$14:$14)-SUMIF($13:$13,$L$24,$14:$14)+100)/100</f>
        <v>1</v>
      </c>
      <c r="N410" s="716"/>
      <c r="O410" s="707">
        <f t="shared" ref="O410:O473" si="80">(SUMIF($15:$15,N410,$16:$16)-SUMIF($15:$15,$N$24,$16:$16)+100)/100</f>
        <v>1</v>
      </c>
      <c r="P410" s="716"/>
      <c r="Q410" s="707">
        <f t="shared" ref="Q410:Q473" si="81">(SUMIF($17:$17,P410,$18:$18)-SUMIF($17:$17,$P$24,$18:$18)+100)/100</f>
        <v>1</v>
      </c>
      <c r="R410" s="768">
        <f t="shared" ref="R410:R473" si="82">IF(B410="",0,ROUND($R$24*C410*E410*G410*I410*K410*M410*O410*Q410,0))</f>
        <v>0</v>
      </c>
      <c r="S410" s="706">
        <f t="shared" si="73"/>
        <v>0</v>
      </c>
    </row>
    <row r="411" spans="1:19">
      <c r="A411" s="714"/>
      <c r="B411" s="715"/>
      <c r="C411" s="707">
        <f t="shared" si="74"/>
        <v>1</v>
      </c>
      <c r="D411" s="716"/>
      <c r="E411" s="707">
        <f t="shared" si="75"/>
        <v>1</v>
      </c>
      <c r="F411" s="716"/>
      <c r="G411" s="707">
        <f t="shared" si="76"/>
        <v>1</v>
      </c>
      <c r="H411" s="716"/>
      <c r="I411" s="707">
        <f t="shared" si="77"/>
        <v>1</v>
      </c>
      <c r="J411" s="716"/>
      <c r="K411" s="707">
        <f t="shared" si="78"/>
        <v>1</v>
      </c>
      <c r="L411" s="716"/>
      <c r="M411" s="707">
        <f t="shared" si="79"/>
        <v>1</v>
      </c>
      <c r="N411" s="716"/>
      <c r="O411" s="707">
        <f t="shared" si="80"/>
        <v>1</v>
      </c>
      <c r="P411" s="716"/>
      <c r="Q411" s="707">
        <f t="shared" si="81"/>
        <v>1</v>
      </c>
      <c r="R411" s="768">
        <f t="shared" si="82"/>
        <v>0</v>
      </c>
      <c r="S411" s="706">
        <f t="shared" si="73"/>
        <v>0</v>
      </c>
    </row>
    <row r="412" spans="1:19">
      <c r="A412" s="714"/>
      <c r="B412" s="715"/>
      <c r="C412" s="707">
        <f t="shared" si="74"/>
        <v>1</v>
      </c>
      <c r="D412" s="716"/>
      <c r="E412" s="707">
        <f t="shared" si="75"/>
        <v>1</v>
      </c>
      <c r="F412" s="716"/>
      <c r="G412" s="707">
        <f t="shared" si="76"/>
        <v>1</v>
      </c>
      <c r="H412" s="716"/>
      <c r="I412" s="707">
        <f t="shared" si="77"/>
        <v>1</v>
      </c>
      <c r="J412" s="716"/>
      <c r="K412" s="707">
        <f t="shared" si="78"/>
        <v>1</v>
      </c>
      <c r="L412" s="716"/>
      <c r="M412" s="707">
        <f t="shared" si="79"/>
        <v>1</v>
      </c>
      <c r="N412" s="716"/>
      <c r="O412" s="707">
        <f t="shared" si="80"/>
        <v>1</v>
      </c>
      <c r="P412" s="716"/>
      <c r="Q412" s="707">
        <f t="shared" si="81"/>
        <v>1</v>
      </c>
      <c r="R412" s="768">
        <f t="shared" si="82"/>
        <v>0</v>
      </c>
      <c r="S412" s="706">
        <f t="shared" si="73"/>
        <v>0</v>
      </c>
    </row>
    <row r="413" spans="1:19">
      <c r="A413" s="714"/>
      <c r="B413" s="715"/>
      <c r="C413" s="707">
        <f t="shared" si="74"/>
        <v>1</v>
      </c>
      <c r="D413" s="716"/>
      <c r="E413" s="707">
        <f t="shared" si="75"/>
        <v>1</v>
      </c>
      <c r="F413" s="716"/>
      <c r="G413" s="707">
        <f t="shared" si="76"/>
        <v>1</v>
      </c>
      <c r="H413" s="716"/>
      <c r="I413" s="707">
        <f t="shared" si="77"/>
        <v>1</v>
      </c>
      <c r="J413" s="716"/>
      <c r="K413" s="707">
        <f t="shared" si="78"/>
        <v>1</v>
      </c>
      <c r="L413" s="716"/>
      <c r="M413" s="707">
        <f t="shared" si="79"/>
        <v>1</v>
      </c>
      <c r="N413" s="716"/>
      <c r="O413" s="707">
        <f t="shared" si="80"/>
        <v>1</v>
      </c>
      <c r="P413" s="716"/>
      <c r="Q413" s="707">
        <f t="shared" si="81"/>
        <v>1</v>
      </c>
      <c r="R413" s="768">
        <f t="shared" si="82"/>
        <v>0</v>
      </c>
      <c r="S413" s="706">
        <f t="shared" si="73"/>
        <v>0</v>
      </c>
    </row>
    <row r="414" spans="1:19">
      <c r="A414" s="714"/>
      <c r="B414" s="715"/>
      <c r="C414" s="707">
        <f t="shared" si="74"/>
        <v>1</v>
      </c>
      <c r="D414" s="716"/>
      <c r="E414" s="707">
        <f t="shared" si="75"/>
        <v>1</v>
      </c>
      <c r="F414" s="716"/>
      <c r="G414" s="707">
        <f t="shared" si="76"/>
        <v>1</v>
      </c>
      <c r="H414" s="716"/>
      <c r="I414" s="707">
        <f t="shared" si="77"/>
        <v>1</v>
      </c>
      <c r="J414" s="716"/>
      <c r="K414" s="707">
        <f t="shared" si="78"/>
        <v>1</v>
      </c>
      <c r="L414" s="716"/>
      <c r="M414" s="707">
        <f t="shared" si="79"/>
        <v>1</v>
      </c>
      <c r="N414" s="716"/>
      <c r="O414" s="707">
        <f t="shared" si="80"/>
        <v>1</v>
      </c>
      <c r="P414" s="716"/>
      <c r="Q414" s="707">
        <f t="shared" si="81"/>
        <v>1</v>
      </c>
      <c r="R414" s="768">
        <f t="shared" si="82"/>
        <v>0</v>
      </c>
      <c r="S414" s="706">
        <f t="shared" si="73"/>
        <v>0</v>
      </c>
    </row>
    <row r="415" spans="1:19">
      <c r="A415" s="714"/>
      <c r="B415" s="715"/>
      <c r="C415" s="707">
        <f t="shared" si="74"/>
        <v>1</v>
      </c>
      <c r="D415" s="716"/>
      <c r="E415" s="707">
        <f t="shared" si="75"/>
        <v>1</v>
      </c>
      <c r="F415" s="716"/>
      <c r="G415" s="707">
        <f t="shared" si="76"/>
        <v>1</v>
      </c>
      <c r="H415" s="716"/>
      <c r="I415" s="707">
        <f t="shared" si="77"/>
        <v>1</v>
      </c>
      <c r="J415" s="716"/>
      <c r="K415" s="707">
        <f t="shared" si="78"/>
        <v>1</v>
      </c>
      <c r="L415" s="716"/>
      <c r="M415" s="707">
        <f t="shared" si="79"/>
        <v>1</v>
      </c>
      <c r="N415" s="716"/>
      <c r="O415" s="707">
        <f t="shared" si="80"/>
        <v>1</v>
      </c>
      <c r="P415" s="716"/>
      <c r="Q415" s="707">
        <f t="shared" si="81"/>
        <v>1</v>
      </c>
      <c r="R415" s="768">
        <f t="shared" si="82"/>
        <v>0</v>
      </c>
      <c r="S415" s="706">
        <f t="shared" si="73"/>
        <v>0</v>
      </c>
    </row>
    <row r="416" spans="1:19">
      <c r="A416" s="714"/>
      <c r="B416" s="715"/>
      <c r="C416" s="707">
        <f t="shared" si="74"/>
        <v>1</v>
      </c>
      <c r="D416" s="716"/>
      <c r="E416" s="707">
        <f t="shared" si="75"/>
        <v>1</v>
      </c>
      <c r="F416" s="716"/>
      <c r="G416" s="707">
        <f t="shared" si="76"/>
        <v>1</v>
      </c>
      <c r="H416" s="716"/>
      <c r="I416" s="707">
        <f t="shared" si="77"/>
        <v>1</v>
      </c>
      <c r="J416" s="716"/>
      <c r="K416" s="707">
        <f t="shared" si="78"/>
        <v>1</v>
      </c>
      <c r="L416" s="716"/>
      <c r="M416" s="707">
        <f t="shared" si="79"/>
        <v>1</v>
      </c>
      <c r="N416" s="716"/>
      <c r="O416" s="707">
        <f t="shared" si="80"/>
        <v>1</v>
      </c>
      <c r="P416" s="716"/>
      <c r="Q416" s="707">
        <f t="shared" si="81"/>
        <v>1</v>
      </c>
      <c r="R416" s="768">
        <f t="shared" si="82"/>
        <v>0</v>
      </c>
      <c r="S416" s="706">
        <f t="shared" si="73"/>
        <v>0</v>
      </c>
    </row>
    <row r="417" spans="1:19">
      <c r="A417" s="714"/>
      <c r="B417" s="715"/>
      <c r="C417" s="707">
        <f t="shared" si="74"/>
        <v>1</v>
      </c>
      <c r="D417" s="716"/>
      <c r="E417" s="707">
        <f t="shared" si="75"/>
        <v>1</v>
      </c>
      <c r="F417" s="716"/>
      <c r="G417" s="707">
        <f t="shared" si="76"/>
        <v>1</v>
      </c>
      <c r="H417" s="716"/>
      <c r="I417" s="707">
        <f t="shared" si="77"/>
        <v>1</v>
      </c>
      <c r="J417" s="716"/>
      <c r="K417" s="707">
        <f t="shared" si="78"/>
        <v>1</v>
      </c>
      <c r="L417" s="716"/>
      <c r="M417" s="707">
        <f t="shared" si="79"/>
        <v>1</v>
      </c>
      <c r="N417" s="716"/>
      <c r="O417" s="707">
        <f t="shared" si="80"/>
        <v>1</v>
      </c>
      <c r="P417" s="716"/>
      <c r="Q417" s="707">
        <f t="shared" si="81"/>
        <v>1</v>
      </c>
      <c r="R417" s="768">
        <f t="shared" si="82"/>
        <v>0</v>
      </c>
      <c r="S417" s="706">
        <f t="shared" si="73"/>
        <v>0</v>
      </c>
    </row>
    <row r="418" spans="1:19">
      <c r="A418" s="714"/>
      <c r="B418" s="715"/>
      <c r="C418" s="707">
        <f t="shared" si="74"/>
        <v>1</v>
      </c>
      <c r="D418" s="716"/>
      <c r="E418" s="707">
        <f t="shared" si="75"/>
        <v>1</v>
      </c>
      <c r="F418" s="716"/>
      <c r="G418" s="707">
        <f t="shared" si="76"/>
        <v>1</v>
      </c>
      <c r="H418" s="716"/>
      <c r="I418" s="707">
        <f t="shared" si="77"/>
        <v>1</v>
      </c>
      <c r="J418" s="716"/>
      <c r="K418" s="707">
        <f t="shared" si="78"/>
        <v>1</v>
      </c>
      <c r="L418" s="716"/>
      <c r="M418" s="707">
        <f t="shared" si="79"/>
        <v>1</v>
      </c>
      <c r="N418" s="716"/>
      <c r="O418" s="707">
        <f t="shared" si="80"/>
        <v>1</v>
      </c>
      <c r="P418" s="716"/>
      <c r="Q418" s="707">
        <f t="shared" si="81"/>
        <v>1</v>
      </c>
      <c r="R418" s="768">
        <f t="shared" si="82"/>
        <v>0</v>
      </c>
      <c r="S418" s="706">
        <f t="shared" si="73"/>
        <v>0</v>
      </c>
    </row>
    <row r="419" spans="1:19">
      <c r="A419" s="714"/>
      <c r="B419" s="715"/>
      <c r="C419" s="707">
        <f t="shared" si="74"/>
        <v>1</v>
      </c>
      <c r="D419" s="716"/>
      <c r="E419" s="707">
        <f t="shared" si="75"/>
        <v>1</v>
      </c>
      <c r="F419" s="716"/>
      <c r="G419" s="707">
        <f t="shared" si="76"/>
        <v>1</v>
      </c>
      <c r="H419" s="716"/>
      <c r="I419" s="707">
        <f t="shared" si="77"/>
        <v>1</v>
      </c>
      <c r="J419" s="716"/>
      <c r="K419" s="707">
        <f t="shared" si="78"/>
        <v>1</v>
      </c>
      <c r="L419" s="716"/>
      <c r="M419" s="707">
        <f t="shared" si="79"/>
        <v>1</v>
      </c>
      <c r="N419" s="716"/>
      <c r="O419" s="707">
        <f t="shared" si="80"/>
        <v>1</v>
      </c>
      <c r="P419" s="716"/>
      <c r="Q419" s="707">
        <f t="shared" si="81"/>
        <v>1</v>
      </c>
      <c r="R419" s="768">
        <f t="shared" si="82"/>
        <v>0</v>
      </c>
      <c r="S419" s="706">
        <f t="shared" si="73"/>
        <v>0</v>
      </c>
    </row>
    <row r="420" spans="1:19">
      <c r="A420" s="714"/>
      <c r="B420" s="715"/>
      <c r="C420" s="707">
        <f t="shared" si="74"/>
        <v>1</v>
      </c>
      <c r="D420" s="716"/>
      <c r="E420" s="707">
        <f t="shared" si="75"/>
        <v>1</v>
      </c>
      <c r="F420" s="716"/>
      <c r="G420" s="707">
        <f t="shared" si="76"/>
        <v>1</v>
      </c>
      <c r="H420" s="716"/>
      <c r="I420" s="707">
        <f t="shared" si="77"/>
        <v>1</v>
      </c>
      <c r="J420" s="716"/>
      <c r="K420" s="707">
        <f t="shared" si="78"/>
        <v>1</v>
      </c>
      <c r="L420" s="716"/>
      <c r="M420" s="707">
        <f t="shared" si="79"/>
        <v>1</v>
      </c>
      <c r="N420" s="716"/>
      <c r="O420" s="707">
        <f t="shared" si="80"/>
        <v>1</v>
      </c>
      <c r="P420" s="716"/>
      <c r="Q420" s="707">
        <f t="shared" si="81"/>
        <v>1</v>
      </c>
      <c r="R420" s="768">
        <f t="shared" si="82"/>
        <v>0</v>
      </c>
      <c r="S420" s="706">
        <f t="shared" si="73"/>
        <v>0</v>
      </c>
    </row>
    <row r="421" spans="1:19">
      <c r="A421" s="714"/>
      <c r="B421" s="715"/>
      <c r="C421" s="707">
        <f t="shared" si="74"/>
        <v>1</v>
      </c>
      <c r="D421" s="716"/>
      <c r="E421" s="707">
        <f t="shared" si="75"/>
        <v>1</v>
      </c>
      <c r="F421" s="716"/>
      <c r="G421" s="707">
        <f t="shared" si="76"/>
        <v>1</v>
      </c>
      <c r="H421" s="716"/>
      <c r="I421" s="707">
        <f t="shared" si="77"/>
        <v>1</v>
      </c>
      <c r="J421" s="716"/>
      <c r="K421" s="707">
        <f t="shared" si="78"/>
        <v>1</v>
      </c>
      <c r="L421" s="716"/>
      <c r="M421" s="707">
        <f t="shared" si="79"/>
        <v>1</v>
      </c>
      <c r="N421" s="716"/>
      <c r="O421" s="707">
        <f t="shared" si="80"/>
        <v>1</v>
      </c>
      <c r="P421" s="716"/>
      <c r="Q421" s="707">
        <f t="shared" si="81"/>
        <v>1</v>
      </c>
      <c r="R421" s="768">
        <f t="shared" si="82"/>
        <v>0</v>
      </c>
      <c r="S421" s="706">
        <f t="shared" si="73"/>
        <v>0</v>
      </c>
    </row>
    <row r="422" spans="1:19">
      <c r="A422" s="714"/>
      <c r="B422" s="715"/>
      <c r="C422" s="707">
        <f t="shared" si="74"/>
        <v>1</v>
      </c>
      <c r="D422" s="716"/>
      <c r="E422" s="707">
        <f t="shared" si="75"/>
        <v>1</v>
      </c>
      <c r="F422" s="716"/>
      <c r="G422" s="707">
        <f t="shared" si="76"/>
        <v>1</v>
      </c>
      <c r="H422" s="716"/>
      <c r="I422" s="707">
        <f t="shared" si="77"/>
        <v>1</v>
      </c>
      <c r="J422" s="716"/>
      <c r="K422" s="707">
        <f t="shared" si="78"/>
        <v>1</v>
      </c>
      <c r="L422" s="716"/>
      <c r="M422" s="707">
        <f t="shared" si="79"/>
        <v>1</v>
      </c>
      <c r="N422" s="716"/>
      <c r="O422" s="707">
        <f t="shared" si="80"/>
        <v>1</v>
      </c>
      <c r="P422" s="716"/>
      <c r="Q422" s="707">
        <f t="shared" si="81"/>
        <v>1</v>
      </c>
      <c r="R422" s="768">
        <f t="shared" si="82"/>
        <v>0</v>
      </c>
      <c r="S422" s="706">
        <f t="shared" si="73"/>
        <v>0</v>
      </c>
    </row>
    <row r="423" spans="1:19">
      <c r="A423" s="714"/>
      <c r="B423" s="715"/>
      <c r="C423" s="707">
        <f t="shared" si="74"/>
        <v>1</v>
      </c>
      <c r="D423" s="716"/>
      <c r="E423" s="707">
        <f t="shared" si="75"/>
        <v>1</v>
      </c>
      <c r="F423" s="716"/>
      <c r="G423" s="707">
        <f t="shared" si="76"/>
        <v>1</v>
      </c>
      <c r="H423" s="716"/>
      <c r="I423" s="707">
        <f t="shared" si="77"/>
        <v>1</v>
      </c>
      <c r="J423" s="716"/>
      <c r="K423" s="707">
        <f t="shared" si="78"/>
        <v>1</v>
      </c>
      <c r="L423" s="716"/>
      <c r="M423" s="707">
        <f t="shared" si="79"/>
        <v>1</v>
      </c>
      <c r="N423" s="716"/>
      <c r="O423" s="707">
        <f t="shared" si="80"/>
        <v>1</v>
      </c>
      <c r="P423" s="716"/>
      <c r="Q423" s="707">
        <f t="shared" si="81"/>
        <v>1</v>
      </c>
      <c r="R423" s="768">
        <f t="shared" si="82"/>
        <v>0</v>
      </c>
      <c r="S423" s="706">
        <f t="shared" ref="S423:S467" si="83">ROUND(R423*B423/10000,0)</f>
        <v>0</v>
      </c>
    </row>
    <row r="424" spans="1:19">
      <c r="A424" s="714"/>
      <c r="B424" s="715"/>
      <c r="C424" s="707">
        <f t="shared" si="74"/>
        <v>1</v>
      </c>
      <c r="D424" s="716"/>
      <c r="E424" s="707">
        <f t="shared" si="75"/>
        <v>1</v>
      </c>
      <c r="F424" s="716"/>
      <c r="G424" s="707">
        <f t="shared" si="76"/>
        <v>1</v>
      </c>
      <c r="H424" s="716"/>
      <c r="I424" s="707">
        <f t="shared" si="77"/>
        <v>1</v>
      </c>
      <c r="J424" s="716"/>
      <c r="K424" s="707">
        <f t="shared" si="78"/>
        <v>1</v>
      </c>
      <c r="L424" s="716"/>
      <c r="M424" s="707">
        <f t="shared" si="79"/>
        <v>1</v>
      </c>
      <c r="N424" s="716"/>
      <c r="O424" s="707">
        <f t="shared" si="80"/>
        <v>1</v>
      </c>
      <c r="P424" s="716"/>
      <c r="Q424" s="707">
        <f t="shared" si="81"/>
        <v>1</v>
      </c>
      <c r="R424" s="768">
        <f t="shared" si="82"/>
        <v>0</v>
      </c>
      <c r="S424" s="706">
        <f t="shared" si="83"/>
        <v>0</v>
      </c>
    </row>
    <row r="425" spans="1:19">
      <c r="A425" s="714"/>
      <c r="B425" s="715"/>
      <c r="C425" s="707">
        <f t="shared" si="74"/>
        <v>1</v>
      </c>
      <c r="D425" s="716"/>
      <c r="E425" s="707">
        <f t="shared" si="75"/>
        <v>1</v>
      </c>
      <c r="F425" s="716"/>
      <c r="G425" s="707">
        <f t="shared" si="76"/>
        <v>1</v>
      </c>
      <c r="H425" s="716"/>
      <c r="I425" s="707">
        <f t="shared" si="77"/>
        <v>1</v>
      </c>
      <c r="J425" s="716"/>
      <c r="K425" s="707">
        <f t="shared" si="78"/>
        <v>1</v>
      </c>
      <c r="L425" s="716"/>
      <c r="M425" s="707">
        <f t="shared" si="79"/>
        <v>1</v>
      </c>
      <c r="N425" s="716"/>
      <c r="O425" s="707">
        <f t="shared" si="80"/>
        <v>1</v>
      </c>
      <c r="P425" s="716"/>
      <c r="Q425" s="707">
        <f t="shared" si="81"/>
        <v>1</v>
      </c>
      <c r="R425" s="768">
        <f t="shared" si="82"/>
        <v>0</v>
      </c>
      <c r="S425" s="706">
        <f t="shared" si="83"/>
        <v>0</v>
      </c>
    </row>
    <row r="426" spans="1:19">
      <c r="A426" s="714"/>
      <c r="B426" s="715"/>
      <c r="C426" s="707">
        <f t="shared" si="74"/>
        <v>1</v>
      </c>
      <c r="D426" s="716"/>
      <c r="E426" s="707">
        <f t="shared" si="75"/>
        <v>1</v>
      </c>
      <c r="F426" s="716"/>
      <c r="G426" s="707">
        <f t="shared" si="76"/>
        <v>1</v>
      </c>
      <c r="H426" s="716"/>
      <c r="I426" s="707">
        <f t="shared" si="77"/>
        <v>1</v>
      </c>
      <c r="J426" s="716"/>
      <c r="K426" s="707">
        <f t="shared" si="78"/>
        <v>1</v>
      </c>
      <c r="L426" s="716"/>
      <c r="M426" s="707">
        <f t="shared" si="79"/>
        <v>1</v>
      </c>
      <c r="N426" s="716"/>
      <c r="O426" s="707">
        <f t="shared" si="80"/>
        <v>1</v>
      </c>
      <c r="P426" s="716"/>
      <c r="Q426" s="707">
        <f t="shared" si="81"/>
        <v>1</v>
      </c>
      <c r="R426" s="768">
        <f t="shared" si="82"/>
        <v>0</v>
      </c>
      <c r="S426" s="706">
        <f t="shared" si="83"/>
        <v>0</v>
      </c>
    </row>
    <row r="427" spans="1:19">
      <c r="A427" s="714"/>
      <c r="B427" s="715"/>
      <c r="C427" s="707">
        <f t="shared" si="74"/>
        <v>1</v>
      </c>
      <c r="D427" s="716"/>
      <c r="E427" s="707">
        <f t="shared" si="75"/>
        <v>1</v>
      </c>
      <c r="F427" s="716"/>
      <c r="G427" s="707">
        <f t="shared" si="76"/>
        <v>1</v>
      </c>
      <c r="H427" s="716"/>
      <c r="I427" s="707">
        <f t="shared" si="77"/>
        <v>1</v>
      </c>
      <c r="J427" s="716"/>
      <c r="K427" s="707">
        <f t="shared" si="78"/>
        <v>1</v>
      </c>
      <c r="L427" s="716"/>
      <c r="M427" s="707">
        <f t="shared" si="79"/>
        <v>1</v>
      </c>
      <c r="N427" s="716"/>
      <c r="O427" s="707">
        <f t="shared" si="80"/>
        <v>1</v>
      </c>
      <c r="P427" s="716"/>
      <c r="Q427" s="707">
        <f t="shared" si="81"/>
        <v>1</v>
      </c>
      <c r="R427" s="768">
        <f t="shared" si="82"/>
        <v>0</v>
      </c>
      <c r="S427" s="706">
        <f t="shared" si="83"/>
        <v>0</v>
      </c>
    </row>
    <row r="428" spans="1:19">
      <c r="A428" s="714"/>
      <c r="B428" s="715"/>
      <c r="C428" s="707">
        <f t="shared" si="74"/>
        <v>1</v>
      </c>
      <c r="D428" s="716"/>
      <c r="E428" s="707">
        <f t="shared" si="75"/>
        <v>1</v>
      </c>
      <c r="F428" s="716"/>
      <c r="G428" s="707">
        <f t="shared" si="76"/>
        <v>1</v>
      </c>
      <c r="H428" s="716"/>
      <c r="I428" s="707">
        <f t="shared" si="77"/>
        <v>1</v>
      </c>
      <c r="J428" s="716"/>
      <c r="K428" s="707">
        <f t="shared" si="78"/>
        <v>1</v>
      </c>
      <c r="L428" s="716"/>
      <c r="M428" s="707">
        <f t="shared" si="79"/>
        <v>1</v>
      </c>
      <c r="N428" s="716"/>
      <c r="O428" s="707">
        <f t="shared" si="80"/>
        <v>1</v>
      </c>
      <c r="P428" s="716"/>
      <c r="Q428" s="707">
        <f t="shared" si="81"/>
        <v>1</v>
      </c>
      <c r="R428" s="768">
        <f t="shared" si="82"/>
        <v>0</v>
      </c>
      <c r="S428" s="706">
        <f t="shared" si="83"/>
        <v>0</v>
      </c>
    </row>
    <row r="429" spans="1:19">
      <c r="A429" s="714"/>
      <c r="B429" s="715"/>
      <c r="C429" s="707">
        <f t="shared" si="74"/>
        <v>1</v>
      </c>
      <c r="D429" s="716"/>
      <c r="E429" s="707">
        <f t="shared" si="75"/>
        <v>1</v>
      </c>
      <c r="F429" s="716"/>
      <c r="G429" s="707">
        <f t="shared" si="76"/>
        <v>1</v>
      </c>
      <c r="H429" s="716"/>
      <c r="I429" s="707">
        <f t="shared" si="77"/>
        <v>1</v>
      </c>
      <c r="J429" s="716"/>
      <c r="K429" s="707">
        <f t="shared" si="78"/>
        <v>1</v>
      </c>
      <c r="L429" s="716"/>
      <c r="M429" s="707">
        <f t="shared" si="79"/>
        <v>1</v>
      </c>
      <c r="N429" s="716"/>
      <c r="O429" s="707">
        <f t="shared" si="80"/>
        <v>1</v>
      </c>
      <c r="P429" s="716"/>
      <c r="Q429" s="707">
        <f t="shared" si="81"/>
        <v>1</v>
      </c>
      <c r="R429" s="768">
        <f t="shared" si="82"/>
        <v>0</v>
      </c>
      <c r="S429" s="706">
        <f t="shared" si="83"/>
        <v>0</v>
      </c>
    </row>
    <row r="430" spans="1:19">
      <c r="A430" s="714"/>
      <c r="B430" s="715"/>
      <c r="C430" s="707">
        <f t="shared" si="74"/>
        <v>1</v>
      </c>
      <c r="D430" s="716"/>
      <c r="E430" s="707">
        <f t="shared" si="75"/>
        <v>1</v>
      </c>
      <c r="F430" s="716"/>
      <c r="G430" s="707">
        <f t="shared" si="76"/>
        <v>1</v>
      </c>
      <c r="H430" s="716"/>
      <c r="I430" s="707">
        <f t="shared" si="77"/>
        <v>1</v>
      </c>
      <c r="J430" s="716"/>
      <c r="K430" s="707">
        <f t="shared" si="78"/>
        <v>1</v>
      </c>
      <c r="L430" s="716"/>
      <c r="M430" s="707">
        <f t="shared" si="79"/>
        <v>1</v>
      </c>
      <c r="N430" s="716"/>
      <c r="O430" s="707">
        <f t="shared" si="80"/>
        <v>1</v>
      </c>
      <c r="P430" s="716"/>
      <c r="Q430" s="707">
        <f t="shared" si="81"/>
        <v>1</v>
      </c>
      <c r="R430" s="768">
        <f t="shared" si="82"/>
        <v>0</v>
      </c>
      <c r="S430" s="706">
        <f t="shared" si="83"/>
        <v>0</v>
      </c>
    </row>
    <row r="431" spans="1:19">
      <c r="A431" s="714"/>
      <c r="B431" s="715"/>
      <c r="C431" s="707">
        <f t="shared" si="74"/>
        <v>1</v>
      </c>
      <c r="D431" s="716"/>
      <c r="E431" s="707">
        <f t="shared" si="75"/>
        <v>1</v>
      </c>
      <c r="F431" s="716"/>
      <c r="G431" s="707">
        <f t="shared" si="76"/>
        <v>1</v>
      </c>
      <c r="H431" s="716"/>
      <c r="I431" s="707">
        <f t="shared" si="77"/>
        <v>1</v>
      </c>
      <c r="J431" s="716"/>
      <c r="K431" s="707">
        <f t="shared" si="78"/>
        <v>1</v>
      </c>
      <c r="L431" s="716"/>
      <c r="M431" s="707">
        <f t="shared" si="79"/>
        <v>1</v>
      </c>
      <c r="N431" s="716"/>
      <c r="O431" s="707">
        <f t="shared" si="80"/>
        <v>1</v>
      </c>
      <c r="P431" s="716"/>
      <c r="Q431" s="707">
        <f t="shared" si="81"/>
        <v>1</v>
      </c>
      <c r="R431" s="768">
        <f t="shared" si="82"/>
        <v>0</v>
      </c>
      <c r="S431" s="706">
        <f t="shared" si="83"/>
        <v>0</v>
      </c>
    </row>
    <row r="432" spans="1:19">
      <c r="A432" s="714"/>
      <c r="B432" s="715"/>
      <c r="C432" s="707">
        <f t="shared" si="74"/>
        <v>1</v>
      </c>
      <c r="D432" s="716"/>
      <c r="E432" s="707">
        <f t="shared" si="75"/>
        <v>1</v>
      </c>
      <c r="F432" s="716"/>
      <c r="G432" s="707">
        <f t="shared" si="76"/>
        <v>1</v>
      </c>
      <c r="H432" s="716"/>
      <c r="I432" s="707">
        <f t="shared" si="77"/>
        <v>1</v>
      </c>
      <c r="J432" s="716"/>
      <c r="K432" s="707">
        <f t="shared" si="78"/>
        <v>1</v>
      </c>
      <c r="L432" s="716"/>
      <c r="M432" s="707">
        <f t="shared" si="79"/>
        <v>1</v>
      </c>
      <c r="N432" s="716"/>
      <c r="O432" s="707">
        <f t="shared" si="80"/>
        <v>1</v>
      </c>
      <c r="P432" s="716"/>
      <c r="Q432" s="707">
        <f t="shared" si="81"/>
        <v>1</v>
      </c>
      <c r="R432" s="768">
        <f t="shared" si="82"/>
        <v>0</v>
      </c>
      <c r="S432" s="706">
        <f t="shared" si="83"/>
        <v>0</v>
      </c>
    </row>
    <row r="433" spans="1:19">
      <c r="A433" s="714"/>
      <c r="B433" s="715"/>
      <c r="C433" s="707">
        <f t="shared" si="74"/>
        <v>1</v>
      </c>
      <c r="D433" s="716"/>
      <c r="E433" s="707">
        <f t="shared" si="75"/>
        <v>1</v>
      </c>
      <c r="F433" s="716"/>
      <c r="G433" s="707">
        <f t="shared" si="76"/>
        <v>1</v>
      </c>
      <c r="H433" s="716"/>
      <c r="I433" s="707">
        <f t="shared" si="77"/>
        <v>1</v>
      </c>
      <c r="J433" s="716"/>
      <c r="K433" s="707">
        <f t="shared" si="78"/>
        <v>1</v>
      </c>
      <c r="L433" s="716"/>
      <c r="M433" s="707">
        <f t="shared" si="79"/>
        <v>1</v>
      </c>
      <c r="N433" s="716"/>
      <c r="O433" s="707">
        <f t="shared" si="80"/>
        <v>1</v>
      </c>
      <c r="P433" s="716"/>
      <c r="Q433" s="707">
        <f t="shared" si="81"/>
        <v>1</v>
      </c>
      <c r="R433" s="768">
        <f t="shared" si="82"/>
        <v>0</v>
      </c>
      <c r="S433" s="706">
        <f t="shared" si="83"/>
        <v>0</v>
      </c>
    </row>
    <row r="434" spans="1:19">
      <c r="A434" s="714"/>
      <c r="B434" s="715"/>
      <c r="C434" s="707">
        <f t="shared" si="74"/>
        <v>1</v>
      </c>
      <c r="D434" s="716"/>
      <c r="E434" s="707">
        <f t="shared" si="75"/>
        <v>1</v>
      </c>
      <c r="F434" s="716"/>
      <c r="G434" s="707">
        <f t="shared" si="76"/>
        <v>1</v>
      </c>
      <c r="H434" s="716"/>
      <c r="I434" s="707">
        <f t="shared" si="77"/>
        <v>1</v>
      </c>
      <c r="J434" s="716"/>
      <c r="K434" s="707">
        <f t="shared" si="78"/>
        <v>1</v>
      </c>
      <c r="L434" s="716"/>
      <c r="M434" s="707">
        <f t="shared" si="79"/>
        <v>1</v>
      </c>
      <c r="N434" s="716"/>
      <c r="O434" s="707">
        <f t="shared" si="80"/>
        <v>1</v>
      </c>
      <c r="P434" s="716"/>
      <c r="Q434" s="707">
        <f t="shared" si="81"/>
        <v>1</v>
      </c>
      <c r="R434" s="768">
        <f t="shared" si="82"/>
        <v>0</v>
      </c>
      <c r="S434" s="706">
        <f t="shared" si="83"/>
        <v>0</v>
      </c>
    </row>
    <row r="435" spans="1:19">
      <c r="A435" s="714"/>
      <c r="B435" s="715"/>
      <c r="C435" s="707">
        <f t="shared" si="74"/>
        <v>1</v>
      </c>
      <c r="D435" s="716"/>
      <c r="E435" s="707">
        <f t="shared" si="75"/>
        <v>1</v>
      </c>
      <c r="F435" s="716"/>
      <c r="G435" s="707">
        <f t="shared" si="76"/>
        <v>1</v>
      </c>
      <c r="H435" s="716"/>
      <c r="I435" s="707">
        <f t="shared" si="77"/>
        <v>1</v>
      </c>
      <c r="J435" s="716"/>
      <c r="K435" s="707">
        <f t="shared" si="78"/>
        <v>1</v>
      </c>
      <c r="L435" s="716"/>
      <c r="M435" s="707">
        <f t="shared" si="79"/>
        <v>1</v>
      </c>
      <c r="N435" s="716"/>
      <c r="O435" s="707">
        <f t="shared" si="80"/>
        <v>1</v>
      </c>
      <c r="P435" s="716"/>
      <c r="Q435" s="707">
        <f t="shared" si="81"/>
        <v>1</v>
      </c>
      <c r="R435" s="768">
        <f t="shared" si="82"/>
        <v>0</v>
      </c>
      <c r="S435" s="706">
        <f t="shared" si="83"/>
        <v>0</v>
      </c>
    </row>
    <row r="436" spans="1:19">
      <c r="A436" s="714"/>
      <c r="B436" s="715"/>
      <c r="C436" s="707">
        <f t="shared" si="74"/>
        <v>1</v>
      </c>
      <c r="D436" s="716"/>
      <c r="E436" s="707">
        <f t="shared" si="75"/>
        <v>1</v>
      </c>
      <c r="F436" s="716"/>
      <c r="G436" s="707">
        <f t="shared" si="76"/>
        <v>1</v>
      </c>
      <c r="H436" s="716"/>
      <c r="I436" s="707">
        <f t="shared" si="77"/>
        <v>1</v>
      </c>
      <c r="J436" s="716"/>
      <c r="K436" s="707">
        <f t="shared" si="78"/>
        <v>1</v>
      </c>
      <c r="L436" s="716"/>
      <c r="M436" s="707">
        <f t="shared" si="79"/>
        <v>1</v>
      </c>
      <c r="N436" s="716"/>
      <c r="O436" s="707">
        <f t="shared" si="80"/>
        <v>1</v>
      </c>
      <c r="P436" s="716"/>
      <c r="Q436" s="707">
        <f t="shared" si="81"/>
        <v>1</v>
      </c>
      <c r="R436" s="768">
        <f t="shared" si="82"/>
        <v>0</v>
      </c>
      <c r="S436" s="706">
        <f t="shared" si="83"/>
        <v>0</v>
      </c>
    </row>
    <row r="437" spans="1:19">
      <c r="A437" s="714"/>
      <c r="B437" s="715"/>
      <c r="C437" s="707">
        <f t="shared" si="74"/>
        <v>1</v>
      </c>
      <c r="D437" s="716"/>
      <c r="E437" s="707">
        <f t="shared" si="75"/>
        <v>1</v>
      </c>
      <c r="F437" s="716"/>
      <c r="G437" s="707">
        <f t="shared" si="76"/>
        <v>1</v>
      </c>
      <c r="H437" s="716"/>
      <c r="I437" s="707">
        <f t="shared" si="77"/>
        <v>1</v>
      </c>
      <c r="J437" s="716"/>
      <c r="K437" s="707">
        <f t="shared" si="78"/>
        <v>1</v>
      </c>
      <c r="L437" s="716"/>
      <c r="M437" s="707">
        <f t="shared" si="79"/>
        <v>1</v>
      </c>
      <c r="N437" s="716"/>
      <c r="O437" s="707">
        <f t="shared" si="80"/>
        <v>1</v>
      </c>
      <c r="P437" s="716"/>
      <c r="Q437" s="707">
        <f t="shared" si="81"/>
        <v>1</v>
      </c>
      <c r="R437" s="768">
        <f t="shared" si="82"/>
        <v>0</v>
      </c>
      <c r="S437" s="706">
        <f t="shared" si="83"/>
        <v>0</v>
      </c>
    </row>
    <row r="438" spans="1:19">
      <c r="A438" s="714"/>
      <c r="B438" s="715"/>
      <c r="C438" s="707">
        <f t="shared" si="74"/>
        <v>1</v>
      </c>
      <c r="D438" s="716"/>
      <c r="E438" s="707">
        <f t="shared" si="75"/>
        <v>1</v>
      </c>
      <c r="F438" s="716"/>
      <c r="G438" s="707">
        <f t="shared" si="76"/>
        <v>1</v>
      </c>
      <c r="H438" s="716"/>
      <c r="I438" s="707">
        <f t="shared" si="77"/>
        <v>1</v>
      </c>
      <c r="J438" s="716"/>
      <c r="K438" s="707">
        <f t="shared" si="78"/>
        <v>1</v>
      </c>
      <c r="L438" s="716"/>
      <c r="M438" s="707">
        <f t="shared" si="79"/>
        <v>1</v>
      </c>
      <c r="N438" s="716"/>
      <c r="O438" s="707">
        <f t="shared" si="80"/>
        <v>1</v>
      </c>
      <c r="P438" s="716"/>
      <c r="Q438" s="707">
        <f t="shared" si="81"/>
        <v>1</v>
      </c>
      <c r="R438" s="768">
        <f t="shared" si="82"/>
        <v>0</v>
      </c>
      <c r="S438" s="706">
        <f t="shared" si="83"/>
        <v>0</v>
      </c>
    </row>
    <row r="439" spans="1:19">
      <c r="A439" s="714"/>
      <c r="B439" s="715"/>
      <c r="C439" s="707">
        <f t="shared" si="74"/>
        <v>1</v>
      </c>
      <c r="D439" s="716"/>
      <c r="E439" s="707">
        <f t="shared" si="75"/>
        <v>1</v>
      </c>
      <c r="F439" s="716"/>
      <c r="G439" s="707">
        <f t="shared" si="76"/>
        <v>1</v>
      </c>
      <c r="H439" s="716"/>
      <c r="I439" s="707">
        <f t="shared" si="77"/>
        <v>1</v>
      </c>
      <c r="J439" s="716"/>
      <c r="K439" s="707">
        <f t="shared" si="78"/>
        <v>1</v>
      </c>
      <c r="L439" s="716"/>
      <c r="M439" s="707">
        <f t="shared" si="79"/>
        <v>1</v>
      </c>
      <c r="N439" s="716"/>
      <c r="O439" s="707">
        <f t="shared" si="80"/>
        <v>1</v>
      </c>
      <c r="P439" s="716"/>
      <c r="Q439" s="707">
        <f t="shared" si="81"/>
        <v>1</v>
      </c>
      <c r="R439" s="768">
        <f t="shared" si="82"/>
        <v>0</v>
      </c>
      <c r="S439" s="706">
        <f t="shared" si="83"/>
        <v>0</v>
      </c>
    </row>
    <row r="440" spans="1:19">
      <c r="A440" s="714"/>
      <c r="B440" s="715"/>
      <c r="C440" s="707">
        <f t="shared" si="74"/>
        <v>1</v>
      </c>
      <c r="D440" s="716"/>
      <c r="E440" s="707">
        <f t="shared" si="75"/>
        <v>1</v>
      </c>
      <c r="F440" s="716"/>
      <c r="G440" s="707">
        <f t="shared" si="76"/>
        <v>1</v>
      </c>
      <c r="H440" s="716"/>
      <c r="I440" s="707">
        <f t="shared" si="77"/>
        <v>1</v>
      </c>
      <c r="J440" s="716"/>
      <c r="K440" s="707">
        <f t="shared" si="78"/>
        <v>1</v>
      </c>
      <c r="L440" s="716"/>
      <c r="M440" s="707">
        <f t="shared" si="79"/>
        <v>1</v>
      </c>
      <c r="N440" s="716"/>
      <c r="O440" s="707">
        <f t="shared" si="80"/>
        <v>1</v>
      </c>
      <c r="P440" s="716"/>
      <c r="Q440" s="707">
        <f t="shared" si="81"/>
        <v>1</v>
      </c>
      <c r="R440" s="768">
        <f t="shared" si="82"/>
        <v>0</v>
      </c>
      <c r="S440" s="706">
        <f t="shared" si="83"/>
        <v>0</v>
      </c>
    </row>
    <row r="441" spans="1:19">
      <c r="A441" s="714"/>
      <c r="B441" s="715"/>
      <c r="C441" s="707">
        <f t="shared" si="74"/>
        <v>1</v>
      </c>
      <c r="D441" s="716"/>
      <c r="E441" s="707">
        <f t="shared" si="75"/>
        <v>1</v>
      </c>
      <c r="F441" s="716"/>
      <c r="G441" s="707">
        <f t="shared" si="76"/>
        <v>1</v>
      </c>
      <c r="H441" s="716"/>
      <c r="I441" s="707">
        <f t="shared" si="77"/>
        <v>1</v>
      </c>
      <c r="J441" s="716"/>
      <c r="K441" s="707">
        <f t="shared" si="78"/>
        <v>1</v>
      </c>
      <c r="L441" s="716"/>
      <c r="M441" s="707">
        <f t="shared" si="79"/>
        <v>1</v>
      </c>
      <c r="N441" s="716"/>
      <c r="O441" s="707">
        <f t="shared" si="80"/>
        <v>1</v>
      </c>
      <c r="P441" s="716"/>
      <c r="Q441" s="707">
        <f t="shared" si="81"/>
        <v>1</v>
      </c>
      <c r="R441" s="768">
        <f t="shared" si="82"/>
        <v>0</v>
      </c>
      <c r="S441" s="706">
        <f t="shared" si="83"/>
        <v>0</v>
      </c>
    </row>
    <row r="442" spans="1:19">
      <c r="A442" s="714"/>
      <c r="B442" s="715"/>
      <c r="C442" s="707">
        <f t="shared" si="74"/>
        <v>1</v>
      </c>
      <c r="D442" s="716"/>
      <c r="E442" s="707">
        <f t="shared" si="75"/>
        <v>1</v>
      </c>
      <c r="F442" s="716"/>
      <c r="G442" s="707">
        <f t="shared" si="76"/>
        <v>1</v>
      </c>
      <c r="H442" s="716"/>
      <c r="I442" s="707">
        <f t="shared" si="77"/>
        <v>1</v>
      </c>
      <c r="J442" s="716"/>
      <c r="K442" s="707">
        <f t="shared" si="78"/>
        <v>1</v>
      </c>
      <c r="L442" s="716"/>
      <c r="M442" s="707">
        <f t="shared" si="79"/>
        <v>1</v>
      </c>
      <c r="N442" s="716"/>
      <c r="O442" s="707">
        <f t="shared" si="80"/>
        <v>1</v>
      </c>
      <c r="P442" s="716"/>
      <c r="Q442" s="707">
        <f t="shared" si="81"/>
        <v>1</v>
      </c>
      <c r="R442" s="768">
        <f t="shared" si="82"/>
        <v>0</v>
      </c>
      <c r="S442" s="706">
        <f t="shared" si="83"/>
        <v>0</v>
      </c>
    </row>
    <row r="443" spans="1:19">
      <c r="A443" s="714"/>
      <c r="B443" s="715"/>
      <c r="C443" s="707">
        <f t="shared" si="74"/>
        <v>1</v>
      </c>
      <c r="D443" s="716"/>
      <c r="E443" s="707">
        <f t="shared" si="75"/>
        <v>1</v>
      </c>
      <c r="F443" s="716"/>
      <c r="G443" s="707">
        <f t="shared" si="76"/>
        <v>1</v>
      </c>
      <c r="H443" s="716"/>
      <c r="I443" s="707">
        <f t="shared" si="77"/>
        <v>1</v>
      </c>
      <c r="J443" s="716"/>
      <c r="K443" s="707">
        <f t="shared" si="78"/>
        <v>1</v>
      </c>
      <c r="L443" s="716"/>
      <c r="M443" s="707">
        <f t="shared" si="79"/>
        <v>1</v>
      </c>
      <c r="N443" s="716"/>
      <c r="O443" s="707">
        <f t="shared" si="80"/>
        <v>1</v>
      </c>
      <c r="P443" s="716"/>
      <c r="Q443" s="707">
        <f t="shared" si="81"/>
        <v>1</v>
      </c>
      <c r="R443" s="768">
        <f t="shared" si="82"/>
        <v>0</v>
      </c>
      <c r="S443" s="706">
        <f t="shared" si="83"/>
        <v>0</v>
      </c>
    </row>
    <row r="444" spans="1:19">
      <c r="A444" s="714"/>
      <c r="B444" s="715"/>
      <c r="C444" s="707">
        <f t="shared" si="74"/>
        <v>1</v>
      </c>
      <c r="D444" s="716"/>
      <c r="E444" s="707">
        <f t="shared" si="75"/>
        <v>1</v>
      </c>
      <c r="F444" s="716"/>
      <c r="G444" s="707">
        <f t="shared" si="76"/>
        <v>1</v>
      </c>
      <c r="H444" s="716"/>
      <c r="I444" s="707">
        <f t="shared" si="77"/>
        <v>1</v>
      </c>
      <c r="J444" s="716"/>
      <c r="K444" s="707">
        <f t="shared" si="78"/>
        <v>1</v>
      </c>
      <c r="L444" s="716"/>
      <c r="M444" s="707">
        <f t="shared" si="79"/>
        <v>1</v>
      </c>
      <c r="N444" s="716"/>
      <c r="O444" s="707">
        <f t="shared" si="80"/>
        <v>1</v>
      </c>
      <c r="P444" s="716"/>
      <c r="Q444" s="707">
        <f t="shared" si="81"/>
        <v>1</v>
      </c>
      <c r="R444" s="768">
        <f t="shared" si="82"/>
        <v>0</v>
      </c>
      <c r="S444" s="706">
        <f t="shared" si="83"/>
        <v>0</v>
      </c>
    </row>
    <row r="445" spans="1:19">
      <c r="A445" s="714"/>
      <c r="B445" s="715"/>
      <c r="C445" s="707">
        <f t="shared" si="74"/>
        <v>1</v>
      </c>
      <c r="D445" s="716"/>
      <c r="E445" s="707">
        <f t="shared" si="75"/>
        <v>1</v>
      </c>
      <c r="F445" s="716"/>
      <c r="G445" s="707">
        <f t="shared" si="76"/>
        <v>1</v>
      </c>
      <c r="H445" s="716"/>
      <c r="I445" s="707">
        <f t="shared" si="77"/>
        <v>1</v>
      </c>
      <c r="J445" s="716"/>
      <c r="K445" s="707">
        <f t="shared" si="78"/>
        <v>1</v>
      </c>
      <c r="L445" s="716"/>
      <c r="M445" s="707">
        <f t="shared" si="79"/>
        <v>1</v>
      </c>
      <c r="N445" s="716"/>
      <c r="O445" s="707">
        <f t="shared" si="80"/>
        <v>1</v>
      </c>
      <c r="P445" s="716"/>
      <c r="Q445" s="707">
        <f t="shared" si="81"/>
        <v>1</v>
      </c>
      <c r="R445" s="768">
        <f t="shared" si="82"/>
        <v>0</v>
      </c>
      <c r="S445" s="706">
        <f t="shared" si="83"/>
        <v>0</v>
      </c>
    </row>
    <row r="446" spans="1:19">
      <c r="A446" s="714"/>
      <c r="B446" s="715"/>
      <c r="C446" s="707">
        <f t="shared" si="74"/>
        <v>1</v>
      </c>
      <c r="D446" s="716"/>
      <c r="E446" s="707">
        <f t="shared" si="75"/>
        <v>1</v>
      </c>
      <c r="F446" s="716"/>
      <c r="G446" s="707">
        <f t="shared" si="76"/>
        <v>1</v>
      </c>
      <c r="H446" s="716"/>
      <c r="I446" s="707">
        <f t="shared" si="77"/>
        <v>1</v>
      </c>
      <c r="J446" s="716"/>
      <c r="K446" s="707">
        <f t="shared" si="78"/>
        <v>1</v>
      </c>
      <c r="L446" s="716"/>
      <c r="M446" s="707">
        <f t="shared" si="79"/>
        <v>1</v>
      </c>
      <c r="N446" s="716"/>
      <c r="O446" s="707">
        <f t="shared" si="80"/>
        <v>1</v>
      </c>
      <c r="P446" s="716"/>
      <c r="Q446" s="707">
        <f t="shared" si="81"/>
        <v>1</v>
      </c>
      <c r="R446" s="768">
        <f t="shared" si="82"/>
        <v>0</v>
      </c>
      <c r="S446" s="706">
        <f t="shared" si="83"/>
        <v>0</v>
      </c>
    </row>
    <row r="447" spans="1:19">
      <c r="A447" s="714"/>
      <c r="B447" s="715"/>
      <c r="C447" s="707">
        <f t="shared" si="74"/>
        <v>1</v>
      </c>
      <c r="D447" s="716"/>
      <c r="E447" s="707">
        <f t="shared" si="75"/>
        <v>1</v>
      </c>
      <c r="F447" s="716"/>
      <c r="G447" s="707">
        <f t="shared" si="76"/>
        <v>1</v>
      </c>
      <c r="H447" s="716"/>
      <c r="I447" s="707">
        <f t="shared" si="77"/>
        <v>1</v>
      </c>
      <c r="J447" s="716"/>
      <c r="K447" s="707">
        <f t="shared" si="78"/>
        <v>1</v>
      </c>
      <c r="L447" s="716"/>
      <c r="M447" s="707">
        <f t="shared" si="79"/>
        <v>1</v>
      </c>
      <c r="N447" s="716"/>
      <c r="O447" s="707">
        <f t="shared" si="80"/>
        <v>1</v>
      </c>
      <c r="P447" s="716"/>
      <c r="Q447" s="707">
        <f t="shared" si="81"/>
        <v>1</v>
      </c>
      <c r="R447" s="768">
        <f t="shared" si="82"/>
        <v>0</v>
      </c>
      <c r="S447" s="706">
        <f t="shared" si="83"/>
        <v>0</v>
      </c>
    </row>
    <row r="448" spans="1:19">
      <c r="A448" s="714"/>
      <c r="B448" s="715"/>
      <c r="C448" s="707">
        <f t="shared" si="74"/>
        <v>1</v>
      </c>
      <c r="D448" s="716"/>
      <c r="E448" s="707">
        <f t="shared" si="75"/>
        <v>1</v>
      </c>
      <c r="F448" s="716"/>
      <c r="G448" s="707">
        <f t="shared" si="76"/>
        <v>1</v>
      </c>
      <c r="H448" s="716"/>
      <c r="I448" s="707">
        <f t="shared" si="77"/>
        <v>1</v>
      </c>
      <c r="J448" s="716"/>
      <c r="K448" s="707">
        <f t="shared" si="78"/>
        <v>1</v>
      </c>
      <c r="L448" s="716"/>
      <c r="M448" s="707">
        <f t="shared" si="79"/>
        <v>1</v>
      </c>
      <c r="N448" s="716"/>
      <c r="O448" s="707">
        <f t="shared" si="80"/>
        <v>1</v>
      </c>
      <c r="P448" s="716"/>
      <c r="Q448" s="707">
        <f t="shared" si="81"/>
        <v>1</v>
      </c>
      <c r="R448" s="768">
        <f t="shared" si="82"/>
        <v>0</v>
      </c>
      <c r="S448" s="706">
        <f t="shared" si="83"/>
        <v>0</v>
      </c>
    </row>
    <row r="449" spans="1:19">
      <c r="A449" s="714"/>
      <c r="B449" s="715"/>
      <c r="C449" s="707">
        <f t="shared" si="74"/>
        <v>1</v>
      </c>
      <c r="D449" s="716"/>
      <c r="E449" s="707">
        <f t="shared" si="75"/>
        <v>1</v>
      </c>
      <c r="F449" s="716"/>
      <c r="G449" s="707">
        <f t="shared" si="76"/>
        <v>1</v>
      </c>
      <c r="H449" s="716"/>
      <c r="I449" s="707">
        <f t="shared" si="77"/>
        <v>1</v>
      </c>
      <c r="J449" s="716"/>
      <c r="K449" s="707">
        <f t="shared" si="78"/>
        <v>1</v>
      </c>
      <c r="L449" s="716"/>
      <c r="M449" s="707">
        <f t="shared" si="79"/>
        <v>1</v>
      </c>
      <c r="N449" s="716"/>
      <c r="O449" s="707">
        <f t="shared" si="80"/>
        <v>1</v>
      </c>
      <c r="P449" s="716"/>
      <c r="Q449" s="707">
        <f t="shared" si="81"/>
        <v>1</v>
      </c>
      <c r="R449" s="768">
        <f t="shared" si="82"/>
        <v>0</v>
      </c>
      <c r="S449" s="706">
        <f t="shared" si="83"/>
        <v>0</v>
      </c>
    </row>
    <row r="450" spans="1:19">
      <c r="A450" s="714"/>
      <c r="B450" s="715"/>
      <c r="C450" s="707">
        <f t="shared" si="74"/>
        <v>1</v>
      </c>
      <c r="D450" s="716"/>
      <c r="E450" s="707">
        <f t="shared" si="75"/>
        <v>1</v>
      </c>
      <c r="F450" s="716"/>
      <c r="G450" s="707">
        <f t="shared" si="76"/>
        <v>1</v>
      </c>
      <c r="H450" s="716"/>
      <c r="I450" s="707">
        <f t="shared" si="77"/>
        <v>1</v>
      </c>
      <c r="J450" s="716"/>
      <c r="K450" s="707">
        <f t="shared" si="78"/>
        <v>1</v>
      </c>
      <c r="L450" s="716"/>
      <c r="M450" s="707">
        <f t="shared" si="79"/>
        <v>1</v>
      </c>
      <c r="N450" s="716"/>
      <c r="O450" s="707">
        <f t="shared" si="80"/>
        <v>1</v>
      </c>
      <c r="P450" s="716"/>
      <c r="Q450" s="707">
        <f t="shared" si="81"/>
        <v>1</v>
      </c>
      <c r="R450" s="768">
        <f t="shared" si="82"/>
        <v>0</v>
      </c>
      <c r="S450" s="706">
        <f t="shared" si="83"/>
        <v>0</v>
      </c>
    </row>
    <row r="451" spans="1:19">
      <c r="A451" s="714"/>
      <c r="B451" s="715"/>
      <c r="C451" s="707">
        <f t="shared" si="74"/>
        <v>1</v>
      </c>
      <c r="D451" s="716"/>
      <c r="E451" s="707">
        <f t="shared" si="75"/>
        <v>1</v>
      </c>
      <c r="F451" s="716"/>
      <c r="G451" s="707">
        <f t="shared" si="76"/>
        <v>1</v>
      </c>
      <c r="H451" s="716"/>
      <c r="I451" s="707">
        <f t="shared" si="77"/>
        <v>1</v>
      </c>
      <c r="J451" s="716"/>
      <c r="K451" s="707">
        <f t="shared" si="78"/>
        <v>1</v>
      </c>
      <c r="L451" s="716"/>
      <c r="M451" s="707">
        <f t="shared" si="79"/>
        <v>1</v>
      </c>
      <c r="N451" s="716"/>
      <c r="O451" s="707">
        <f t="shared" si="80"/>
        <v>1</v>
      </c>
      <c r="P451" s="716"/>
      <c r="Q451" s="707">
        <f t="shared" si="81"/>
        <v>1</v>
      </c>
      <c r="R451" s="768">
        <f t="shared" si="82"/>
        <v>0</v>
      </c>
      <c r="S451" s="706">
        <f t="shared" si="83"/>
        <v>0</v>
      </c>
    </row>
    <row r="452" spans="1:19">
      <c r="A452" s="714"/>
      <c r="B452" s="715"/>
      <c r="C452" s="707">
        <f t="shared" si="74"/>
        <v>1</v>
      </c>
      <c r="D452" s="716"/>
      <c r="E452" s="707">
        <f t="shared" si="75"/>
        <v>1</v>
      </c>
      <c r="F452" s="716"/>
      <c r="G452" s="707">
        <f t="shared" si="76"/>
        <v>1</v>
      </c>
      <c r="H452" s="716"/>
      <c r="I452" s="707">
        <f t="shared" si="77"/>
        <v>1</v>
      </c>
      <c r="J452" s="716"/>
      <c r="K452" s="707">
        <f t="shared" si="78"/>
        <v>1</v>
      </c>
      <c r="L452" s="716"/>
      <c r="M452" s="707">
        <f t="shared" si="79"/>
        <v>1</v>
      </c>
      <c r="N452" s="716"/>
      <c r="O452" s="707">
        <f t="shared" si="80"/>
        <v>1</v>
      </c>
      <c r="P452" s="716"/>
      <c r="Q452" s="707">
        <f t="shared" si="81"/>
        <v>1</v>
      </c>
      <c r="R452" s="768">
        <f t="shared" si="82"/>
        <v>0</v>
      </c>
      <c r="S452" s="706">
        <f t="shared" si="83"/>
        <v>0</v>
      </c>
    </row>
    <row r="453" spans="1:19">
      <c r="A453" s="714"/>
      <c r="B453" s="715"/>
      <c r="C453" s="707">
        <f t="shared" si="74"/>
        <v>1</v>
      </c>
      <c r="D453" s="716"/>
      <c r="E453" s="707">
        <f t="shared" si="75"/>
        <v>1</v>
      </c>
      <c r="F453" s="716"/>
      <c r="G453" s="707">
        <f t="shared" si="76"/>
        <v>1</v>
      </c>
      <c r="H453" s="716"/>
      <c r="I453" s="707">
        <f t="shared" si="77"/>
        <v>1</v>
      </c>
      <c r="J453" s="716"/>
      <c r="K453" s="707">
        <f t="shared" si="78"/>
        <v>1</v>
      </c>
      <c r="L453" s="716"/>
      <c r="M453" s="707">
        <f t="shared" si="79"/>
        <v>1</v>
      </c>
      <c r="N453" s="716"/>
      <c r="O453" s="707">
        <f t="shared" si="80"/>
        <v>1</v>
      </c>
      <c r="P453" s="716"/>
      <c r="Q453" s="707">
        <f t="shared" si="81"/>
        <v>1</v>
      </c>
      <c r="R453" s="768">
        <f t="shared" si="82"/>
        <v>0</v>
      </c>
      <c r="S453" s="706">
        <f t="shared" si="83"/>
        <v>0</v>
      </c>
    </row>
    <row r="454" spans="1:19">
      <c r="A454" s="714"/>
      <c r="B454" s="715"/>
      <c r="C454" s="707">
        <f t="shared" si="74"/>
        <v>1</v>
      </c>
      <c r="D454" s="716"/>
      <c r="E454" s="707">
        <f t="shared" si="75"/>
        <v>1</v>
      </c>
      <c r="F454" s="716"/>
      <c r="G454" s="707">
        <f t="shared" si="76"/>
        <v>1</v>
      </c>
      <c r="H454" s="716"/>
      <c r="I454" s="707">
        <f t="shared" si="77"/>
        <v>1</v>
      </c>
      <c r="J454" s="716"/>
      <c r="K454" s="707">
        <f t="shared" si="78"/>
        <v>1</v>
      </c>
      <c r="L454" s="716"/>
      <c r="M454" s="707">
        <f t="shared" si="79"/>
        <v>1</v>
      </c>
      <c r="N454" s="716"/>
      <c r="O454" s="707">
        <f t="shared" si="80"/>
        <v>1</v>
      </c>
      <c r="P454" s="716"/>
      <c r="Q454" s="707">
        <f t="shared" si="81"/>
        <v>1</v>
      </c>
      <c r="R454" s="768">
        <f t="shared" si="82"/>
        <v>0</v>
      </c>
      <c r="S454" s="706">
        <f t="shared" si="83"/>
        <v>0</v>
      </c>
    </row>
    <row r="455" spans="1:19">
      <c r="A455" s="714"/>
      <c r="B455" s="715"/>
      <c r="C455" s="707">
        <f t="shared" si="74"/>
        <v>1</v>
      </c>
      <c r="D455" s="716"/>
      <c r="E455" s="707">
        <f t="shared" si="75"/>
        <v>1</v>
      </c>
      <c r="F455" s="716"/>
      <c r="G455" s="707">
        <f t="shared" si="76"/>
        <v>1</v>
      </c>
      <c r="H455" s="716"/>
      <c r="I455" s="707">
        <f t="shared" si="77"/>
        <v>1</v>
      </c>
      <c r="J455" s="716"/>
      <c r="K455" s="707">
        <f t="shared" si="78"/>
        <v>1</v>
      </c>
      <c r="L455" s="716"/>
      <c r="M455" s="707">
        <f t="shared" si="79"/>
        <v>1</v>
      </c>
      <c r="N455" s="716"/>
      <c r="O455" s="707">
        <f t="shared" si="80"/>
        <v>1</v>
      </c>
      <c r="P455" s="716"/>
      <c r="Q455" s="707">
        <f t="shared" si="81"/>
        <v>1</v>
      </c>
      <c r="R455" s="768">
        <f t="shared" si="82"/>
        <v>0</v>
      </c>
      <c r="S455" s="706">
        <f t="shared" si="83"/>
        <v>0</v>
      </c>
    </row>
    <row r="456" spans="1:19">
      <c r="A456" s="714"/>
      <c r="B456" s="715"/>
      <c r="C456" s="707">
        <f t="shared" si="74"/>
        <v>1</v>
      </c>
      <c r="D456" s="716"/>
      <c r="E456" s="707">
        <f t="shared" si="75"/>
        <v>1</v>
      </c>
      <c r="F456" s="716"/>
      <c r="G456" s="707">
        <f t="shared" si="76"/>
        <v>1</v>
      </c>
      <c r="H456" s="716"/>
      <c r="I456" s="707">
        <f t="shared" si="77"/>
        <v>1</v>
      </c>
      <c r="J456" s="716"/>
      <c r="K456" s="707">
        <f t="shared" si="78"/>
        <v>1</v>
      </c>
      <c r="L456" s="716"/>
      <c r="M456" s="707">
        <f t="shared" si="79"/>
        <v>1</v>
      </c>
      <c r="N456" s="716"/>
      <c r="O456" s="707">
        <f t="shared" si="80"/>
        <v>1</v>
      </c>
      <c r="P456" s="716"/>
      <c r="Q456" s="707">
        <f t="shared" si="81"/>
        <v>1</v>
      </c>
      <c r="R456" s="768">
        <f t="shared" si="82"/>
        <v>0</v>
      </c>
      <c r="S456" s="706">
        <f t="shared" si="83"/>
        <v>0</v>
      </c>
    </row>
    <row r="457" spans="1:19">
      <c r="A457" s="714"/>
      <c r="B457" s="715"/>
      <c r="C457" s="707">
        <f t="shared" si="74"/>
        <v>1</v>
      </c>
      <c r="D457" s="716"/>
      <c r="E457" s="707">
        <f t="shared" si="75"/>
        <v>1</v>
      </c>
      <c r="F457" s="716"/>
      <c r="G457" s="707">
        <f t="shared" si="76"/>
        <v>1</v>
      </c>
      <c r="H457" s="716"/>
      <c r="I457" s="707">
        <f t="shared" si="77"/>
        <v>1</v>
      </c>
      <c r="J457" s="716"/>
      <c r="K457" s="707">
        <f t="shared" si="78"/>
        <v>1</v>
      </c>
      <c r="L457" s="716"/>
      <c r="M457" s="707">
        <f t="shared" si="79"/>
        <v>1</v>
      </c>
      <c r="N457" s="716"/>
      <c r="O457" s="707">
        <f t="shared" si="80"/>
        <v>1</v>
      </c>
      <c r="P457" s="716"/>
      <c r="Q457" s="707">
        <f t="shared" si="81"/>
        <v>1</v>
      </c>
      <c r="R457" s="768">
        <f t="shared" si="82"/>
        <v>0</v>
      </c>
      <c r="S457" s="706">
        <f t="shared" si="83"/>
        <v>0</v>
      </c>
    </row>
    <row r="458" spans="1:19">
      <c r="A458" s="714"/>
      <c r="B458" s="715"/>
      <c r="C458" s="707">
        <f t="shared" si="74"/>
        <v>1</v>
      </c>
      <c r="D458" s="716"/>
      <c r="E458" s="707">
        <f t="shared" si="75"/>
        <v>1</v>
      </c>
      <c r="F458" s="716"/>
      <c r="G458" s="707">
        <f t="shared" si="76"/>
        <v>1</v>
      </c>
      <c r="H458" s="716"/>
      <c r="I458" s="707">
        <f t="shared" si="77"/>
        <v>1</v>
      </c>
      <c r="J458" s="716"/>
      <c r="K458" s="707">
        <f t="shared" si="78"/>
        <v>1</v>
      </c>
      <c r="L458" s="716"/>
      <c r="M458" s="707">
        <f t="shared" si="79"/>
        <v>1</v>
      </c>
      <c r="N458" s="716"/>
      <c r="O458" s="707">
        <f t="shared" si="80"/>
        <v>1</v>
      </c>
      <c r="P458" s="716"/>
      <c r="Q458" s="707">
        <f t="shared" si="81"/>
        <v>1</v>
      </c>
      <c r="R458" s="768">
        <f t="shared" si="82"/>
        <v>0</v>
      </c>
      <c r="S458" s="706">
        <f t="shared" si="83"/>
        <v>0</v>
      </c>
    </row>
    <row r="459" spans="1:19">
      <c r="A459" s="714"/>
      <c r="B459" s="715"/>
      <c r="C459" s="707">
        <f t="shared" si="74"/>
        <v>1</v>
      </c>
      <c r="D459" s="716"/>
      <c r="E459" s="707">
        <f t="shared" si="75"/>
        <v>1</v>
      </c>
      <c r="F459" s="716"/>
      <c r="G459" s="707">
        <f t="shared" si="76"/>
        <v>1</v>
      </c>
      <c r="H459" s="716"/>
      <c r="I459" s="707">
        <f t="shared" si="77"/>
        <v>1</v>
      </c>
      <c r="J459" s="716"/>
      <c r="K459" s="707">
        <f t="shared" si="78"/>
        <v>1</v>
      </c>
      <c r="L459" s="716"/>
      <c r="M459" s="707">
        <f t="shared" si="79"/>
        <v>1</v>
      </c>
      <c r="N459" s="716"/>
      <c r="O459" s="707">
        <f t="shared" si="80"/>
        <v>1</v>
      </c>
      <c r="P459" s="716"/>
      <c r="Q459" s="707">
        <f t="shared" si="81"/>
        <v>1</v>
      </c>
      <c r="R459" s="768">
        <f t="shared" si="82"/>
        <v>0</v>
      </c>
      <c r="S459" s="706">
        <f t="shared" si="83"/>
        <v>0</v>
      </c>
    </row>
    <row r="460" spans="1:19">
      <c r="A460" s="714"/>
      <c r="B460" s="715"/>
      <c r="C460" s="707">
        <f t="shared" si="74"/>
        <v>1</v>
      </c>
      <c r="D460" s="716"/>
      <c r="E460" s="707">
        <f t="shared" si="75"/>
        <v>1</v>
      </c>
      <c r="F460" s="716"/>
      <c r="G460" s="707">
        <f t="shared" si="76"/>
        <v>1</v>
      </c>
      <c r="H460" s="716"/>
      <c r="I460" s="707">
        <f t="shared" si="77"/>
        <v>1</v>
      </c>
      <c r="J460" s="716"/>
      <c r="K460" s="707">
        <f t="shared" si="78"/>
        <v>1</v>
      </c>
      <c r="L460" s="716"/>
      <c r="M460" s="707">
        <f t="shared" si="79"/>
        <v>1</v>
      </c>
      <c r="N460" s="716"/>
      <c r="O460" s="707">
        <f t="shared" si="80"/>
        <v>1</v>
      </c>
      <c r="P460" s="716"/>
      <c r="Q460" s="707">
        <f t="shared" si="81"/>
        <v>1</v>
      </c>
      <c r="R460" s="768">
        <f t="shared" si="82"/>
        <v>0</v>
      </c>
      <c r="S460" s="706">
        <f t="shared" si="83"/>
        <v>0</v>
      </c>
    </row>
    <row r="461" spans="1:19">
      <c r="A461" s="714"/>
      <c r="B461" s="715"/>
      <c r="C461" s="707">
        <f t="shared" si="74"/>
        <v>1</v>
      </c>
      <c r="D461" s="716"/>
      <c r="E461" s="707">
        <f t="shared" si="75"/>
        <v>1</v>
      </c>
      <c r="F461" s="716"/>
      <c r="G461" s="707">
        <f t="shared" si="76"/>
        <v>1</v>
      </c>
      <c r="H461" s="716"/>
      <c r="I461" s="707">
        <f t="shared" si="77"/>
        <v>1</v>
      </c>
      <c r="J461" s="716"/>
      <c r="K461" s="707">
        <f t="shared" si="78"/>
        <v>1</v>
      </c>
      <c r="L461" s="716"/>
      <c r="M461" s="707">
        <f t="shared" si="79"/>
        <v>1</v>
      </c>
      <c r="N461" s="716"/>
      <c r="O461" s="707">
        <f t="shared" si="80"/>
        <v>1</v>
      </c>
      <c r="P461" s="716"/>
      <c r="Q461" s="707">
        <f t="shared" si="81"/>
        <v>1</v>
      </c>
      <c r="R461" s="768">
        <f t="shared" si="82"/>
        <v>0</v>
      </c>
      <c r="S461" s="706">
        <f t="shared" si="83"/>
        <v>0</v>
      </c>
    </row>
    <row r="462" spans="1:19">
      <c r="A462" s="714"/>
      <c r="B462" s="715"/>
      <c r="C462" s="707">
        <f t="shared" si="74"/>
        <v>1</v>
      </c>
      <c r="D462" s="716"/>
      <c r="E462" s="707">
        <f t="shared" si="75"/>
        <v>1</v>
      </c>
      <c r="F462" s="716"/>
      <c r="G462" s="707">
        <f t="shared" si="76"/>
        <v>1</v>
      </c>
      <c r="H462" s="716"/>
      <c r="I462" s="707">
        <f t="shared" si="77"/>
        <v>1</v>
      </c>
      <c r="J462" s="716"/>
      <c r="K462" s="707">
        <f t="shared" si="78"/>
        <v>1</v>
      </c>
      <c r="L462" s="716"/>
      <c r="M462" s="707">
        <f t="shared" si="79"/>
        <v>1</v>
      </c>
      <c r="N462" s="716"/>
      <c r="O462" s="707">
        <f t="shared" si="80"/>
        <v>1</v>
      </c>
      <c r="P462" s="716"/>
      <c r="Q462" s="707">
        <f t="shared" si="81"/>
        <v>1</v>
      </c>
      <c r="R462" s="768">
        <f t="shared" si="82"/>
        <v>0</v>
      </c>
      <c r="S462" s="706">
        <f t="shared" si="83"/>
        <v>0</v>
      </c>
    </row>
    <row r="463" spans="1:19">
      <c r="A463" s="714"/>
      <c r="B463" s="715"/>
      <c r="C463" s="707">
        <f t="shared" si="74"/>
        <v>1</v>
      </c>
      <c r="D463" s="716"/>
      <c r="E463" s="707">
        <f t="shared" si="75"/>
        <v>1</v>
      </c>
      <c r="F463" s="716"/>
      <c r="G463" s="707">
        <f t="shared" si="76"/>
        <v>1</v>
      </c>
      <c r="H463" s="716"/>
      <c r="I463" s="707">
        <f t="shared" si="77"/>
        <v>1</v>
      </c>
      <c r="J463" s="716"/>
      <c r="K463" s="707">
        <f t="shared" si="78"/>
        <v>1</v>
      </c>
      <c r="L463" s="716"/>
      <c r="M463" s="707">
        <f t="shared" si="79"/>
        <v>1</v>
      </c>
      <c r="N463" s="716"/>
      <c r="O463" s="707">
        <f t="shared" si="80"/>
        <v>1</v>
      </c>
      <c r="P463" s="716"/>
      <c r="Q463" s="707">
        <f t="shared" si="81"/>
        <v>1</v>
      </c>
      <c r="R463" s="768">
        <f t="shared" si="82"/>
        <v>0</v>
      </c>
      <c r="S463" s="706">
        <f t="shared" si="83"/>
        <v>0</v>
      </c>
    </row>
    <row r="464" spans="1:19">
      <c r="A464" s="714"/>
      <c r="B464" s="715"/>
      <c r="C464" s="707">
        <f t="shared" si="74"/>
        <v>1</v>
      </c>
      <c r="D464" s="716"/>
      <c r="E464" s="707">
        <f t="shared" si="75"/>
        <v>1</v>
      </c>
      <c r="F464" s="716"/>
      <c r="G464" s="707">
        <f t="shared" si="76"/>
        <v>1</v>
      </c>
      <c r="H464" s="716"/>
      <c r="I464" s="707">
        <f t="shared" si="77"/>
        <v>1</v>
      </c>
      <c r="J464" s="716"/>
      <c r="K464" s="707">
        <f t="shared" si="78"/>
        <v>1</v>
      </c>
      <c r="L464" s="716"/>
      <c r="M464" s="707">
        <f t="shared" si="79"/>
        <v>1</v>
      </c>
      <c r="N464" s="716"/>
      <c r="O464" s="707">
        <f t="shared" si="80"/>
        <v>1</v>
      </c>
      <c r="P464" s="716"/>
      <c r="Q464" s="707">
        <f t="shared" si="81"/>
        <v>1</v>
      </c>
      <c r="R464" s="768">
        <f t="shared" si="82"/>
        <v>0</v>
      </c>
      <c r="S464" s="706">
        <f t="shared" si="83"/>
        <v>0</v>
      </c>
    </row>
    <row r="465" spans="1:19">
      <c r="A465" s="714"/>
      <c r="B465" s="715"/>
      <c r="C465" s="707">
        <f t="shared" si="74"/>
        <v>1</v>
      </c>
      <c r="D465" s="716"/>
      <c r="E465" s="707">
        <f t="shared" si="75"/>
        <v>1</v>
      </c>
      <c r="F465" s="716"/>
      <c r="G465" s="707">
        <f t="shared" si="76"/>
        <v>1</v>
      </c>
      <c r="H465" s="716"/>
      <c r="I465" s="707">
        <f t="shared" si="77"/>
        <v>1</v>
      </c>
      <c r="J465" s="716"/>
      <c r="K465" s="707">
        <f t="shared" si="78"/>
        <v>1</v>
      </c>
      <c r="L465" s="716"/>
      <c r="M465" s="707">
        <f t="shared" si="79"/>
        <v>1</v>
      </c>
      <c r="N465" s="716"/>
      <c r="O465" s="707">
        <f t="shared" si="80"/>
        <v>1</v>
      </c>
      <c r="P465" s="716"/>
      <c r="Q465" s="707">
        <f t="shared" si="81"/>
        <v>1</v>
      </c>
      <c r="R465" s="768">
        <f t="shared" si="82"/>
        <v>0</v>
      </c>
      <c r="S465" s="706">
        <f t="shared" si="83"/>
        <v>0</v>
      </c>
    </row>
    <row r="466" spans="1:19">
      <c r="A466" s="714"/>
      <c r="B466" s="715"/>
      <c r="C466" s="707">
        <f t="shared" si="74"/>
        <v>1</v>
      </c>
      <c r="D466" s="716"/>
      <c r="E466" s="707">
        <f t="shared" si="75"/>
        <v>1</v>
      </c>
      <c r="F466" s="716"/>
      <c r="G466" s="707">
        <f t="shared" si="76"/>
        <v>1</v>
      </c>
      <c r="H466" s="716"/>
      <c r="I466" s="707">
        <f t="shared" si="77"/>
        <v>1</v>
      </c>
      <c r="J466" s="716"/>
      <c r="K466" s="707">
        <f t="shared" si="78"/>
        <v>1</v>
      </c>
      <c r="L466" s="716"/>
      <c r="M466" s="707">
        <f t="shared" si="79"/>
        <v>1</v>
      </c>
      <c r="N466" s="716"/>
      <c r="O466" s="707">
        <f t="shared" si="80"/>
        <v>1</v>
      </c>
      <c r="P466" s="716"/>
      <c r="Q466" s="707">
        <f t="shared" si="81"/>
        <v>1</v>
      </c>
      <c r="R466" s="768">
        <f t="shared" si="82"/>
        <v>0</v>
      </c>
      <c r="S466" s="706">
        <f t="shared" si="83"/>
        <v>0</v>
      </c>
    </row>
    <row r="467" spans="1:19">
      <c r="A467" s="714"/>
      <c r="B467" s="715"/>
      <c r="C467" s="707">
        <f t="shared" si="74"/>
        <v>1</v>
      </c>
      <c r="D467" s="716"/>
      <c r="E467" s="707">
        <f t="shared" si="75"/>
        <v>1</v>
      </c>
      <c r="F467" s="716"/>
      <c r="G467" s="707">
        <f t="shared" si="76"/>
        <v>1</v>
      </c>
      <c r="H467" s="716"/>
      <c r="I467" s="707">
        <f t="shared" si="77"/>
        <v>1</v>
      </c>
      <c r="J467" s="716"/>
      <c r="K467" s="707">
        <f t="shared" si="78"/>
        <v>1</v>
      </c>
      <c r="L467" s="716"/>
      <c r="M467" s="707">
        <f t="shared" si="79"/>
        <v>1</v>
      </c>
      <c r="N467" s="716"/>
      <c r="O467" s="707">
        <f t="shared" si="80"/>
        <v>1</v>
      </c>
      <c r="P467" s="716"/>
      <c r="Q467" s="707">
        <f t="shared" si="81"/>
        <v>1</v>
      </c>
      <c r="R467" s="768">
        <f t="shared" si="82"/>
        <v>0</v>
      </c>
      <c r="S467" s="706">
        <f t="shared" si="83"/>
        <v>0</v>
      </c>
    </row>
    <row r="468" spans="1:19">
      <c r="A468" s="714"/>
      <c r="B468" s="715"/>
      <c r="C468" s="707">
        <f t="shared" si="74"/>
        <v>1</v>
      </c>
      <c r="D468" s="716"/>
      <c r="E468" s="707">
        <f t="shared" si="75"/>
        <v>1</v>
      </c>
      <c r="F468" s="716"/>
      <c r="G468" s="707">
        <f t="shared" si="76"/>
        <v>1</v>
      </c>
      <c r="H468" s="716"/>
      <c r="I468" s="707">
        <f t="shared" si="77"/>
        <v>1</v>
      </c>
      <c r="J468" s="716"/>
      <c r="K468" s="707">
        <f t="shared" si="78"/>
        <v>1</v>
      </c>
      <c r="L468" s="716"/>
      <c r="M468" s="707">
        <f t="shared" si="79"/>
        <v>1</v>
      </c>
      <c r="N468" s="716"/>
      <c r="O468" s="707">
        <f t="shared" si="80"/>
        <v>1</v>
      </c>
      <c r="P468" s="716"/>
      <c r="Q468" s="707">
        <f t="shared" si="81"/>
        <v>1</v>
      </c>
      <c r="R468" s="768">
        <f t="shared" si="82"/>
        <v>0</v>
      </c>
      <c r="S468" s="706">
        <f t="shared" ref="S468:S497" si="84">ROUND(R468*B468/10000,0)</f>
        <v>0</v>
      </c>
    </row>
    <row r="469" spans="1:19">
      <c r="A469" s="714"/>
      <c r="B469" s="715"/>
      <c r="C469" s="707">
        <f t="shared" si="74"/>
        <v>1</v>
      </c>
      <c r="D469" s="716"/>
      <c r="E469" s="707">
        <f t="shared" si="75"/>
        <v>1</v>
      </c>
      <c r="F469" s="716"/>
      <c r="G469" s="707">
        <f t="shared" si="76"/>
        <v>1</v>
      </c>
      <c r="H469" s="716"/>
      <c r="I469" s="707">
        <f t="shared" si="77"/>
        <v>1</v>
      </c>
      <c r="J469" s="716"/>
      <c r="K469" s="707">
        <f t="shared" si="78"/>
        <v>1</v>
      </c>
      <c r="L469" s="716"/>
      <c r="M469" s="707">
        <f t="shared" si="79"/>
        <v>1</v>
      </c>
      <c r="N469" s="716"/>
      <c r="O469" s="707">
        <f t="shared" si="80"/>
        <v>1</v>
      </c>
      <c r="P469" s="716"/>
      <c r="Q469" s="707">
        <f t="shared" si="81"/>
        <v>1</v>
      </c>
      <c r="R469" s="768">
        <f t="shared" si="82"/>
        <v>0</v>
      </c>
      <c r="S469" s="706">
        <f t="shared" si="84"/>
        <v>0</v>
      </c>
    </row>
    <row r="470" spans="1:19">
      <c r="A470" s="714"/>
      <c r="B470" s="715"/>
      <c r="C470" s="707">
        <f t="shared" si="74"/>
        <v>1</v>
      </c>
      <c r="D470" s="716"/>
      <c r="E470" s="707">
        <f t="shared" si="75"/>
        <v>1</v>
      </c>
      <c r="F470" s="716"/>
      <c r="G470" s="707">
        <f t="shared" si="76"/>
        <v>1</v>
      </c>
      <c r="H470" s="716"/>
      <c r="I470" s="707">
        <f t="shared" si="77"/>
        <v>1</v>
      </c>
      <c r="J470" s="716"/>
      <c r="K470" s="707">
        <f t="shared" si="78"/>
        <v>1</v>
      </c>
      <c r="L470" s="716"/>
      <c r="M470" s="707">
        <f t="shared" si="79"/>
        <v>1</v>
      </c>
      <c r="N470" s="716"/>
      <c r="O470" s="707">
        <f t="shared" si="80"/>
        <v>1</v>
      </c>
      <c r="P470" s="716"/>
      <c r="Q470" s="707">
        <f t="shared" si="81"/>
        <v>1</v>
      </c>
      <c r="R470" s="768">
        <f t="shared" si="82"/>
        <v>0</v>
      </c>
      <c r="S470" s="706">
        <f t="shared" si="84"/>
        <v>0</v>
      </c>
    </row>
    <row r="471" spans="1:19">
      <c r="A471" s="714"/>
      <c r="B471" s="715"/>
      <c r="C471" s="707">
        <f t="shared" si="74"/>
        <v>1</v>
      </c>
      <c r="D471" s="716"/>
      <c r="E471" s="707">
        <f t="shared" si="75"/>
        <v>1</v>
      </c>
      <c r="F471" s="716"/>
      <c r="G471" s="707">
        <f t="shared" si="76"/>
        <v>1</v>
      </c>
      <c r="H471" s="716"/>
      <c r="I471" s="707">
        <f t="shared" si="77"/>
        <v>1</v>
      </c>
      <c r="J471" s="716"/>
      <c r="K471" s="707">
        <f t="shared" si="78"/>
        <v>1</v>
      </c>
      <c r="L471" s="716"/>
      <c r="M471" s="707">
        <f t="shared" si="79"/>
        <v>1</v>
      </c>
      <c r="N471" s="716"/>
      <c r="O471" s="707">
        <f t="shared" si="80"/>
        <v>1</v>
      </c>
      <c r="P471" s="716"/>
      <c r="Q471" s="707">
        <f t="shared" si="81"/>
        <v>1</v>
      </c>
      <c r="R471" s="768">
        <f t="shared" si="82"/>
        <v>0</v>
      </c>
      <c r="S471" s="706">
        <f t="shared" si="84"/>
        <v>0</v>
      </c>
    </row>
    <row r="472" spans="1:19">
      <c r="A472" s="714"/>
      <c r="B472" s="715"/>
      <c r="C472" s="707">
        <f t="shared" si="74"/>
        <v>1</v>
      </c>
      <c r="D472" s="716"/>
      <c r="E472" s="707">
        <f t="shared" si="75"/>
        <v>1</v>
      </c>
      <c r="F472" s="716"/>
      <c r="G472" s="707">
        <f t="shared" si="76"/>
        <v>1</v>
      </c>
      <c r="H472" s="716"/>
      <c r="I472" s="707">
        <f t="shared" si="77"/>
        <v>1</v>
      </c>
      <c r="J472" s="716"/>
      <c r="K472" s="707">
        <f t="shared" si="78"/>
        <v>1</v>
      </c>
      <c r="L472" s="716"/>
      <c r="M472" s="707">
        <f t="shared" si="79"/>
        <v>1</v>
      </c>
      <c r="N472" s="716"/>
      <c r="O472" s="707">
        <f t="shared" si="80"/>
        <v>1</v>
      </c>
      <c r="P472" s="716"/>
      <c r="Q472" s="707">
        <f t="shared" si="81"/>
        <v>1</v>
      </c>
      <c r="R472" s="768">
        <f t="shared" si="82"/>
        <v>0</v>
      </c>
      <c r="S472" s="706">
        <f t="shared" si="84"/>
        <v>0</v>
      </c>
    </row>
    <row r="473" spans="1:19">
      <c r="A473" s="714"/>
      <c r="B473" s="715"/>
      <c r="C473" s="707">
        <f t="shared" si="74"/>
        <v>1</v>
      </c>
      <c r="D473" s="716"/>
      <c r="E473" s="707">
        <f t="shared" si="75"/>
        <v>1</v>
      </c>
      <c r="F473" s="716"/>
      <c r="G473" s="707">
        <f t="shared" si="76"/>
        <v>1</v>
      </c>
      <c r="H473" s="716"/>
      <c r="I473" s="707">
        <f t="shared" si="77"/>
        <v>1</v>
      </c>
      <c r="J473" s="716"/>
      <c r="K473" s="707">
        <f t="shared" si="78"/>
        <v>1</v>
      </c>
      <c r="L473" s="716"/>
      <c r="M473" s="707">
        <f t="shared" si="79"/>
        <v>1</v>
      </c>
      <c r="N473" s="716"/>
      <c r="O473" s="707">
        <f t="shared" si="80"/>
        <v>1</v>
      </c>
      <c r="P473" s="716"/>
      <c r="Q473" s="707">
        <f t="shared" si="81"/>
        <v>1</v>
      </c>
      <c r="R473" s="768">
        <f t="shared" si="82"/>
        <v>0</v>
      </c>
      <c r="S473" s="706">
        <f t="shared" si="84"/>
        <v>0</v>
      </c>
    </row>
    <row r="474" spans="1:19">
      <c r="A474" s="714"/>
      <c r="B474" s="715"/>
      <c r="C474" s="707">
        <f t="shared" ref="C474:C524" si="85">IF(B474="",1,(LOOKUP(B474,$3:$3,$4:$4)-LOOKUP($B$24,$3:$3,$4:$4)+100)/100)</f>
        <v>1</v>
      </c>
      <c r="D474" s="716"/>
      <c r="E474" s="707">
        <f t="shared" ref="E474:E524" si="86">(SUMIF($5:$5,D474,$6:$6)-SUMIF($5:$5,$D$24,$6:$6)+100)/100</f>
        <v>1</v>
      </c>
      <c r="F474" s="716"/>
      <c r="G474" s="707">
        <f t="shared" ref="G474:G524" si="87">(SUMIF($7:$7,F474,$8:$8)-SUMIF($7:$7,$F$24,$8:$8)+100)/100</f>
        <v>1</v>
      </c>
      <c r="H474" s="716"/>
      <c r="I474" s="707">
        <f t="shared" ref="I474:I524" si="88">(SUMIF($9:$9,H474,$10:$10)-SUMIF($9:$9,$H$24,$10:$10)+100)/100</f>
        <v>1</v>
      </c>
      <c r="J474" s="716"/>
      <c r="K474" s="707">
        <f t="shared" ref="K474:K524" si="89">(SUMIF($11:$11,J474,$12:$12)-SUMIF($11:$11,$J$24,$12:$12)+100)/100</f>
        <v>1</v>
      </c>
      <c r="L474" s="716"/>
      <c r="M474" s="707">
        <f t="shared" ref="M474:M524" si="90">(SUMIF($13:$13,L474,$14:$14)-SUMIF($13:$13,$L$24,$14:$14)+100)/100</f>
        <v>1</v>
      </c>
      <c r="N474" s="716"/>
      <c r="O474" s="707">
        <f t="shared" ref="O474:O524" si="91">(SUMIF($15:$15,N474,$16:$16)-SUMIF($15:$15,$N$24,$16:$16)+100)/100</f>
        <v>1</v>
      </c>
      <c r="P474" s="716"/>
      <c r="Q474" s="707">
        <f t="shared" ref="Q474:Q524" si="92">(SUMIF($17:$17,P474,$18:$18)-SUMIF($17:$17,$P$24,$18:$18)+100)/100</f>
        <v>1</v>
      </c>
      <c r="R474" s="768">
        <f t="shared" ref="R474:R524" si="93">IF(B474="",0,ROUND($R$24*C474*E474*G474*I474*K474*M474*O474*Q474,0))</f>
        <v>0</v>
      </c>
      <c r="S474" s="706">
        <f t="shared" si="84"/>
        <v>0</v>
      </c>
    </row>
    <row r="475" spans="1:19">
      <c r="A475" s="714"/>
      <c r="B475" s="715"/>
      <c r="C475" s="707">
        <f t="shared" si="85"/>
        <v>1</v>
      </c>
      <c r="D475" s="716"/>
      <c r="E475" s="707">
        <f t="shared" si="86"/>
        <v>1</v>
      </c>
      <c r="F475" s="716"/>
      <c r="G475" s="707">
        <f t="shared" si="87"/>
        <v>1</v>
      </c>
      <c r="H475" s="716"/>
      <c r="I475" s="707">
        <f t="shared" si="88"/>
        <v>1</v>
      </c>
      <c r="J475" s="716"/>
      <c r="K475" s="707">
        <f t="shared" si="89"/>
        <v>1</v>
      </c>
      <c r="L475" s="716"/>
      <c r="M475" s="707">
        <f t="shared" si="90"/>
        <v>1</v>
      </c>
      <c r="N475" s="716"/>
      <c r="O475" s="707">
        <f t="shared" si="91"/>
        <v>1</v>
      </c>
      <c r="P475" s="716"/>
      <c r="Q475" s="707">
        <f t="shared" si="92"/>
        <v>1</v>
      </c>
      <c r="R475" s="768">
        <f t="shared" si="93"/>
        <v>0</v>
      </c>
      <c r="S475" s="706">
        <f t="shared" si="84"/>
        <v>0</v>
      </c>
    </row>
    <row r="476" spans="1:19">
      <c r="A476" s="714"/>
      <c r="B476" s="715"/>
      <c r="C476" s="707">
        <f t="shared" si="85"/>
        <v>1</v>
      </c>
      <c r="D476" s="716"/>
      <c r="E476" s="707">
        <f t="shared" si="86"/>
        <v>1</v>
      </c>
      <c r="F476" s="716"/>
      <c r="G476" s="707">
        <f t="shared" si="87"/>
        <v>1</v>
      </c>
      <c r="H476" s="716"/>
      <c r="I476" s="707">
        <f t="shared" si="88"/>
        <v>1</v>
      </c>
      <c r="J476" s="716"/>
      <c r="K476" s="707">
        <f t="shared" si="89"/>
        <v>1</v>
      </c>
      <c r="L476" s="716"/>
      <c r="M476" s="707">
        <f t="shared" si="90"/>
        <v>1</v>
      </c>
      <c r="N476" s="716"/>
      <c r="O476" s="707">
        <f t="shared" si="91"/>
        <v>1</v>
      </c>
      <c r="P476" s="716"/>
      <c r="Q476" s="707">
        <f t="shared" si="92"/>
        <v>1</v>
      </c>
      <c r="R476" s="768">
        <f t="shared" si="93"/>
        <v>0</v>
      </c>
      <c r="S476" s="706">
        <f t="shared" si="84"/>
        <v>0</v>
      </c>
    </row>
    <row r="477" spans="1:19">
      <c r="A477" s="714"/>
      <c r="B477" s="715"/>
      <c r="C477" s="707">
        <f t="shared" si="85"/>
        <v>1</v>
      </c>
      <c r="D477" s="716"/>
      <c r="E477" s="707">
        <f t="shared" si="86"/>
        <v>1</v>
      </c>
      <c r="F477" s="716"/>
      <c r="G477" s="707">
        <f t="shared" si="87"/>
        <v>1</v>
      </c>
      <c r="H477" s="716"/>
      <c r="I477" s="707">
        <f t="shared" si="88"/>
        <v>1</v>
      </c>
      <c r="J477" s="716"/>
      <c r="K477" s="707">
        <f t="shared" si="89"/>
        <v>1</v>
      </c>
      <c r="L477" s="716"/>
      <c r="M477" s="707">
        <f t="shared" si="90"/>
        <v>1</v>
      </c>
      <c r="N477" s="716"/>
      <c r="O477" s="707">
        <f t="shared" si="91"/>
        <v>1</v>
      </c>
      <c r="P477" s="716"/>
      <c r="Q477" s="707">
        <f t="shared" si="92"/>
        <v>1</v>
      </c>
      <c r="R477" s="768">
        <f t="shared" si="93"/>
        <v>0</v>
      </c>
      <c r="S477" s="706">
        <f t="shared" si="84"/>
        <v>0</v>
      </c>
    </row>
    <row r="478" spans="1:19">
      <c r="A478" s="714"/>
      <c r="B478" s="715"/>
      <c r="C478" s="707">
        <f t="shared" si="85"/>
        <v>1</v>
      </c>
      <c r="D478" s="716"/>
      <c r="E478" s="707">
        <f t="shared" si="86"/>
        <v>1</v>
      </c>
      <c r="F478" s="716"/>
      <c r="G478" s="707">
        <f t="shared" si="87"/>
        <v>1</v>
      </c>
      <c r="H478" s="716"/>
      <c r="I478" s="707">
        <f t="shared" si="88"/>
        <v>1</v>
      </c>
      <c r="J478" s="716"/>
      <c r="K478" s="707">
        <f t="shared" si="89"/>
        <v>1</v>
      </c>
      <c r="L478" s="716"/>
      <c r="M478" s="707">
        <f t="shared" si="90"/>
        <v>1</v>
      </c>
      <c r="N478" s="716"/>
      <c r="O478" s="707">
        <f t="shared" si="91"/>
        <v>1</v>
      </c>
      <c r="P478" s="716"/>
      <c r="Q478" s="707">
        <f t="shared" si="92"/>
        <v>1</v>
      </c>
      <c r="R478" s="768">
        <f t="shared" si="93"/>
        <v>0</v>
      </c>
      <c r="S478" s="706">
        <f t="shared" si="84"/>
        <v>0</v>
      </c>
    </row>
    <row r="479" spans="1:19">
      <c r="A479" s="714"/>
      <c r="B479" s="715"/>
      <c r="C479" s="707">
        <f t="shared" si="85"/>
        <v>1</v>
      </c>
      <c r="D479" s="716"/>
      <c r="E479" s="707">
        <f t="shared" si="86"/>
        <v>1</v>
      </c>
      <c r="F479" s="716"/>
      <c r="G479" s="707">
        <f t="shared" si="87"/>
        <v>1</v>
      </c>
      <c r="H479" s="716"/>
      <c r="I479" s="707">
        <f t="shared" si="88"/>
        <v>1</v>
      </c>
      <c r="J479" s="716"/>
      <c r="K479" s="707">
        <f t="shared" si="89"/>
        <v>1</v>
      </c>
      <c r="L479" s="716"/>
      <c r="M479" s="707">
        <f t="shared" si="90"/>
        <v>1</v>
      </c>
      <c r="N479" s="716"/>
      <c r="O479" s="707">
        <f t="shared" si="91"/>
        <v>1</v>
      </c>
      <c r="P479" s="716"/>
      <c r="Q479" s="707">
        <f t="shared" si="92"/>
        <v>1</v>
      </c>
      <c r="R479" s="768">
        <f t="shared" si="93"/>
        <v>0</v>
      </c>
      <c r="S479" s="706">
        <f t="shared" si="84"/>
        <v>0</v>
      </c>
    </row>
    <row r="480" spans="1:19">
      <c r="A480" s="714"/>
      <c r="B480" s="715"/>
      <c r="C480" s="707">
        <f t="shared" si="85"/>
        <v>1</v>
      </c>
      <c r="D480" s="716"/>
      <c r="E480" s="707">
        <f t="shared" si="86"/>
        <v>1</v>
      </c>
      <c r="F480" s="716"/>
      <c r="G480" s="707">
        <f t="shared" si="87"/>
        <v>1</v>
      </c>
      <c r="H480" s="716"/>
      <c r="I480" s="707">
        <f t="shared" si="88"/>
        <v>1</v>
      </c>
      <c r="J480" s="716"/>
      <c r="K480" s="707">
        <f t="shared" si="89"/>
        <v>1</v>
      </c>
      <c r="L480" s="716"/>
      <c r="M480" s="707">
        <f t="shared" si="90"/>
        <v>1</v>
      </c>
      <c r="N480" s="716"/>
      <c r="O480" s="707">
        <f t="shared" si="91"/>
        <v>1</v>
      </c>
      <c r="P480" s="716"/>
      <c r="Q480" s="707">
        <f t="shared" si="92"/>
        <v>1</v>
      </c>
      <c r="R480" s="768">
        <f t="shared" si="93"/>
        <v>0</v>
      </c>
      <c r="S480" s="706">
        <f t="shared" si="84"/>
        <v>0</v>
      </c>
    </row>
    <row r="481" spans="1:19">
      <c r="A481" s="714"/>
      <c r="B481" s="715"/>
      <c r="C481" s="707">
        <f t="shared" si="85"/>
        <v>1</v>
      </c>
      <c r="D481" s="716"/>
      <c r="E481" s="707">
        <f t="shared" si="86"/>
        <v>1</v>
      </c>
      <c r="F481" s="716"/>
      <c r="G481" s="707">
        <f t="shared" si="87"/>
        <v>1</v>
      </c>
      <c r="H481" s="716"/>
      <c r="I481" s="707">
        <f t="shared" si="88"/>
        <v>1</v>
      </c>
      <c r="J481" s="716"/>
      <c r="K481" s="707">
        <f t="shared" si="89"/>
        <v>1</v>
      </c>
      <c r="L481" s="716"/>
      <c r="M481" s="707">
        <f t="shared" si="90"/>
        <v>1</v>
      </c>
      <c r="N481" s="716"/>
      <c r="O481" s="707">
        <f t="shared" si="91"/>
        <v>1</v>
      </c>
      <c r="P481" s="716"/>
      <c r="Q481" s="707">
        <f t="shared" si="92"/>
        <v>1</v>
      </c>
      <c r="R481" s="768">
        <f t="shared" si="93"/>
        <v>0</v>
      </c>
      <c r="S481" s="706">
        <f t="shared" si="84"/>
        <v>0</v>
      </c>
    </row>
    <row r="482" spans="1:19">
      <c r="A482" s="714"/>
      <c r="B482" s="715"/>
      <c r="C482" s="707">
        <f t="shared" si="85"/>
        <v>1</v>
      </c>
      <c r="D482" s="716"/>
      <c r="E482" s="707">
        <f t="shared" si="86"/>
        <v>1</v>
      </c>
      <c r="F482" s="716"/>
      <c r="G482" s="707">
        <f t="shared" si="87"/>
        <v>1</v>
      </c>
      <c r="H482" s="716"/>
      <c r="I482" s="707">
        <f t="shared" si="88"/>
        <v>1</v>
      </c>
      <c r="J482" s="716"/>
      <c r="K482" s="707">
        <f t="shared" si="89"/>
        <v>1</v>
      </c>
      <c r="L482" s="716"/>
      <c r="M482" s="707">
        <f t="shared" si="90"/>
        <v>1</v>
      </c>
      <c r="N482" s="716"/>
      <c r="O482" s="707">
        <f t="shared" si="91"/>
        <v>1</v>
      </c>
      <c r="P482" s="716"/>
      <c r="Q482" s="707">
        <f t="shared" si="92"/>
        <v>1</v>
      </c>
      <c r="R482" s="768">
        <f t="shared" si="93"/>
        <v>0</v>
      </c>
      <c r="S482" s="706">
        <f t="shared" si="84"/>
        <v>0</v>
      </c>
    </row>
    <row r="483" spans="1:19">
      <c r="A483" s="714"/>
      <c r="B483" s="715"/>
      <c r="C483" s="707">
        <f t="shared" si="85"/>
        <v>1</v>
      </c>
      <c r="D483" s="716"/>
      <c r="E483" s="707">
        <f t="shared" si="86"/>
        <v>1</v>
      </c>
      <c r="F483" s="716"/>
      <c r="G483" s="707">
        <f t="shared" si="87"/>
        <v>1</v>
      </c>
      <c r="H483" s="716"/>
      <c r="I483" s="707">
        <f t="shared" si="88"/>
        <v>1</v>
      </c>
      <c r="J483" s="716"/>
      <c r="K483" s="707">
        <f t="shared" si="89"/>
        <v>1</v>
      </c>
      <c r="L483" s="716"/>
      <c r="M483" s="707">
        <f t="shared" si="90"/>
        <v>1</v>
      </c>
      <c r="N483" s="716"/>
      <c r="O483" s="707">
        <f t="shared" si="91"/>
        <v>1</v>
      </c>
      <c r="P483" s="716"/>
      <c r="Q483" s="707">
        <f t="shared" si="92"/>
        <v>1</v>
      </c>
      <c r="R483" s="768">
        <f t="shared" si="93"/>
        <v>0</v>
      </c>
      <c r="S483" s="706">
        <f t="shared" si="84"/>
        <v>0</v>
      </c>
    </row>
    <row r="484" spans="1:19">
      <c r="A484" s="714"/>
      <c r="B484" s="715"/>
      <c r="C484" s="707">
        <f t="shared" si="85"/>
        <v>1</v>
      </c>
      <c r="D484" s="716"/>
      <c r="E484" s="707">
        <f t="shared" si="86"/>
        <v>1</v>
      </c>
      <c r="F484" s="716"/>
      <c r="G484" s="707">
        <f t="shared" si="87"/>
        <v>1</v>
      </c>
      <c r="H484" s="716"/>
      <c r="I484" s="707">
        <f t="shared" si="88"/>
        <v>1</v>
      </c>
      <c r="J484" s="716"/>
      <c r="K484" s="707">
        <f t="shared" si="89"/>
        <v>1</v>
      </c>
      <c r="L484" s="716"/>
      <c r="M484" s="707">
        <f t="shared" si="90"/>
        <v>1</v>
      </c>
      <c r="N484" s="716"/>
      <c r="O484" s="707">
        <f t="shared" si="91"/>
        <v>1</v>
      </c>
      <c r="P484" s="716"/>
      <c r="Q484" s="707">
        <f t="shared" si="92"/>
        <v>1</v>
      </c>
      <c r="R484" s="768">
        <f t="shared" si="93"/>
        <v>0</v>
      </c>
      <c r="S484" s="706">
        <f t="shared" si="84"/>
        <v>0</v>
      </c>
    </row>
    <row r="485" spans="1:19">
      <c r="A485" s="714"/>
      <c r="B485" s="715"/>
      <c r="C485" s="707">
        <f t="shared" si="85"/>
        <v>1</v>
      </c>
      <c r="D485" s="716"/>
      <c r="E485" s="707">
        <f t="shared" si="86"/>
        <v>1</v>
      </c>
      <c r="F485" s="716"/>
      <c r="G485" s="707">
        <f t="shared" si="87"/>
        <v>1</v>
      </c>
      <c r="H485" s="716"/>
      <c r="I485" s="707">
        <f t="shared" si="88"/>
        <v>1</v>
      </c>
      <c r="J485" s="716"/>
      <c r="K485" s="707">
        <f t="shared" si="89"/>
        <v>1</v>
      </c>
      <c r="L485" s="716"/>
      <c r="M485" s="707">
        <f t="shared" si="90"/>
        <v>1</v>
      </c>
      <c r="N485" s="716"/>
      <c r="O485" s="707">
        <f t="shared" si="91"/>
        <v>1</v>
      </c>
      <c r="P485" s="716"/>
      <c r="Q485" s="707">
        <f t="shared" si="92"/>
        <v>1</v>
      </c>
      <c r="R485" s="768">
        <f t="shared" si="93"/>
        <v>0</v>
      </c>
      <c r="S485" s="706">
        <f t="shared" si="84"/>
        <v>0</v>
      </c>
    </row>
    <row r="486" spans="1:19">
      <c r="A486" s="714"/>
      <c r="B486" s="715"/>
      <c r="C486" s="707">
        <f t="shared" si="85"/>
        <v>1</v>
      </c>
      <c r="D486" s="716"/>
      <c r="E486" s="707">
        <f t="shared" si="86"/>
        <v>1</v>
      </c>
      <c r="F486" s="716"/>
      <c r="G486" s="707">
        <f t="shared" si="87"/>
        <v>1</v>
      </c>
      <c r="H486" s="716"/>
      <c r="I486" s="707">
        <f t="shared" si="88"/>
        <v>1</v>
      </c>
      <c r="J486" s="716"/>
      <c r="K486" s="707">
        <f t="shared" si="89"/>
        <v>1</v>
      </c>
      <c r="L486" s="716"/>
      <c r="M486" s="707">
        <f t="shared" si="90"/>
        <v>1</v>
      </c>
      <c r="N486" s="716"/>
      <c r="O486" s="707">
        <f t="shared" si="91"/>
        <v>1</v>
      </c>
      <c r="P486" s="716"/>
      <c r="Q486" s="707">
        <f t="shared" si="92"/>
        <v>1</v>
      </c>
      <c r="R486" s="768">
        <f t="shared" si="93"/>
        <v>0</v>
      </c>
      <c r="S486" s="706">
        <f t="shared" si="84"/>
        <v>0</v>
      </c>
    </row>
    <row r="487" spans="1:19">
      <c r="A487" s="714"/>
      <c r="B487" s="715"/>
      <c r="C487" s="707">
        <f t="shared" si="85"/>
        <v>1</v>
      </c>
      <c r="D487" s="716"/>
      <c r="E487" s="707">
        <f t="shared" si="86"/>
        <v>1</v>
      </c>
      <c r="F487" s="716"/>
      <c r="G487" s="707">
        <f t="shared" si="87"/>
        <v>1</v>
      </c>
      <c r="H487" s="716"/>
      <c r="I487" s="707">
        <f t="shared" si="88"/>
        <v>1</v>
      </c>
      <c r="J487" s="716"/>
      <c r="K487" s="707">
        <f t="shared" si="89"/>
        <v>1</v>
      </c>
      <c r="L487" s="716"/>
      <c r="M487" s="707">
        <f t="shared" si="90"/>
        <v>1</v>
      </c>
      <c r="N487" s="716"/>
      <c r="O487" s="707">
        <f t="shared" si="91"/>
        <v>1</v>
      </c>
      <c r="P487" s="716"/>
      <c r="Q487" s="707">
        <f t="shared" si="92"/>
        <v>1</v>
      </c>
      <c r="R487" s="768">
        <f t="shared" si="93"/>
        <v>0</v>
      </c>
      <c r="S487" s="706">
        <f t="shared" si="84"/>
        <v>0</v>
      </c>
    </row>
    <row r="488" spans="1:19">
      <c r="A488" s="714"/>
      <c r="B488" s="715"/>
      <c r="C488" s="707">
        <f t="shared" si="85"/>
        <v>1</v>
      </c>
      <c r="D488" s="716"/>
      <c r="E488" s="707">
        <f t="shared" si="86"/>
        <v>1</v>
      </c>
      <c r="F488" s="716"/>
      <c r="G488" s="707">
        <f t="shared" si="87"/>
        <v>1</v>
      </c>
      <c r="H488" s="716"/>
      <c r="I488" s="707">
        <f t="shared" si="88"/>
        <v>1</v>
      </c>
      <c r="J488" s="716"/>
      <c r="K488" s="707">
        <f t="shared" si="89"/>
        <v>1</v>
      </c>
      <c r="L488" s="716"/>
      <c r="M488" s="707">
        <f t="shared" si="90"/>
        <v>1</v>
      </c>
      <c r="N488" s="716"/>
      <c r="O488" s="707">
        <f t="shared" si="91"/>
        <v>1</v>
      </c>
      <c r="P488" s="716"/>
      <c r="Q488" s="707">
        <f t="shared" si="92"/>
        <v>1</v>
      </c>
      <c r="R488" s="768">
        <f t="shared" si="93"/>
        <v>0</v>
      </c>
      <c r="S488" s="706">
        <f t="shared" si="84"/>
        <v>0</v>
      </c>
    </row>
    <row r="489" spans="1:19">
      <c r="A489" s="714"/>
      <c r="B489" s="715"/>
      <c r="C489" s="707">
        <f t="shared" si="85"/>
        <v>1</v>
      </c>
      <c r="D489" s="716"/>
      <c r="E489" s="707">
        <f t="shared" si="86"/>
        <v>1</v>
      </c>
      <c r="F489" s="716"/>
      <c r="G489" s="707">
        <f t="shared" si="87"/>
        <v>1</v>
      </c>
      <c r="H489" s="716"/>
      <c r="I489" s="707">
        <f t="shared" si="88"/>
        <v>1</v>
      </c>
      <c r="J489" s="716"/>
      <c r="K489" s="707">
        <f t="shared" si="89"/>
        <v>1</v>
      </c>
      <c r="L489" s="716"/>
      <c r="M489" s="707">
        <f t="shared" si="90"/>
        <v>1</v>
      </c>
      <c r="N489" s="716"/>
      <c r="O489" s="707">
        <f t="shared" si="91"/>
        <v>1</v>
      </c>
      <c r="P489" s="716"/>
      <c r="Q489" s="707">
        <f t="shared" si="92"/>
        <v>1</v>
      </c>
      <c r="R489" s="768">
        <f t="shared" si="93"/>
        <v>0</v>
      </c>
      <c r="S489" s="706">
        <f t="shared" si="84"/>
        <v>0</v>
      </c>
    </row>
    <row r="490" spans="1:19">
      <c r="A490" s="714"/>
      <c r="B490" s="715"/>
      <c r="C490" s="707">
        <f t="shared" si="85"/>
        <v>1</v>
      </c>
      <c r="D490" s="716"/>
      <c r="E490" s="707">
        <f t="shared" si="86"/>
        <v>1</v>
      </c>
      <c r="F490" s="716"/>
      <c r="G490" s="707">
        <f t="shared" si="87"/>
        <v>1</v>
      </c>
      <c r="H490" s="716"/>
      <c r="I490" s="707">
        <f t="shared" si="88"/>
        <v>1</v>
      </c>
      <c r="J490" s="716"/>
      <c r="K490" s="707">
        <f t="shared" si="89"/>
        <v>1</v>
      </c>
      <c r="L490" s="716"/>
      <c r="M490" s="707">
        <f t="shared" si="90"/>
        <v>1</v>
      </c>
      <c r="N490" s="716"/>
      <c r="O490" s="707">
        <f t="shared" si="91"/>
        <v>1</v>
      </c>
      <c r="P490" s="716"/>
      <c r="Q490" s="707">
        <f t="shared" si="92"/>
        <v>1</v>
      </c>
      <c r="R490" s="768">
        <f t="shared" si="93"/>
        <v>0</v>
      </c>
      <c r="S490" s="706">
        <f t="shared" si="84"/>
        <v>0</v>
      </c>
    </row>
    <row r="491" spans="1:19">
      <c r="A491" s="714"/>
      <c r="B491" s="715"/>
      <c r="C491" s="707">
        <f t="shared" si="85"/>
        <v>1</v>
      </c>
      <c r="D491" s="716"/>
      <c r="E491" s="707">
        <f t="shared" si="86"/>
        <v>1</v>
      </c>
      <c r="F491" s="716"/>
      <c r="G491" s="707">
        <f t="shared" si="87"/>
        <v>1</v>
      </c>
      <c r="H491" s="716"/>
      <c r="I491" s="707">
        <f t="shared" si="88"/>
        <v>1</v>
      </c>
      <c r="J491" s="716"/>
      <c r="K491" s="707">
        <f t="shared" si="89"/>
        <v>1</v>
      </c>
      <c r="L491" s="716"/>
      <c r="M491" s="707">
        <f t="shared" si="90"/>
        <v>1</v>
      </c>
      <c r="N491" s="716"/>
      <c r="O491" s="707">
        <f t="shared" si="91"/>
        <v>1</v>
      </c>
      <c r="P491" s="716"/>
      <c r="Q491" s="707">
        <f t="shared" si="92"/>
        <v>1</v>
      </c>
      <c r="R491" s="768">
        <f t="shared" si="93"/>
        <v>0</v>
      </c>
      <c r="S491" s="706">
        <f t="shared" si="84"/>
        <v>0</v>
      </c>
    </row>
    <row r="492" spans="1:19">
      <c r="A492" s="714"/>
      <c r="B492" s="715"/>
      <c r="C492" s="707">
        <f t="shared" si="85"/>
        <v>1</v>
      </c>
      <c r="D492" s="716"/>
      <c r="E492" s="707">
        <f t="shared" si="86"/>
        <v>1</v>
      </c>
      <c r="F492" s="716"/>
      <c r="G492" s="707">
        <f t="shared" si="87"/>
        <v>1</v>
      </c>
      <c r="H492" s="716"/>
      <c r="I492" s="707">
        <f t="shared" si="88"/>
        <v>1</v>
      </c>
      <c r="J492" s="716"/>
      <c r="K492" s="707">
        <f t="shared" si="89"/>
        <v>1</v>
      </c>
      <c r="L492" s="716"/>
      <c r="M492" s="707">
        <f t="shared" si="90"/>
        <v>1</v>
      </c>
      <c r="N492" s="716"/>
      <c r="O492" s="707">
        <f t="shared" si="91"/>
        <v>1</v>
      </c>
      <c r="P492" s="716"/>
      <c r="Q492" s="707">
        <f t="shared" si="92"/>
        <v>1</v>
      </c>
      <c r="R492" s="768">
        <f t="shared" si="93"/>
        <v>0</v>
      </c>
      <c r="S492" s="706">
        <f t="shared" si="84"/>
        <v>0</v>
      </c>
    </row>
    <row r="493" spans="1:19">
      <c r="A493" s="714"/>
      <c r="B493" s="715"/>
      <c r="C493" s="707">
        <f t="shared" si="85"/>
        <v>1</v>
      </c>
      <c r="D493" s="716"/>
      <c r="E493" s="707">
        <f t="shared" si="86"/>
        <v>1</v>
      </c>
      <c r="F493" s="716"/>
      <c r="G493" s="707">
        <f t="shared" si="87"/>
        <v>1</v>
      </c>
      <c r="H493" s="716"/>
      <c r="I493" s="707">
        <f t="shared" si="88"/>
        <v>1</v>
      </c>
      <c r="J493" s="716"/>
      <c r="K493" s="707">
        <f t="shared" si="89"/>
        <v>1</v>
      </c>
      <c r="L493" s="716"/>
      <c r="M493" s="707">
        <f t="shared" si="90"/>
        <v>1</v>
      </c>
      <c r="N493" s="716"/>
      <c r="O493" s="707">
        <f t="shared" si="91"/>
        <v>1</v>
      </c>
      <c r="P493" s="716"/>
      <c r="Q493" s="707">
        <f t="shared" si="92"/>
        <v>1</v>
      </c>
      <c r="R493" s="768">
        <f t="shared" si="93"/>
        <v>0</v>
      </c>
      <c r="S493" s="706">
        <f t="shared" si="84"/>
        <v>0</v>
      </c>
    </row>
    <row r="494" spans="1:19">
      <c r="A494" s="714"/>
      <c r="B494" s="715"/>
      <c r="C494" s="707">
        <f t="shared" si="85"/>
        <v>1</v>
      </c>
      <c r="D494" s="716"/>
      <c r="E494" s="707">
        <f t="shared" si="86"/>
        <v>1</v>
      </c>
      <c r="F494" s="716"/>
      <c r="G494" s="707">
        <f t="shared" si="87"/>
        <v>1</v>
      </c>
      <c r="H494" s="716"/>
      <c r="I494" s="707">
        <f t="shared" si="88"/>
        <v>1</v>
      </c>
      <c r="J494" s="716"/>
      <c r="K494" s="707">
        <f t="shared" si="89"/>
        <v>1</v>
      </c>
      <c r="L494" s="716"/>
      <c r="M494" s="707">
        <f t="shared" si="90"/>
        <v>1</v>
      </c>
      <c r="N494" s="716"/>
      <c r="O494" s="707">
        <f t="shared" si="91"/>
        <v>1</v>
      </c>
      <c r="P494" s="716"/>
      <c r="Q494" s="707">
        <f t="shared" si="92"/>
        <v>1</v>
      </c>
      <c r="R494" s="768">
        <f t="shared" si="93"/>
        <v>0</v>
      </c>
      <c r="S494" s="706">
        <f t="shared" si="84"/>
        <v>0</v>
      </c>
    </row>
    <row r="495" spans="1:19">
      <c r="A495" s="714"/>
      <c r="B495" s="715"/>
      <c r="C495" s="707">
        <f t="shared" si="85"/>
        <v>1</v>
      </c>
      <c r="D495" s="716"/>
      <c r="E495" s="707">
        <f t="shared" si="86"/>
        <v>1</v>
      </c>
      <c r="F495" s="716"/>
      <c r="G495" s="707">
        <f t="shared" si="87"/>
        <v>1</v>
      </c>
      <c r="H495" s="716"/>
      <c r="I495" s="707">
        <f t="shared" si="88"/>
        <v>1</v>
      </c>
      <c r="J495" s="716"/>
      <c r="K495" s="707">
        <f t="shared" si="89"/>
        <v>1</v>
      </c>
      <c r="L495" s="716"/>
      <c r="M495" s="707">
        <f t="shared" si="90"/>
        <v>1</v>
      </c>
      <c r="N495" s="716"/>
      <c r="O495" s="707">
        <f t="shared" si="91"/>
        <v>1</v>
      </c>
      <c r="P495" s="716"/>
      <c r="Q495" s="707">
        <f t="shared" si="92"/>
        <v>1</v>
      </c>
      <c r="R495" s="768">
        <f t="shared" si="93"/>
        <v>0</v>
      </c>
      <c r="S495" s="706">
        <f t="shared" si="84"/>
        <v>0</v>
      </c>
    </row>
    <row r="496" spans="1:19">
      <c r="A496" s="714"/>
      <c r="B496" s="715"/>
      <c r="C496" s="707">
        <f t="shared" si="85"/>
        <v>1</v>
      </c>
      <c r="D496" s="716"/>
      <c r="E496" s="707">
        <f t="shared" si="86"/>
        <v>1</v>
      </c>
      <c r="F496" s="716"/>
      <c r="G496" s="707">
        <f t="shared" si="87"/>
        <v>1</v>
      </c>
      <c r="H496" s="716"/>
      <c r="I496" s="707">
        <f t="shared" si="88"/>
        <v>1</v>
      </c>
      <c r="J496" s="716"/>
      <c r="K496" s="707">
        <f t="shared" si="89"/>
        <v>1</v>
      </c>
      <c r="L496" s="716"/>
      <c r="M496" s="707">
        <f t="shared" si="90"/>
        <v>1</v>
      </c>
      <c r="N496" s="716"/>
      <c r="O496" s="707">
        <f t="shared" si="91"/>
        <v>1</v>
      </c>
      <c r="P496" s="716"/>
      <c r="Q496" s="707">
        <f t="shared" si="92"/>
        <v>1</v>
      </c>
      <c r="R496" s="768">
        <f t="shared" si="93"/>
        <v>0</v>
      </c>
      <c r="S496" s="706">
        <f t="shared" si="84"/>
        <v>0</v>
      </c>
    </row>
    <row r="497" spans="1:19">
      <c r="A497" s="714"/>
      <c r="B497" s="715"/>
      <c r="C497" s="707">
        <f t="shared" si="85"/>
        <v>1</v>
      </c>
      <c r="D497" s="716"/>
      <c r="E497" s="707">
        <f t="shared" si="86"/>
        <v>1</v>
      </c>
      <c r="F497" s="716"/>
      <c r="G497" s="707">
        <f t="shared" si="87"/>
        <v>1</v>
      </c>
      <c r="H497" s="716"/>
      <c r="I497" s="707">
        <f t="shared" si="88"/>
        <v>1</v>
      </c>
      <c r="J497" s="716"/>
      <c r="K497" s="707">
        <f t="shared" si="89"/>
        <v>1</v>
      </c>
      <c r="L497" s="716"/>
      <c r="M497" s="707">
        <f t="shared" si="90"/>
        <v>1</v>
      </c>
      <c r="N497" s="716"/>
      <c r="O497" s="707">
        <f t="shared" si="91"/>
        <v>1</v>
      </c>
      <c r="P497" s="716"/>
      <c r="Q497" s="707">
        <f t="shared" si="92"/>
        <v>1</v>
      </c>
      <c r="R497" s="768">
        <f t="shared" si="93"/>
        <v>0</v>
      </c>
      <c r="S497" s="706">
        <f t="shared" si="84"/>
        <v>0</v>
      </c>
    </row>
    <row r="498" spans="1:19">
      <c r="A498" s="714"/>
      <c r="B498" s="715"/>
      <c r="C498" s="707">
        <f t="shared" si="85"/>
        <v>1</v>
      </c>
      <c r="D498" s="716"/>
      <c r="E498" s="707">
        <f t="shared" si="86"/>
        <v>1</v>
      </c>
      <c r="F498" s="716"/>
      <c r="G498" s="707">
        <f t="shared" si="87"/>
        <v>1</v>
      </c>
      <c r="H498" s="716"/>
      <c r="I498" s="707">
        <f t="shared" si="88"/>
        <v>1</v>
      </c>
      <c r="J498" s="716"/>
      <c r="K498" s="707">
        <f t="shared" si="89"/>
        <v>1</v>
      </c>
      <c r="L498" s="716"/>
      <c r="M498" s="707">
        <f t="shared" si="90"/>
        <v>1</v>
      </c>
      <c r="N498" s="716"/>
      <c r="O498" s="707">
        <f t="shared" si="91"/>
        <v>1</v>
      </c>
      <c r="P498" s="716"/>
      <c r="Q498" s="707">
        <f t="shared" si="92"/>
        <v>1</v>
      </c>
      <c r="R498" s="768">
        <f t="shared" si="93"/>
        <v>0</v>
      </c>
      <c r="S498" s="706">
        <f t="shared" ref="S498:S524" si="94">ROUND(R498*B498/10000,0)</f>
        <v>0</v>
      </c>
    </row>
    <row r="499" spans="1:19">
      <c r="A499" s="714"/>
      <c r="B499" s="715"/>
      <c r="C499" s="707">
        <f t="shared" si="85"/>
        <v>1</v>
      </c>
      <c r="D499" s="716"/>
      <c r="E499" s="707">
        <f t="shared" si="86"/>
        <v>1</v>
      </c>
      <c r="F499" s="716"/>
      <c r="G499" s="707">
        <f t="shared" si="87"/>
        <v>1</v>
      </c>
      <c r="H499" s="716"/>
      <c r="I499" s="707">
        <f t="shared" si="88"/>
        <v>1</v>
      </c>
      <c r="J499" s="716"/>
      <c r="K499" s="707">
        <f t="shared" si="89"/>
        <v>1</v>
      </c>
      <c r="L499" s="716"/>
      <c r="M499" s="707">
        <f t="shared" si="90"/>
        <v>1</v>
      </c>
      <c r="N499" s="716"/>
      <c r="O499" s="707">
        <f t="shared" si="91"/>
        <v>1</v>
      </c>
      <c r="P499" s="716"/>
      <c r="Q499" s="707">
        <f t="shared" si="92"/>
        <v>1</v>
      </c>
      <c r="R499" s="768">
        <f t="shared" si="93"/>
        <v>0</v>
      </c>
      <c r="S499" s="706">
        <f t="shared" si="94"/>
        <v>0</v>
      </c>
    </row>
    <row r="500" spans="1:19">
      <c r="A500" s="714"/>
      <c r="B500" s="715"/>
      <c r="C500" s="707">
        <f t="shared" si="85"/>
        <v>1</v>
      </c>
      <c r="D500" s="716"/>
      <c r="E500" s="707">
        <f t="shared" si="86"/>
        <v>1</v>
      </c>
      <c r="F500" s="716"/>
      <c r="G500" s="707">
        <f t="shared" si="87"/>
        <v>1</v>
      </c>
      <c r="H500" s="716"/>
      <c r="I500" s="707">
        <f t="shared" si="88"/>
        <v>1</v>
      </c>
      <c r="J500" s="716"/>
      <c r="K500" s="707">
        <f t="shared" si="89"/>
        <v>1</v>
      </c>
      <c r="L500" s="716"/>
      <c r="M500" s="707">
        <f t="shared" si="90"/>
        <v>1</v>
      </c>
      <c r="N500" s="716"/>
      <c r="O500" s="707">
        <f t="shared" si="91"/>
        <v>1</v>
      </c>
      <c r="P500" s="716"/>
      <c r="Q500" s="707">
        <f t="shared" si="92"/>
        <v>1</v>
      </c>
      <c r="R500" s="768">
        <f t="shared" si="93"/>
        <v>0</v>
      </c>
      <c r="S500" s="706">
        <f t="shared" si="94"/>
        <v>0</v>
      </c>
    </row>
    <row r="501" spans="1:19">
      <c r="A501" s="714"/>
      <c r="B501" s="715"/>
      <c r="C501" s="707">
        <f t="shared" si="85"/>
        <v>1</v>
      </c>
      <c r="D501" s="716"/>
      <c r="E501" s="707">
        <f t="shared" si="86"/>
        <v>1</v>
      </c>
      <c r="F501" s="716"/>
      <c r="G501" s="707">
        <f t="shared" si="87"/>
        <v>1</v>
      </c>
      <c r="H501" s="716"/>
      <c r="I501" s="707">
        <f t="shared" si="88"/>
        <v>1</v>
      </c>
      <c r="J501" s="716"/>
      <c r="K501" s="707">
        <f t="shared" si="89"/>
        <v>1</v>
      </c>
      <c r="L501" s="716"/>
      <c r="M501" s="707">
        <f t="shared" si="90"/>
        <v>1</v>
      </c>
      <c r="N501" s="716"/>
      <c r="O501" s="707">
        <f t="shared" si="91"/>
        <v>1</v>
      </c>
      <c r="P501" s="716"/>
      <c r="Q501" s="707">
        <f t="shared" si="92"/>
        <v>1</v>
      </c>
      <c r="R501" s="768">
        <f t="shared" si="93"/>
        <v>0</v>
      </c>
      <c r="S501" s="706">
        <f t="shared" si="94"/>
        <v>0</v>
      </c>
    </row>
    <row r="502" spans="1:19">
      <c r="A502" s="714"/>
      <c r="B502" s="715"/>
      <c r="C502" s="707">
        <f t="shared" si="85"/>
        <v>1</v>
      </c>
      <c r="D502" s="716"/>
      <c r="E502" s="707">
        <f t="shared" si="86"/>
        <v>1</v>
      </c>
      <c r="F502" s="716"/>
      <c r="G502" s="707">
        <f t="shared" si="87"/>
        <v>1</v>
      </c>
      <c r="H502" s="716"/>
      <c r="I502" s="707">
        <f t="shared" si="88"/>
        <v>1</v>
      </c>
      <c r="J502" s="716"/>
      <c r="K502" s="707">
        <f t="shared" si="89"/>
        <v>1</v>
      </c>
      <c r="L502" s="716"/>
      <c r="M502" s="707">
        <f t="shared" si="90"/>
        <v>1</v>
      </c>
      <c r="N502" s="716"/>
      <c r="O502" s="707">
        <f t="shared" si="91"/>
        <v>1</v>
      </c>
      <c r="P502" s="716"/>
      <c r="Q502" s="707">
        <f t="shared" si="92"/>
        <v>1</v>
      </c>
      <c r="R502" s="768">
        <f t="shared" si="93"/>
        <v>0</v>
      </c>
      <c r="S502" s="706">
        <f t="shared" si="94"/>
        <v>0</v>
      </c>
    </row>
    <row r="503" spans="1:19">
      <c r="A503" s="714"/>
      <c r="B503" s="715"/>
      <c r="C503" s="707">
        <f t="shared" si="85"/>
        <v>1</v>
      </c>
      <c r="D503" s="716"/>
      <c r="E503" s="707">
        <f t="shared" si="86"/>
        <v>1</v>
      </c>
      <c r="F503" s="716"/>
      <c r="G503" s="707">
        <f t="shared" si="87"/>
        <v>1</v>
      </c>
      <c r="H503" s="716"/>
      <c r="I503" s="707">
        <f t="shared" si="88"/>
        <v>1</v>
      </c>
      <c r="J503" s="716"/>
      <c r="K503" s="707">
        <f t="shared" si="89"/>
        <v>1</v>
      </c>
      <c r="L503" s="716"/>
      <c r="M503" s="707">
        <f t="shared" si="90"/>
        <v>1</v>
      </c>
      <c r="N503" s="716"/>
      <c r="O503" s="707">
        <f t="shared" si="91"/>
        <v>1</v>
      </c>
      <c r="P503" s="716"/>
      <c r="Q503" s="707">
        <f t="shared" si="92"/>
        <v>1</v>
      </c>
      <c r="R503" s="768">
        <f t="shared" si="93"/>
        <v>0</v>
      </c>
      <c r="S503" s="706">
        <f t="shared" si="94"/>
        <v>0</v>
      </c>
    </row>
    <row r="504" spans="1:19">
      <c r="A504" s="714"/>
      <c r="B504" s="715"/>
      <c r="C504" s="707">
        <f t="shared" si="85"/>
        <v>1</v>
      </c>
      <c r="D504" s="716"/>
      <c r="E504" s="707">
        <f t="shared" si="86"/>
        <v>1</v>
      </c>
      <c r="F504" s="716"/>
      <c r="G504" s="707">
        <f t="shared" si="87"/>
        <v>1</v>
      </c>
      <c r="H504" s="716"/>
      <c r="I504" s="707">
        <f t="shared" si="88"/>
        <v>1</v>
      </c>
      <c r="J504" s="716"/>
      <c r="K504" s="707">
        <f t="shared" si="89"/>
        <v>1</v>
      </c>
      <c r="L504" s="716"/>
      <c r="M504" s="707">
        <f t="shared" si="90"/>
        <v>1</v>
      </c>
      <c r="N504" s="716"/>
      <c r="O504" s="707">
        <f t="shared" si="91"/>
        <v>1</v>
      </c>
      <c r="P504" s="716"/>
      <c r="Q504" s="707">
        <f t="shared" si="92"/>
        <v>1</v>
      </c>
      <c r="R504" s="768">
        <f t="shared" si="93"/>
        <v>0</v>
      </c>
      <c r="S504" s="706">
        <f t="shared" si="94"/>
        <v>0</v>
      </c>
    </row>
    <row r="505" spans="1:19">
      <c r="A505" s="714"/>
      <c r="B505" s="715"/>
      <c r="C505" s="707">
        <f t="shared" si="85"/>
        <v>1</v>
      </c>
      <c r="D505" s="716"/>
      <c r="E505" s="707">
        <f t="shared" si="86"/>
        <v>1</v>
      </c>
      <c r="F505" s="716"/>
      <c r="G505" s="707">
        <f t="shared" si="87"/>
        <v>1</v>
      </c>
      <c r="H505" s="716"/>
      <c r="I505" s="707">
        <f t="shared" si="88"/>
        <v>1</v>
      </c>
      <c r="J505" s="716"/>
      <c r="K505" s="707">
        <f t="shared" si="89"/>
        <v>1</v>
      </c>
      <c r="L505" s="716"/>
      <c r="M505" s="707">
        <f t="shared" si="90"/>
        <v>1</v>
      </c>
      <c r="N505" s="716"/>
      <c r="O505" s="707">
        <f t="shared" si="91"/>
        <v>1</v>
      </c>
      <c r="P505" s="716"/>
      <c r="Q505" s="707">
        <f t="shared" si="92"/>
        <v>1</v>
      </c>
      <c r="R505" s="768">
        <f t="shared" si="93"/>
        <v>0</v>
      </c>
      <c r="S505" s="706">
        <f t="shared" si="94"/>
        <v>0</v>
      </c>
    </row>
    <row r="506" spans="1:19">
      <c r="A506" s="714"/>
      <c r="B506" s="715"/>
      <c r="C506" s="707">
        <f t="shared" si="85"/>
        <v>1</v>
      </c>
      <c r="D506" s="716"/>
      <c r="E506" s="707">
        <f t="shared" si="86"/>
        <v>1</v>
      </c>
      <c r="F506" s="716"/>
      <c r="G506" s="707">
        <f t="shared" si="87"/>
        <v>1</v>
      </c>
      <c r="H506" s="716"/>
      <c r="I506" s="707">
        <f t="shared" si="88"/>
        <v>1</v>
      </c>
      <c r="J506" s="716"/>
      <c r="K506" s="707">
        <f t="shared" si="89"/>
        <v>1</v>
      </c>
      <c r="L506" s="716"/>
      <c r="M506" s="707">
        <f t="shared" si="90"/>
        <v>1</v>
      </c>
      <c r="N506" s="716"/>
      <c r="O506" s="707">
        <f t="shared" si="91"/>
        <v>1</v>
      </c>
      <c r="P506" s="716"/>
      <c r="Q506" s="707">
        <f t="shared" si="92"/>
        <v>1</v>
      </c>
      <c r="R506" s="768">
        <f t="shared" si="93"/>
        <v>0</v>
      </c>
      <c r="S506" s="706">
        <f t="shared" si="94"/>
        <v>0</v>
      </c>
    </row>
    <row r="507" spans="1:19">
      <c r="A507" s="714"/>
      <c r="B507" s="715"/>
      <c r="C507" s="707">
        <f t="shared" si="85"/>
        <v>1</v>
      </c>
      <c r="D507" s="716"/>
      <c r="E507" s="707">
        <f t="shared" si="86"/>
        <v>1</v>
      </c>
      <c r="F507" s="716"/>
      <c r="G507" s="707">
        <f t="shared" si="87"/>
        <v>1</v>
      </c>
      <c r="H507" s="716"/>
      <c r="I507" s="707">
        <f t="shared" si="88"/>
        <v>1</v>
      </c>
      <c r="J507" s="716"/>
      <c r="K507" s="707">
        <f t="shared" si="89"/>
        <v>1</v>
      </c>
      <c r="L507" s="716"/>
      <c r="M507" s="707">
        <f t="shared" si="90"/>
        <v>1</v>
      </c>
      <c r="N507" s="716"/>
      <c r="O507" s="707">
        <f t="shared" si="91"/>
        <v>1</v>
      </c>
      <c r="P507" s="716"/>
      <c r="Q507" s="707">
        <f t="shared" si="92"/>
        <v>1</v>
      </c>
      <c r="R507" s="768">
        <f t="shared" si="93"/>
        <v>0</v>
      </c>
      <c r="S507" s="706">
        <f t="shared" si="94"/>
        <v>0</v>
      </c>
    </row>
    <row r="508" spans="1:19">
      <c r="A508" s="714"/>
      <c r="B508" s="715"/>
      <c r="C508" s="707">
        <f t="shared" si="85"/>
        <v>1</v>
      </c>
      <c r="D508" s="716"/>
      <c r="E508" s="707">
        <f t="shared" si="86"/>
        <v>1</v>
      </c>
      <c r="F508" s="716"/>
      <c r="G508" s="707">
        <f t="shared" si="87"/>
        <v>1</v>
      </c>
      <c r="H508" s="716"/>
      <c r="I508" s="707">
        <f t="shared" si="88"/>
        <v>1</v>
      </c>
      <c r="J508" s="716"/>
      <c r="K508" s="707">
        <f t="shared" si="89"/>
        <v>1</v>
      </c>
      <c r="L508" s="716"/>
      <c r="M508" s="707">
        <f t="shared" si="90"/>
        <v>1</v>
      </c>
      <c r="N508" s="716"/>
      <c r="O508" s="707">
        <f t="shared" si="91"/>
        <v>1</v>
      </c>
      <c r="P508" s="716"/>
      <c r="Q508" s="707">
        <f t="shared" si="92"/>
        <v>1</v>
      </c>
      <c r="R508" s="768">
        <f t="shared" si="93"/>
        <v>0</v>
      </c>
      <c r="S508" s="706">
        <f t="shared" si="94"/>
        <v>0</v>
      </c>
    </row>
    <row r="509" spans="1:19">
      <c r="A509" s="714"/>
      <c r="B509" s="715"/>
      <c r="C509" s="707">
        <f t="shared" si="85"/>
        <v>1</v>
      </c>
      <c r="D509" s="716"/>
      <c r="E509" s="707">
        <f t="shared" si="86"/>
        <v>1</v>
      </c>
      <c r="F509" s="716"/>
      <c r="G509" s="707">
        <f t="shared" si="87"/>
        <v>1</v>
      </c>
      <c r="H509" s="716"/>
      <c r="I509" s="707">
        <f t="shared" si="88"/>
        <v>1</v>
      </c>
      <c r="J509" s="716"/>
      <c r="K509" s="707">
        <f t="shared" si="89"/>
        <v>1</v>
      </c>
      <c r="L509" s="716"/>
      <c r="M509" s="707">
        <f t="shared" si="90"/>
        <v>1</v>
      </c>
      <c r="N509" s="716"/>
      <c r="O509" s="707">
        <f t="shared" si="91"/>
        <v>1</v>
      </c>
      <c r="P509" s="716"/>
      <c r="Q509" s="707">
        <f t="shared" si="92"/>
        <v>1</v>
      </c>
      <c r="R509" s="768">
        <f t="shared" si="93"/>
        <v>0</v>
      </c>
      <c r="S509" s="706">
        <f t="shared" si="94"/>
        <v>0</v>
      </c>
    </row>
    <row r="510" spans="1:19">
      <c r="A510" s="714"/>
      <c r="B510" s="715"/>
      <c r="C510" s="707">
        <f t="shared" si="85"/>
        <v>1</v>
      </c>
      <c r="D510" s="716"/>
      <c r="E510" s="707">
        <f t="shared" si="86"/>
        <v>1</v>
      </c>
      <c r="F510" s="716"/>
      <c r="G510" s="707">
        <f t="shared" si="87"/>
        <v>1</v>
      </c>
      <c r="H510" s="716"/>
      <c r="I510" s="707">
        <f t="shared" si="88"/>
        <v>1</v>
      </c>
      <c r="J510" s="716"/>
      <c r="K510" s="707">
        <f t="shared" si="89"/>
        <v>1</v>
      </c>
      <c r="L510" s="716"/>
      <c r="M510" s="707">
        <f t="shared" si="90"/>
        <v>1</v>
      </c>
      <c r="N510" s="716"/>
      <c r="O510" s="707">
        <f t="shared" si="91"/>
        <v>1</v>
      </c>
      <c r="P510" s="716"/>
      <c r="Q510" s="707">
        <f t="shared" si="92"/>
        <v>1</v>
      </c>
      <c r="R510" s="768">
        <f t="shared" si="93"/>
        <v>0</v>
      </c>
      <c r="S510" s="706">
        <f t="shared" si="94"/>
        <v>0</v>
      </c>
    </row>
    <row r="511" spans="1:19">
      <c r="A511" s="714"/>
      <c r="B511" s="715"/>
      <c r="C511" s="707">
        <f t="shared" si="85"/>
        <v>1</v>
      </c>
      <c r="D511" s="716"/>
      <c r="E511" s="707">
        <f t="shared" si="86"/>
        <v>1</v>
      </c>
      <c r="F511" s="716"/>
      <c r="G511" s="707">
        <f t="shared" si="87"/>
        <v>1</v>
      </c>
      <c r="H511" s="716"/>
      <c r="I511" s="707">
        <f t="shared" si="88"/>
        <v>1</v>
      </c>
      <c r="J511" s="716"/>
      <c r="K511" s="707">
        <f t="shared" si="89"/>
        <v>1</v>
      </c>
      <c r="L511" s="716"/>
      <c r="M511" s="707">
        <f t="shared" si="90"/>
        <v>1</v>
      </c>
      <c r="N511" s="716"/>
      <c r="O511" s="707">
        <f t="shared" si="91"/>
        <v>1</v>
      </c>
      <c r="P511" s="716"/>
      <c r="Q511" s="707">
        <f t="shared" si="92"/>
        <v>1</v>
      </c>
      <c r="R511" s="768">
        <f t="shared" si="93"/>
        <v>0</v>
      </c>
      <c r="S511" s="706">
        <f t="shared" si="94"/>
        <v>0</v>
      </c>
    </row>
    <row r="512" spans="1:19">
      <c r="A512" s="714"/>
      <c r="B512" s="715"/>
      <c r="C512" s="707">
        <f t="shared" si="85"/>
        <v>1</v>
      </c>
      <c r="D512" s="716"/>
      <c r="E512" s="707">
        <f t="shared" si="86"/>
        <v>1</v>
      </c>
      <c r="F512" s="716"/>
      <c r="G512" s="707">
        <f t="shared" si="87"/>
        <v>1</v>
      </c>
      <c r="H512" s="716"/>
      <c r="I512" s="707">
        <f t="shared" si="88"/>
        <v>1</v>
      </c>
      <c r="J512" s="716"/>
      <c r="K512" s="707">
        <f t="shared" si="89"/>
        <v>1</v>
      </c>
      <c r="L512" s="716"/>
      <c r="M512" s="707">
        <f t="shared" si="90"/>
        <v>1</v>
      </c>
      <c r="N512" s="716"/>
      <c r="O512" s="707">
        <f t="shared" si="91"/>
        <v>1</v>
      </c>
      <c r="P512" s="716"/>
      <c r="Q512" s="707">
        <f t="shared" si="92"/>
        <v>1</v>
      </c>
      <c r="R512" s="768">
        <f t="shared" si="93"/>
        <v>0</v>
      </c>
      <c r="S512" s="706">
        <f t="shared" si="94"/>
        <v>0</v>
      </c>
    </row>
    <row r="513" spans="1:19">
      <c r="A513" s="714"/>
      <c r="B513" s="715"/>
      <c r="C513" s="707">
        <f t="shared" si="85"/>
        <v>1</v>
      </c>
      <c r="D513" s="716"/>
      <c r="E513" s="707">
        <f t="shared" si="86"/>
        <v>1</v>
      </c>
      <c r="F513" s="716"/>
      <c r="G513" s="707">
        <f t="shared" si="87"/>
        <v>1</v>
      </c>
      <c r="H513" s="716"/>
      <c r="I513" s="707">
        <f t="shared" si="88"/>
        <v>1</v>
      </c>
      <c r="J513" s="716"/>
      <c r="K513" s="707">
        <f t="shared" si="89"/>
        <v>1</v>
      </c>
      <c r="L513" s="716"/>
      <c r="M513" s="707">
        <f t="shared" si="90"/>
        <v>1</v>
      </c>
      <c r="N513" s="716"/>
      <c r="O513" s="707">
        <f t="shared" si="91"/>
        <v>1</v>
      </c>
      <c r="P513" s="716"/>
      <c r="Q513" s="707">
        <f t="shared" si="92"/>
        <v>1</v>
      </c>
      <c r="R513" s="768">
        <f t="shared" si="93"/>
        <v>0</v>
      </c>
      <c r="S513" s="706">
        <f t="shared" si="94"/>
        <v>0</v>
      </c>
    </row>
    <row r="514" spans="1:19">
      <c r="A514" s="714"/>
      <c r="B514" s="715"/>
      <c r="C514" s="707">
        <f t="shared" si="85"/>
        <v>1</v>
      </c>
      <c r="D514" s="716"/>
      <c r="E514" s="707">
        <f t="shared" si="86"/>
        <v>1</v>
      </c>
      <c r="F514" s="716"/>
      <c r="G514" s="707">
        <f t="shared" si="87"/>
        <v>1</v>
      </c>
      <c r="H514" s="716"/>
      <c r="I514" s="707">
        <f t="shared" si="88"/>
        <v>1</v>
      </c>
      <c r="J514" s="716"/>
      <c r="K514" s="707">
        <f t="shared" si="89"/>
        <v>1</v>
      </c>
      <c r="L514" s="716"/>
      <c r="M514" s="707">
        <f t="shared" si="90"/>
        <v>1</v>
      </c>
      <c r="N514" s="716"/>
      <c r="O514" s="707">
        <f t="shared" si="91"/>
        <v>1</v>
      </c>
      <c r="P514" s="716"/>
      <c r="Q514" s="707">
        <f t="shared" si="92"/>
        <v>1</v>
      </c>
      <c r="R514" s="768">
        <f t="shared" si="93"/>
        <v>0</v>
      </c>
      <c r="S514" s="706">
        <f t="shared" si="94"/>
        <v>0</v>
      </c>
    </row>
    <row r="515" spans="1:19">
      <c r="A515" s="714"/>
      <c r="B515" s="715"/>
      <c r="C515" s="707">
        <f t="shared" si="85"/>
        <v>1</v>
      </c>
      <c r="D515" s="716"/>
      <c r="E515" s="707">
        <f t="shared" si="86"/>
        <v>1</v>
      </c>
      <c r="F515" s="716"/>
      <c r="G515" s="707">
        <f t="shared" si="87"/>
        <v>1</v>
      </c>
      <c r="H515" s="716"/>
      <c r="I515" s="707">
        <f t="shared" si="88"/>
        <v>1</v>
      </c>
      <c r="J515" s="716"/>
      <c r="K515" s="707">
        <f t="shared" si="89"/>
        <v>1</v>
      </c>
      <c r="L515" s="716"/>
      <c r="M515" s="707">
        <f t="shared" si="90"/>
        <v>1</v>
      </c>
      <c r="N515" s="716"/>
      <c r="O515" s="707">
        <f t="shared" si="91"/>
        <v>1</v>
      </c>
      <c r="P515" s="716"/>
      <c r="Q515" s="707">
        <f t="shared" si="92"/>
        <v>1</v>
      </c>
      <c r="R515" s="768">
        <f t="shared" si="93"/>
        <v>0</v>
      </c>
      <c r="S515" s="706">
        <f t="shared" si="94"/>
        <v>0</v>
      </c>
    </row>
    <row r="516" spans="1:19">
      <c r="A516" s="714"/>
      <c r="B516" s="715"/>
      <c r="C516" s="707">
        <f t="shared" si="85"/>
        <v>1</v>
      </c>
      <c r="D516" s="716"/>
      <c r="E516" s="707">
        <f t="shared" si="86"/>
        <v>1</v>
      </c>
      <c r="F516" s="716"/>
      <c r="G516" s="707">
        <f t="shared" si="87"/>
        <v>1</v>
      </c>
      <c r="H516" s="716"/>
      <c r="I516" s="707">
        <f t="shared" si="88"/>
        <v>1</v>
      </c>
      <c r="J516" s="716"/>
      <c r="K516" s="707">
        <f t="shared" si="89"/>
        <v>1</v>
      </c>
      <c r="L516" s="716"/>
      <c r="M516" s="707">
        <f t="shared" si="90"/>
        <v>1</v>
      </c>
      <c r="N516" s="716"/>
      <c r="O516" s="707">
        <f t="shared" si="91"/>
        <v>1</v>
      </c>
      <c r="P516" s="716"/>
      <c r="Q516" s="707">
        <f t="shared" si="92"/>
        <v>1</v>
      </c>
      <c r="R516" s="768">
        <f t="shared" si="93"/>
        <v>0</v>
      </c>
      <c r="S516" s="706">
        <f t="shared" si="94"/>
        <v>0</v>
      </c>
    </row>
    <row r="517" spans="1:19">
      <c r="A517" s="714"/>
      <c r="B517" s="715"/>
      <c r="C517" s="707">
        <f t="shared" si="85"/>
        <v>1</v>
      </c>
      <c r="D517" s="716"/>
      <c r="E517" s="707">
        <f t="shared" si="86"/>
        <v>1</v>
      </c>
      <c r="F517" s="716"/>
      <c r="G517" s="707">
        <f t="shared" si="87"/>
        <v>1</v>
      </c>
      <c r="H517" s="716"/>
      <c r="I517" s="707">
        <f t="shared" si="88"/>
        <v>1</v>
      </c>
      <c r="J517" s="716"/>
      <c r="K517" s="707">
        <f t="shared" si="89"/>
        <v>1</v>
      </c>
      <c r="L517" s="716"/>
      <c r="M517" s="707">
        <f t="shared" si="90"/>
        <v>1</v>
      </c>
      <c r="N517" s="716"/>
      <c r="O517" s="707">
        <f t="shared" si="91"/>
        <v>1</v>
      </c>
      <c r="P517" s="716"/>
      <c r="Q517" s="707">
        <f t="shared" si="92"/>
        <v>1</v>
      </c>
      <c r="R517" s="768">
        <f t="shared" si="93"/>
        <v>0</v>
      </c>
      <c r="S517" s="706">
        <f t="shared" si="94"/>
        <v>0</v>
      </c>
    </row>
    <row r="518" spans="1:19">
      <c r="A518" s="714"/>
      <c r="B518" s="715"/>
      <c r="C518" s="707">
        <f t="shared" si="85"/>
        <v>1</v>
      </c>
      <c r="D518" s="716"/>
      <c r="E518" s="707">
        <f t="shared" si="86"/>
        <v>1</v>
      </c>
      <c r="F518" s="716"/>
      <c r="G518" s="707">
        <f t="shared" si="87"/>
        <v>1</v>
      </c>
      <c r="H518" s="716"/>
      <c r="I518" s="707">
        <f t="shared" si="88"/>
        <v>1</v>
      </c>
      <c r="J518" s="716"/>
      <c r="K518" s="707">
        <f t="shared" si="89"/>
        <v>1</v>
      </c>
      <c r="L518" s="716"/>
      <c r="M518" s="707">
        <f t="shared" si="90"/>
        <v>1</v>
      </c>
      <c r="N518" s="716"/>
      <c r="O518" s="707">
        <f t="shared" si="91"/>
        <v>1</v>
      </c>
      <c r="P518" s="716"/>
      <c r="Q518" s="707">
        <f t="shared" si="92"/>
        <v>1</v>
      </c>
      <c r="R518" s="768">
        <f t="shared" si="93"/>
        <v>0</v>
      </c>
      <c r="S518" s="706">
        <f t="shared" si="94"/>
        <v>0</v>
      </c>
    </row>
    <row r="519" spans="1:19">
      <c r="A519" s="714"/>
      <c r="B519" s="715"/>
      <c r="C519" s="707">
        <f t="shared" si="85"/>
        <v>1</v>
      </c>
      <c r="D519" s="716"/>
      <c r="E519" s="707">
        <f t="shared" si="86"/>
        <v>1</v>
      </c>
      <c r="F519" s="716"/>
      <c r="G519" s="707">
        <f t="shared" si="87"/>
        <v>1</v>
      </c>
      <c r="H519" s="716"/>
      <c r="I519" s="707">
        <f t="shared" si="88"/>
        <v>1</v>
      </c>
      <c r="J519" s="716"/>
      <c r="K519" s="707">
        <f t="shared" si="89"/>
        <v>1</v>
      </c>
      <c r="L519" s="716"/>
      <c r="M519" s="707">
        <f t="shared" si="90"/>
        <v>1</v>
      </c>
      <c r="N519" s="716"/>
      <c r="O519" s="707">
        <f t="shared" si="91"/>
        <v>1</v>
      </c>
      <c r="P519" s="716"/>
      <c r="Q519" s="707">
        <f t="shared" si="92"/>
        <v>1</v>
      </c>
      <c r="R519" s="768">
        <f t="shared" si="93"/>
        <v>0</v>
      </c>
      <c r="S519" s="706">
        <f t="shared" si="94"/>
        <v>0</v>
      </c>
    </row>
    <row r="520" spans="1:19">
      <c r="A520" s="714"/>
      <c r="B520" s="715"/>
      <c r="C520" s="707">
        <f t="shared" si="85"/>
        <v>1</v>
      </c>
      <c r="D520" s="716"/>
      <c r="E520" s="707">
        <f t="shared" si="86"/>
        <v>1</v>
      </c>
      <c r="F520" s="716"/>
      <c r="G520" s="707">
        <f t="shared" si="87"/>
        <v>1</v>
      </c>
      <c r="H520" s="716"/>
      <c r="I520" s="707">
        <f t="shared" si="88"/>
        <v>1</v>
      </c>
      <c r="J520" s="716"/>
      <c r="K520" s="707">
        <f t="shared" si="89"/>
        <v>1</v>
      </c>
      <c r="L520" s="716"/>
      <c r="M520" s="707">
        <f t="shared" si="90"/>
        <v>1</v>
      </c>
      <c r="N520" s="716"/>
      <c r="O520" s="707">
        <f t="shared" si="91"/>
        <v>1</v>
      </c>
      <c r="P520" s="716"/>
      <c r="Q520" s="707">
        <f t="shared" si="92"/>
        <v>1</v>
      </c>
      <c r="R520" s="768">
        <f t="shared" si="93"/>
        <v>0</v>
      </c>
      <c r="S520" s="706">
        <f t="shared" si="94"/>
        <v>0</v>
      </c>
    </row>
    <row r="521" spans="1:19">
      <c r="A521" s="714"/>
      <c r="B521" s="715"/>
      <c r="C521" s="707">
        <f t="shared" si="85"/>
        <v>1</v>
      </c>
      <c r="D521" s="716"/>
      <c r="E521" s="707">
        <f t="shared" si="86"/>
        <v>1</v>
      </c>
      <c r="F521" s="716"/>
      <c r="G521" s="707">
        <f t="shared" si="87"/>
        <v>1</v>
      </c>
      <c r="H521" s="716"/>
      <c r="I521" s="707">
        <f t="shared" si="88"/>
        <v>1</v>
      </c>
      <c r="J521" s="716"/>
      <c r="K521" s="707">
        <f t="shared" si="89"/>
        <v>1</v>
      </c>
      <c r="L521" s="716"/>
      <c r="M521" s="707">
        <f t="shared" si="90"/>
        <v>1</v>
      </c>
      <c r="N521" s="716"/>
      <c r="O521" s="707">
        <f t="shared" si="91"/>
        <v>1</v>
      </c>
      <c r="P521" s="716"/>
      <c r="Q521" s="707">
        <f t="shared" si="92"/>
        <v>1</v>
      </c>
      <c r="R521" s="768">
        <f t="shared" si="93"/>
        <v>0</v>
      </c>
      <c r="S521" s="706">
        <f t="shared" si="94"/>
        <v>0</v>
      </c>
    </row>
    <row r="522" spans="1:19">
      <c r="A522" s="714"/>
      <c r="B522" s="715"/>
      <c r="C522" s="707">
        <f t="shared" si="85"/>
        <v>1</v>
      </c>
      <c r="D522" s="716"/>
      <c r="E522" s="707">
        <f t="shared" si="86"/>
        <v>1</v>
      </c>
      <c r="F522" s="716"/>
      <c r="G522" s="707">
        <f t="shared" si="87"/>
        <v>1</v>
      </c>
      <c r="H522" s="716"/>
      <c r="I522" s="707">
        <f t="shared" si="88"/>
        <v>1</v>
      </c>
      <c r="J522" s="716"/>
      <c r="K522" s="707">
        <f t="shared" si="89"/>
        <v>1</v>
      </c>
      <c r="L522" s="716"/>
      <c r="M522" s="707">
        <f t="shared" si="90"/>
        <v>1</v>
      </c>
      <c r="N522" s="716"/>
      <c r="O522" s="707">
        <f t="shared" si="91"/>
        <v>1</v>
      </c>
      <c r="P522" s="716"/>
      <c r="Q522" s="707">
        <f t="shared" si="92"/>
        <v>1</v>
      </c>
      <c r="R522" s="768">
        <f t="shared" si="93"/>
        <v>0</v>
      </c>
      <c r="S522" s="706">
        <f t="shared" si="94"/>
        <v>0</v>
      </c>
    </row>
    <row r="523" spans="1:19">
      <c r="A523" s="714"/>
      <c r="B523" s="715"/>
      <c r="C523" s="707">
        <f t="shared" si="85"/>
        <v>1</v>
      </c>
      <c r="D523" s="716"/>
      <c r="E523" s="707">
        <f t="shared" si="86"/>
        <v>1</v>
      </c>
      <c r="F523" s="716"/>
      <c r="G523" s="707">
        <f t="shared" si="87"/>
        <v>1</v>
      </c>
      <c r="H523" s="716"/>
      <c r="I523" s="707">
        <f t="shared" si="88"/>
        <v>1</v>
      </c>
      <c r="J523" s="716"/>
      <c r="K523" s="707">
        <f t="shared" si="89"/>
        <v>1</v>
      </c>
      <c r="L523" s="716"/>
      <c r="M523" s="707">
        <f t="shared" si="90"/>
        <v>1</v>
      </c>
      <c r="N523" s="716"/>
      <c r="O523" s="707">
        <f t="shared" si="91"/>
        <v>1</v>
      </c>
      <c r="P523" s="716"/>
      <c r="Q523" s="707">
        <f t="shared" si="92"/>
        <v>1</v>
      </c>
      <c r="R523" s="768">
        <f t="shared" si="93"/>
        <v>0</v>
      </c>
      <c r="S523" s="706">
        <f t="shared" si="94"/>
        <v>0</v>
      </c>
    </row>
    <row r="524" spans="1:19">
      <c r="A524" s="714"/>
      <c r="B524" s="715"/>
      <c r="C524" s="707">
        <f t="shared" si="85"/>
        <v>1</v>
      </c>
      <c r="D524" s="716"/>
      <c r="E524" s="707">
        <f t="shared" si="86"/>
        <v>1</v>
      </c>
      <c r="F524" s="716"/>
      <c r="G524" s="707">
        <f t="shared" si="87"/>
        <v>1</v>
      </c>
      <c r="H524" s="716"/>
      <c r="I524" s="707">
        <f t="shared" si="88"/>
        <v>1</v>
      </c>
      <c r="J524" s="716"/>
      <c r="K524" s="707">
        <f t="shared" si="89"/>
        <v>1</v>
      </c>
      <c r="L524" s="716"/>
      <c r="M524" s="707">
        <f t="shared" si="90"/>
        <v>1</v>
      </c>
      <c r="N524" s="716"/>
      <c r="O524" s="707">
        <f t="shared" si="91"/>
        <v>1</v>
      </c>
      <c r="P524" s="716"/>
      <c r="Q524" s="707">
        <f t="shared" si="92"/>
        <v>1</v>
      </c>
      <c r="R524" s="768">
        <f t="shared" si="93"/>
        <v>0</v>
      </c>
      <c r="S524" s="706">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H20">
      <formula1>估价方法</formula1>
    </dataValidation>
    <dataValidation type="list" allowBlank="1" showInputMessage="1" showErrorMessage="1" sqref="D20">
      <formula1>"需扣减承租人权益,——"</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N24:N524">
      <formula1>一修多修正项7</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3.8" outlineLevelCol="4"/>
  <cols>
    <col min="1" max="1" width="0.888888888888889" style="3450" customWidth="1"/>
    <col min="2" max="2" width="37.2222222222222" style="3450" customWidth="1"/>
    <col min="3" max="3" width="11.3333333333333" style="3450" customWidth="1"/>
    <col min="4" max="4" width="31.7777777777778" style="3450" customWidth="1"/>
    <col min="5" max="5" width="0.444444444444444" style="3450" customWidth="1"/>
    <col min="6" max="7" width="13" style="3450" customWidth="1"/>
    <col min="8" max="16384" width="9" style="3450"/>
  </cols>
  <sheetData>
    <row r="1" ht="17.4" spans="1:5">
      <c r="A1" s="3451" t="s">
        <v>94</v>
      </c>
      <c r="B1" s="3452"/>
      <c r="C1" s="3452"/>
      <c r="D1" s="3452"/>
      <c r="E1" s="3452"/>
    </row>
    <row r="2" ht="78" customHeight="1" spans="1:5">
      <c r="A2" s="345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3"/>
      <c r="C2" s="3453"/>
      <c r="D2" s="3453"/>
      <c r="E2" s="3453"/>
    </row>
    <row r="3" ht="17.4" spans="1:5">
      <c r="A3" s="3454" t="str">
        <f>IF(项目基本情况!B9="房地产市场价值","估价结果一览表（市场价值不需“结果表-1”）","估价结果一览表")</f>
        <v>估价结果一览表</v>
      </c>
      <c r="B3" s="3454"/>
      <c r="C3" s="3454"/>
      <c r="D3" s="3454"/>
      <c r="E3" s="3454"/>
    </row>
    <row r="4" ht="18.15" spans="1:5">
      <c r="A4" s="3454"/>
      <c r="B4" s="3455" t="s">
        <v>95</v>
      </c>
      <c r="C4" s="3455"/>
      <c r="D4" s="3455"/>
      <c r="E4" s="3454"/>
    </row>
    <row r="5" ht="16.35" spans="1:5">
      <c r="A5" s="3452"/>
      <c r="B5" s="3456" t="s">
        <v>96</v>
      </c>
      <c r="C5" s="3457" t="s">
        <v>97</v>
      </c>
      <c r="D5" s="3458">
        <f ca="1">结果表!H101</f>
        <v>15532</v>
      </c>
      <c r="E5" s="3452"/>
    </row>
    <row r="6" ht="15.6" spans="1:5">
      <c r="A6" s="3452"/>
      <c r="B6" s="3456"/>
      <c r="C6" s="3457" t="s">
        <v>98</v>
      </c>
      <c r="D6" s="3458" t="str">
        <f ca="1">NUMBERSTRING(INT(D5*10000),2)&amp;"元整"</f>
        <v>壹亿伍仟伍佰叁拾贰万元整</v>
      </c>
      <c r="E6" s="3452"/>
    </row>
    <row r="7" ht="15.6" spans="1:5">
      <c r="A7" s="3452"/>
      <c r="B7" s="3459"/>
      <c r="C7" s="3460" t="s">
        <v>99</v>
      </c>
      <c r="D7" s="3461">
        <f ca="1">结果表!H102</f>
        <v>8215</v>
      </c>
      <c r="E7" s="3452"/>
    </row>
    <row r="8" ht="15.6" spans="1:5">
      <c r="A8" s="3452"/>
      <c r="B8" s="3462" t="str">
        <f>结果表!E103</f>
        <v>2.估价师知悉的法定优先受偿款</v>
      </c>
      <c r="C8" s="3463" t="s">
        <v>100</v>
      </c>
      <c r="D8" s="3461">
        <f>结果表!H103</f>
        <v>0</v>
      </c>
      <c r="E8" s="3452"/>
    </row>
    <row r="9" ht="15.6" spans="1:5">
      <c r="A9" s="3452"/>
      <c r="B9" s="3464"/>
      <c r="C9" s="3457" t="s">
        <v>98</v>
      </c>
      <c r="D9" s="3458" t="str">
        <f>NUMBERSTRING(INT(D8*10000),2)&amp;"元整"</f>
        <v>零元整</v>
      </c>
      <c r="E9" s="3452"/>
    </row>
    <row r="10" ht="15.6" spans="1:5">
      <c r="A10" s="3452"/>
      <c r="B10" s="3465" t="s">
        <v>101</v>
      </c>
      <c r="C10" s="3466" t="s">
        <v>102</v>
      </c>
      <c r="D10" s="3467">
        <f>结果表!H104</f>
        <v>0</v>
      </c>
      <c r="E10" s="3452"/>
    </row>
    <row r="11" ht="15.6" spans="1:5">
      <c r="A11" s="3452"/>
      <c r="B11" s="3465" t="s">
        <v>103</v>
      </c>
      <c r="C11" s="3466" t="s">
        <v>102</v>
      </c>
      <c r="D11" s="3467">
        <f>结果表!H105</f>
        <v>0</v>
      </c>
      <c r="E11" s="3452"/>
    </row>
    <row r="12" ht="15.6" spans="1:5">
      <c r="A12" s="3452"/>
      <c r="B12" s="3465" t="s">
        <v>104</v>
      </c>
      <c r="C12" s="3466" t="s">
        <v>102</v>
      </c>
      <c r="D12" s="3467">
        <f>结果表!H106</f>
        <v>0</v>
      </c>
      <c r="E12" s="3452"/>
    </row>
    <row r="13" ht="15.6" spans="1:5">
      <c r="A13" s="3452"/>
      <c r="B13" s="3468" t="str">
        <f>结果表!E107</f>
        <v>3.房地产抵押价值</v>
      </c>
      <c r="C13" s="3469" t="s">
        <v>97</v>
      </c>
      <c r="D13" s="3470">
        <f ca="1">结果表!H107</f>
        <v>15532</v>
      </c>
      <c r="E13" s="3452"/>
    </row>
    <row r="14" ht="15.6" spans="1:5">
      <c r="A14" s="3452"/>
      <c r="B14" s="3456"/>
      <c r="C14" s="3457" t="s">
        <v>98</v>
      </c>
      <c r="D14" s="3458" t="str">
        <f ca="1">NUMBERSTRING(INT(D13*10000),2)&amp;"元整"</f>
        <v>壹亿伍仟伍佰叁拾贰万元整</v>
      </c>
      <c r="E14" s="3452"/>
    </row>
    <row r="15" ht="15.6" spans="1:5">
      <c r="A15" s="3452"/>
      <c r="B15" s="3459"/>
      <c r="C15" s="3460" t="s">
        <v>99</v>
      </c>
      <c r="D15" s="3471">
        <f ca="1">结果表!H108</f>
        <v>8215</v>
      </c>
      <c r="E15" s="3452"/>
    </row>
    <row r="16" ht="15.6" spans="1:5">
      <c r="A16" s="3452"/>
      <c r="B16" s="3462" t="str">
        <f>结果表!E109</f>
        <v>——</v>
      </c>
      <c r="C16" s="3469" t="s">
        <v>97</v>
      </c>
      <c r="D16" s="3472" t="str">
        <f ca="1">结果表!H109</f>
        <v>——</v>
      </c>
      <c r="E16" s="3452"/>
    </row>
    <row r="17" ht="15.6" spans="1:5">
      <c r="A17" s="3452"/>
      <c r="B17" s="3473"/>
      <c r="C17" s="3457" t="s">
        <v>98</v>
      </c>
      <c r="D17" s="3458" t="e">
        <f ca="1">NUMBERSTRING(INT(D16*10000),2)&amp;"元整"</f>
        <v>#VALUE!</v>
      </c>
      <c r="E17" s="3452"/>
    </row>
    <row r="18" ht="15.6" spans="1:5">
      <c r="A18" s="3452"/>
      <c r="B18" s="3464"/>
      <c r="C18" s="3460" t="s">
        <v>99</v>
      </c>
      <c r="D18" s="3471" t="str">
        <f ca="1">结果表!H110</f>
        <v>——</v>
      </c>
      <c r="E18" s="3452"/>
    </row>
    <row r="19" ht="15.6" spans="1:5">
      <c r="A19" s="3452"/>
      <c r="B19" s="3468" t="str">
        <f>结果表!E111</f>
        <v>——</v>
      </c>
      <c r="C19" s="3469" t="s">
        <v>97</v>
      </c>
      <c r="D19" s="3461" t="str">
        <f ca="1">结果表!H111</f>
        <v>——</v>
      </c>
      <c r="E19" s="3452"/>
    </row>
    <row r="20" ht="15.6" spans="1:5">
      <c r="A20" s="3452"/>
      <c r="B20" s="3456"/>
      <c r="C20" s="3457" t="s">
        <v>98</v>
      </c>
      <c r="D20" s="3458" t="e">
        <f ca="1">NUMBERSTRING(INT(D19*10000),2)&amp;"元整"</f>
        <v>#VALUE!</v>
      </c>
      <c r="E20" s="3452"/>
    </row>
    <row r="21" ht="16.35" spans="1:5">
      <c r="A21" s="3452"/>
      <c r="B21" s="3474"/>
      <c r="C21" s="3475" t="s">
        <v>99</v>
      </c>
      <c r="D21" s="3476" t="str">
        <f ca="1">结果表!H112</f>
        <v>——</v>
      </c>
      <c r="E21" s="3452"/>
    </row>
    <row r="22" ht="14.55" spans="1:5">
      <c r="A22" s="3452"/>
      <c r="B22" s="3477" t="s">
        <v>105</v>
      </c>
      <c r="C22" s="3452"/>
      <c r="D22" s="3452"/>
      <c r="E22" s="3452"/>
    </row>
    <row r="23" spans="1:5">
      <c r="A23" s="3452"/>
      <c r="B23" s="3452"/>
      <c r="C23" s="3452"/>
      <c r="D23" s="3452"/>
      <c r="E23" s="3452"/>
    </row>
    <row r="24" ht="17.4" spans="1:5">
      <c r="A24" s="3478"/>
      <c r="B24" s="3479" t="s">
        <v>106</v>
      </c>
      <c r="C24" s="3478"/>
      <c r="D24" s="3478"/>
      <c r="E24" s="3478"/>
    </row>
    <row r="25" spans="1:5">
      <c r="A25" s="3478"/>
      <c r="B25" s="3478"/>
      <c r="C25" s="3478"/>
      <c r="D25" s="3478"/>
      <c r="E25" s="3478"/>
    </row>
    <row r="26" spans="1:5">
      <c r="A26" s="3478"/>
      <c r="B26" s="3478"/>
      <c r="C26" s="3478"/>
      <c r="D26" s="3478"/>
      <c r="E26" s="3478"/>
    </row>
    <row r="27" spans="1:5">
      <c r="A27" s="3478"/>
      <c r="B27" s="3478"/>
      <c r="C27" s="3478"/>
      <c r="D27" s="3478"/>
      <c r="E27" s="3478"/>
    </row>
    <row r="28" spans="1:5">
      <c r="A28" s="3478"/>
      <c r="B28" s="3478"/>
      <c r="C28" s="3478"/>
      <c r="D28" s="3478"/>
      <c r="E28" s="3478"/>
    </row>
    <row r="29" spans="1:5">
      <c r="A29" s="3478"/>
      <c r="B29" s="3478"/>
      <c r="C29" s="3478"/>
      <c r="D29" s="3478"/>
      <c r="E29" s="3478"/>
    </row>
    <row r="30" spans="1:5">
      <c r="A30" s="3478"/>
      <c r="B30" s="3478"/>
      <c r="C30" s="3478"/>
      <c r="D30" s="3478"/>
      <c r="E30" s="3478"/>
    </row>
    <row r="31" spans="1:5">
      <c r="A31" s="3478"/>
      <c r="B31" s="3478"/>
      <c r="C31" s="3478"/>
      <c r="D31" s="3478"/>
      <c r="E31" s="3478"/>
    </row>
    <row r="32" spans="1:5">
      <c r="A32" s="3478"/>
      <c r="B32" s="3478"/>
      <c r="C32" s="3478"/>
      <c r="D32" s="3478"/>
      <c r="E32" s="3478"/>
    </row>
    <row r="33" spans="1:5">
      <c r="A33" s="3478"/>
      <c r="B33" s="3478"/>
      <c r="C33" s="3478"/>
      <c r="D33" s="3478"/>
      <c r="E33" s="3478"/>
    </row>
    <row r="34" spans="1:5">
      <c r="A34" s="3478"/>
      <c r="B34" s="3478"/>
      <c r="C34" s="3478"/>
      <c r="D34" s="3478"/>
      <c r="E34" s="3478"/>
    </row>
    <row r="35" spans="1:5">
      <c r="A35" s="3478"/>
      <c r="B35" s="3478"/>
      <c r="C35" s="3478"/>
      <c r="D35" s="3478"/>
      <c r="E35" s="3478"/>
    </row>
    <row r="36" spans="1:5">
      <c r="A36" s="3478"/>
      <c r="B36" s="3478"/>
      <c r="C36" s="3478"/>
      <c r="D36" s="3478"/>
      <c r="E36" s="3478"/>
    </row>
    <row r="37" spans="1:5">
      <c r="A37" s="3478"/>
      <c r="B37" s="3478"/>
      <c r="C37" s="3478"/>
      <c r="D37" s="3478"/>
      <c r="E37" s="3478"/>
    </row>
    <row r="38" spans="1:5">
      <c r="A38" s="3478"/>
      <c r="B38" s="3478"/>
      <c r="C38" s="3478"/>
      <c r="D38" s="3478"/>
      <c r="E38" s="3478"/>
    </row>
    <row r="39" spans="1:5">
      <c r="A39" s="3478"/>
      <c r="B39" s="3478"/>
      <c r="C39" s="3478"/>
      <c r="D39" s="3478"/>
      <c r="E39" s="3478"/>
    </row>
    <row r="40" spans="1:5">
      <c r="A40" s="3478"/>
      <c r="B40" s="3478"/>
      <c r="C40" s="3478"/>
      <c r="D40" s="3478"/>
      <c r="E40" s="3478"/>
    </row>
    <row r="41" spans="1:5">
      <c r="A41" s="3478"/>
      <c r="B41" s="3478"/>
      <c r="C41" s="3478"/>
      <c r="D41" s="3478"/>
      <c r="E41" s="3478"/>
    </row>
    <row r="42" spans="1:5">
      <c r="A42" s="3478"/>
      <c r="B42" s="3478"/>
      <c r="C42" s="3478"/>
      <c r="D42" s="3478"/>
      <c r="E42" s="3478"/>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3333333333333" defaultRowHeight="13.2" outlineLevelCol="6"/>
  <cols>
    <col min="1" max="1" width="9.33333333333333" style="556" customWidth="1"/>
    <col min="2" max="2" width="29.2222222222222" style="557" customWidth="1"/>
    <col min="3" max="3" width="12.1111111111111" style="557" customWidth="1"/>
    <col min="4" max="5" width="11.2222222222222" style="558" customWidth="1"/>
    <col min="6" max="6" width="9.44444444444444" style="557" customWidth="1"/>
    <col min="7" max="7" width="31.8888888888889" style="557" customWidth="1"/>
    <col min="8" max="254" width="9" style="557" customWidth="1"/>
    <col min="255" max="16384" width="8.33333333333333" style="557"/>
  </cols>
  <sheetData>
    <row r="1" s="551" customFormat="1" ht="20.4" spans="1:7">
      <c r="A1" s="559" t="s">
        <v>2171</v>
      </c>
      <c r="B1" s="560"/>
      <c r="C1" s="561"/>
      <c r="D1" s="561"/>
      <c r="E1" s="561"/>
      <c r="F1" s="561"/>
      <c r="G1" s="562"/>
    </row>
    <row r="2" s="551" customFormat="1" ht="18" customHeight="1" spans="1:7">
      <c r="A2" s="29" t="s">
        <v>2172</v>
      </c>
      <c r="B2" s="563">
        <f ca="1">C52</f>
        <v>36285</v>
      </c>
      <c r="C2" s="564" t="s">
        <v>2173</v>
      </c>
      <c r="D2" s="562"/>
      <c r="E2" s="562"/>
      <c r="F2" s="562"/>
      <c r="G2" s="562"/>
    </row>
    <row r="3" s="551" customFormat="1" ht="18" customHeight="1" spans="1:7">
      <c r="A3" s="33" t="s">
        <v>2174</v>
      </c>
      <c r="B3" s="565">
        <f ca="1">ROUND(B2*10000/'数据-汇总表'!E3,0)</f>
        <v>19191</v>
      </c>
      <c r="C3" s="564" t="s">
        <v>2175</v>
      </c>
      <c r="D3" s="562"/>
      <c r="E3" s="562"/>
      <c r="F3" s="562"/>
      <c r="G3" s="562"/>
    </row>
    <row r="4" s="552" customFormat="1" ht="15.6" spans="1:7">
      <c r="A4" s="566" t="s">
        <v>2176</v>
      </c>
      <c r="B4" s="567"/>
      <c r="C4" s="567"/>
      <c r="D4" s="567"/>
      <c r="E4" s="567"/>
      <c r="F4" s="567"/>
      <c r="G4" s="568"/>
    </row>
    <row r="5" s="553" customFormat="1" ht="13.5" customHeight="1" spans="1:7">
      <c r="A5" s="569" t="s">
        <v>942</v>
      </c>
      <c r="B5" s="570" t="s">
        <v>2177</v>
      </c>
      <c r="C5" s="571">
        <f>C6+C7+C8</f>
        <v>20610</v>
      </c>
      <c r="D5" s="571" t="s">
        <v>2178</v>
      </c>
      <c r="E5" s="572" t="s">
        <v>2179</v>
      </c>
      <c r="F5" s="572" t="s">
        <v>2180</v>
      </c>
      <c r="G5" s="573"/>
    </row>
    <row r="6" s="553" customFormat="1" ht="13.5" customHeight="1" spans="1:7">
      <c r="A6" s="574" t="s">
        <v>946</v>
      </c>
      <c r="B6" s="575" t="s">
        <v>2181</v>
      </c>
      <c r="C6" s="576">
        <v>20000</v>
      </c>
      <c r="D6" s="179"/>
      <c r="E6" s="171"/>
      <c r="F6" s="171"/>
      <c r="G6" s="577"/>
    </row>
    <row r="7" s="553" customFormat="1" ht="13.5" customHeight="1" spans="1:7">
      <c r="A7" s="574" t="s">
        <v>948</v>
      </c>
      <c r="B7" s="575" t="s">
        <v>2182</v>
      </c>
      <c r="C7" s="578">
        <f>ROUND(C6*F7,0)</f>
        <v>610</v>
      </c>
      <c r="D7" s="578"/>
      <c r="E7" s="171"/>
      <c r="F7" s="579">
        <f>'数据-取费表'!B48+'数据-取费表'!B49</f>
        <v>0.0305</v>
      </c>
      <c r="G7" s="577"/>
    </row>
    <row r="8" s="554" customFormat="1" spans="1:7">
      <c r="A8" s="574" t="s">
        <v>950</v>
      </c>
      <c r="B8" s="575" t="s">
        <v>2183</v>
      </c>
      <c r="C8" s="578" t="str">
        <f>IF(G8="已包含在土地购买价格中","0",'数据-取费表'!B29)</f>
        <v>0</v>
      </c>
      <c r="D8" s="580"/>
      <c r="E8" s="578"/>
      <c r="F8" s="579"/>
      <c r="G8" s="581" t="s">
        <v>2184</v>
      </c>
    </row>
    <row r="9" s="553" customFormat="1" ht="13.5" customHeight="1" spans="1:7">
      <c r="A9" s="582" t="s">
        <v>953</v>
      </c>
      <c r="B9" s="583" t="s">
        <v>2185</v>
      </c>
      <c r="C9" s="584">
        <f>ROUND(D9*E9/10000,0)</f>
        <v>0</v>
      </c>
      <c r="D9" s="585">
        <f>'数据-汇总表'!E5</f>
        <v>0</v>
      </c>
      <c r="E9" s="584">
        <f>'数据-取费表'!B27</f>
        <v>0</v>
      </c>
      <c r="F9" s="579"/>
      <c r="G9" s="586"/>
    </row>
    <row r="10" s="553" customFormat="1" ht="13.5" customHeight="1" spans="1:7">
      <c r="A10" s="582" t="s">
        <v>956</v>
      </c>
      <c r="B10" s="583" t="s">
        <v>2186</v>
      </c>
      <c r="C10" s="584">
        <f>ROUND(D10*E10/10000,0)</f>
        <v>0</v>
      </c>
      <c r="D10" s="585">
        <f>'数据-汇总表'!E6</f>
        <v>18907.05</v>
      </c>
      <c r="E10" s="584">
        <f>'数据-取费表'!B28</f>
        <v>0</v>
      </c>
      <c r="F10" s="579"/>
      <c r="G10" s="586"/>
    </row>
    <row r="11" s="553" customFormat="1" ht="13.5" hidden="1" customHeight="1" spans="1:7">
      <c r="A11" s="587" t="s">
        <v>958</v>
      </c>
      <c r="B11" s="575" t="s">
        <v>2187</v>
      </c>
      <c r="C11" s="571"/>
      <c r="D11" s="588"/>
      <c r="E11" s="171"/>
      <c r="F11" s="171"/>
      <c r="G11" s="577"/>
    </row>
    <row r="12" s="553" customFormat="1" ht="13.5" hidden="1" customHeight="1" spans="1:7">
      <c r="A12" s="587" t="s">
        <v>960</v>
      </c>
      <c r="B12" s="575" t="s">
        <v>2188</v>
      </c>
      <c r="C12" s="571">
        <v>0</v>
      </c>
      <c r="D12" s="588"/>
      <c r="E12" s="589"/>
      <c r="F12" s="579">
        <v>0.0305</v>
      </c>
      <c r="G12" s="577"/>
    </row>
    <row r="13" s="553" customFormat="1" ht="13.5" hidden="1" customHeight="1" spans="1:7">
      <c r="A13" s="587" t="s">
        <v>961</v>
      </c>
      <c r="B13" s="575" t="s">
        <v>2189</v>
      </c>
      <c r="C13" s="571"/>
      <c r="D13" s="588"/>
      <c r="E13" s="171"/>
      <c r="F13" s="171"/>
      <c r="G13" s="577"/>
    </row>
    <row r="14" s="553" customFormat="1" ht="13.5" hidden="1" customHeight="1" spans="1:7">
      <c r="A14" s="587" t="s">
        <v>963</v>
      </c>
      <c r="B14" s="575" t="s">
        <v>2183</v>
      </c>
      <c r="C14" s="571"/>
      <c r="D14" s="588"/>
      <c r="E14" s="171"/>
      <c r="F14" s="171"/>
      <c r="G14" s="577" t="s">
        <v>2190</v>
      </c>
    </row>
    <row r="15" s="553" customFormat="1" ht="13.5" hidden="1" customHeight="1" spans="1:7">
      <c r="A15" s="587" t="s">
        <v>965</v>
      </c>
      <c r="B15" s="575" t="s">
        <v>2191</v>
      </c>
      <c r="C15" s="578"/>
      <c r="D15" s="588"/>
      <c r="E15" s="171"/>
      <c r="F15" s="171"/>
      <c r="G15" s="577" t="s">
        <v>2192</v>
      </c>
    </row>
    <row r="16" s="553" customFormat="1" ht="13.5" hidden="1" customHeight="1" spans="1:7">
      <c r="A16" s="587" t="s">
        <v>968</v>
      </c>
      <c r="B16" s="575" t="s">
        <v>2183</v>
      </c>
      <c r="C16" s="578"/>
      <c r="D16" s="588"/>
      <c r="E16" s="171"/>
      <c r="F16" s="171"/>
      <c r="G16" s="577"/>
    </row>
    <row r="17" s="553" customFormat="1" ht="13.5" hidden="1" customHeight="1" spans="1:7">
      <c r="A17" s="587" t="s">
        <v>969</v>
      </c>
      <c r="B17" s="575" t="s">
        <v>2193</v>
      </c>
      <c r="C17" s="590"/>
      <c r="D17" s="591"/>
      <c r="E17" s="590"/>
      <c r="F17" s="590"/>
      <c r="G17" s="577" t="s">
        <v>2192</v>
      </c>
    </row>
    <row r="18" s="553" customFormat="1" ht="13.5" hidden="1" customHeight="1" spans="1:7">
      <c r="A18" s="587" t="s">
        <v>971</v>
      </c>
      <c r="B18" s="575" t="s">
        <v>2194</v>
      </c>
      <c r="C18" s="578">
        <v>0</v>
      </c>
      <c r="D18" s="588"/>
      <c r="E18" s="171"/>
      <c r="F18" s="579">
        <v>0.0305</v>
      </c>
      <c r="G18" s="577" t="s">
        <v>2195</v>
      </c>
    </row>
    <row r="19" s="554" customFormat="1" ht="13.5" customHeight="1" spans="1:7">
      <c r="A19" s="592" t="s">
        <v>2196</v>
      </c>
      <c r="B19" s="570" t="s">
        <v>2197</v>
      </c>
      <c r="C19" s="571">
        <f>IF(G19="已包含在土地取得成本中","0",ROUND(D19*E19/10000,0))</f>
        <v>378</v>
      </c>
      <c r="D19" s="593">
        <f>'数据-汇总表'!E3</f>
        <v>18907.05</v>
      </c>
      <c r="E19" s="571">
        <f>'数据-取费表'!B31</f>
        <v>200</v>
      </c>
      <c r="F19" s="594"/>
      <c r="G19" s="581" t="s">
        <v>2198</v>
      </c>
    </row>
    <row r="20" s="553" customFormat="1" ht="13.5" customHeight="1" spans="1:7">
      <c r="A20" s="592" t="s">
        <v>2199</v>
      </c>
      <c r="B20" s="570" t="s">
        <v>2200</v>
      </c>
      <c r="C20" s="595">
        <f>ROUND((C5+C19)*F20,0)</f>
        <v>420</v>
      </c>
      <c r="D20" s="595"/>
      <c r="E20" s="595"/>
      <c r="F20" s="596">
        <f>'数据-取费表'!B37</f>
        <v>0.02</v>
      </c>
      <c r="G20" s="597" t="s">
        <v>2201</v>
      </c>
    </row>
    <row r="21" s="553" customFormat="1" ht="13.5" customHeight="1" spans="1:7">
      <c r="A21" s="592" t="s">
        <v>2202</v>
      </c>
      <c r="B21" s="570" t="s">
        <v>2203</v>
      </c>
      <c r="C21" s="598">
        <f>F21</f>
        <v>0.02</v>
      </c>
      <c r="D21" s="599" t="s">
        <v>2204</v>
      </c>
      <c r="E21" s="595"/>
      <c r="F21" s="596">
        <f>'数据-取费表'!B38</f>
        <v>0.02</v>
      </c>
      <c r="G21" s="600" t="s">
        <v>2205</v>
      </c>
    </row>
    <row r="22" s="553" customFormat="1" ht="13.5" customHeight="1" spans="1:7">
      <c r="A22" s="592" t="s">
        <v>2206</v>
      </c>
      <c r="B22" s="570" t="s">
        <v>2207</v>
      </c>
      <c r="C22" s="601">
        <f ca="1">ROUND(SUM(C23:C25),0)</f>
        <v>1060</v>
      </c>
      <c r="D22" s="598">
        <f ca="1">C26</f>
        <v>0.0005</v>
      </c>
      <c r="E22" s="599" t="s">
        <v>2204</v>
      </c>
      <c r="F22" s="602">
        <f ca="1">'数据-取费表'!B40</f>
        <v>0.0415</v>
      </c>
      <c r="G22" s="597" t="str">
        <f>IF('数据-取费表'!B22&lt;=1,"单利计息","复利计息")</f>
        <v>复利计息</v>
      </c>
    </row>
    <row r="23" s="553" customFormat="1" ht="13.5" customHeight="1" spans="1:7">
      <c r="A23" s="603" t="s">
        <v>946</v>
      </c>
      <c r="B23" s="575" t="s">
        <v>2208</v>
      </c>
      <c r="C23" s="604">
        <f ca="1">ROUND(IF('数据-取费表'!B22&lt;=1,C5*F22*'数据-取费表'!B23,C5*(POWER((1+F22),'数据-取费表'!B23)-1)),0)</f>
        <v>1031</v>
      </c>
      <c r="D23" s="605"/>
      <c r="E23" s="605"/>
      <c r="F23" s="606"/>
      <c r="G23" s="607" t="s">
        <v>2209</v>
      </c>
    </row>
    <row r="24" s="553" customFormat="1" ht="13.5" customHeight="1" spans="1:7">
      <c r="A24" s="603" t="s">
        <v>948</v>
      </c>
      <c r="B24" s="575" t="s">
        <v>2210</v>
      </c>
      <c r="C24" s="604">
        <f ca="1">ROUND(IF('数据-取费表'!B22&lt;=1,C19*F22*('数据-取费表'!B19/2+'数据-取费表'!B21),C19*(POWER((1+F22),('数据-取费表'!B19/2+'数据-取费表'!B21))-1)),0)</f>
        <v>19</v>
      </c>
      <c r="D24" s="605"/>
      <c r="E24" s="605"/>
      <c r="F24" s="606"/>
      <c r="G24" s="607" t="s">
        <v>2211</v>
      </c>
    </row>
    <row r="25" s="553" customFormat="1" ht="24" spans="1:7">
      <c r="A25" s="603" t="s">
        <v>950</v>
      </c>
      <c r="B25" s="575" t="s">
        <v>2212</v>
      </c>
      <c r="C25" s="604">
        <f ca="1">ROUND(IF('数据-取费表'!B22&lt;=1,C20*F22*'数据-取费表'!B23/2,C20*(POWER((1+F22),'数据-取费表'!B23/2)-1)),0)</f>
        <v>10</v>
      </c>
      <c r="D25" s="605"/>
      <c r="E25" s="608"/>
      <c r="F25" s="606"/>
      <c r="G25" s="609" t="s">
        <v>2213</v>
      </c>
    </row>
    <row r="26" s="553" customFormat="1" spans="1:7">
      <c r="A26" s="603" t="s">
        <v>992</v>
      </c>
      <c r="B26" s="575" t="s">
        <v>2214</v>
      </c>
      <c r="C26" s="605">
        <f ca="1">ROUND(IF('数据-取费表'!B22&lt;=1,F21*F22*'数据-取费表'!B23/2,F21*(POWER((1+F22),'数据-取费表'!B23/2)-1)),4)</f>
        <v>0.0005</v>
      </c>
      <c r="D26" s="605"/>
      <c r="E26" s="608"/>
      <c r="F26" s="606"/>
      <c r="G26" s="610"/>
    </row>
    <row r="27" s="553" customFormat="1" ht="26.4" spans="1:7">
      <c r="A27" s="592" t="s">
        <v>2215</v>
      </c>
      <c r="B27" s="611" t="s">
        <v>2216</v>
      </c>
      <c r="C27" s="612">
        <f>C28</f>
        <v>1713</v>
      </c>
      <c r="D27" s="598">
        <f>C29</f>
        <v>0.0016</v>
      </c>
      <c r="E27" s="599" t="s">
        <v>2204</v>
      </c>
      <c r="F27" s="613">
        <f>'数据-取费表'!Q16</f>
        <v>0.1</v>
      </c>
      <c r="G27" s="614" t="s">
        <v>2217</v>
      </c>
    </row>
    <row r="28" s="553" customFormat="1" ht="13.5" customHeight="1" spans="1:7">
      <c r="A28" s="603" t="s">
        <v>946</v>
      </c>
      <c r="B28" s="615" t="s">
        <v>2218</v>
      </c>
      <c r="C28" s="616">
        <f>ROUND((C5+C19+C20)*F27*'数据-取费表'!B21/'数据-取费表'!B20,0)</f>
        <v>1713</v>
      </c>
      <c r="D28" s="598"/>
      <c r="E28" s="599"/>
      <c r="F28" s="613"/>
      <c r="G28" s="614"/>
    </row>
    <row r="29" s="553" customFormat="1" ht="13.5" customHeight="1" spans="1:7">
      <c r="A29" s="603" t="s">
        <v>948</v>
      </c>
      <c r="B29" s="615" t="s">
        <v>2219</v>
      </c>
      <c r="C29" s="605">
        <f>ROUND(C21*F27*'数据-取费表'!B21/'数据-取费表'!B20,4)</f>
        <v>0.0016</v>
      </c>
      <c r="D29" s="598"/>
      <c r="E29" s="599"/>
      <c r="F29" s="613"/>
      <c r="G29" s="614"/>
    </row>
    <row r="30" s="553" customFormat="1" ht="13.5" customHeight="1" spans="1:7">
      <c r="A30" s="592" t="s">
        <v>2220</v>
      </c>
      <c r="B30" s="570" t="s">
        <v>2221</v>
      </c>
      <c r="C30" s="598">
        <f>F30</f>
        <v>0.055</v>
      </c>
      <c r="D30" s="599" t="s">
        <v>2222</v>
      </c>
      <c r="E30" s="608"/>
      <c r="F30" s="602">
        <f>'数据-取费表'!B41</f>
        <v>0.055</v>
      </c>
      <c r="G30" s="600" t="s">
        <v>2223</v>
      </c>
    </row>
    <row r="31" ht="16.5" customHeight="1" spans="1:7">
      <c r="A31" s="617">
        <v>1</v>
      </c>
      <c r="B31" s="570" t="s">
        <v>2224</v>
      </c>
      <c r="C31" s="571">
        <f ca="1">ROUND((C5+C19+C20+C22+C27)/(1-C21-D22-D27-C30/(1+'数据-取费表'!B42)),0)</f>
        <v>26127</v>
      </c>
      <c r="D31" s="618"/>
      <c r="E31" s="571"/>
      <c r="F31" s="619"/>
      <c r="G31" s="600" t="s">
        <v>2225</v>
      </c>
    </row>
    <row r="32" s="552" customFormat="1" ht="15.6" spans="1:7">
      <c r="A32" s="620" t="s">
        <v>2226</v>
      </c>
      <c r="B32" s="621"/>
      <c r="C32" s="621"/>
      <c r="D32" s="621"/>
      <c r="E32" s="621"/>
      <c r="F32" s="621"/>
      <c r="G32" s="622"/>
    </row>
    <row r="33" s="553" customFormat="1" ht="13.5" customHeight="1" spans="1:7">
      <c r="A33" s="569" t="s">
        <v>942</v>
      </c>
      <c r="B33" s="570" t="s">
        <v>2227</v>
      </c>
      <c r="C33" s="623">
        <f>SUM(C34:C38)</f>
        <v>8191</v>
      </c>
      <c r="D33" s="595"/>
      <c r="E33" s="572"/>
      <c r="F33" s="608"/>
      <c r="G33" s="600"/>
    </row>
    <row r="34" s="555" customFormat="1" ht="13.5" customHeight="1" spans="1:7">
      <c r="A34" s="603" t="s">
        <v>946</v>
      </c>
      <c r="B34" s="575" t="s">
        <v>2228</v>
      </c>
      <c r="C34" s="578">
        <f>IF(F34=100%,'数据-取费表'!M16-SUMIF('数据-取费表'!C:C,"公共配套",'数据-取费表'!M:M),'数据-取费表'!O16-SUMIF('数据-取费表'!C:C,"公共配套",'数据-取费表'!O:O))</f>
        <v>7549</v>
      </c>
      <c r="D34" s="179"/>
      <c r="E34" s="578"/>
      <c r="F34" s="624">
        <f>IF('数据-取费表'!B24=0,1,'数据-取费表'!N16)</f>
        <v>0.8</v>
      </c>
      <c r="G34" s="577" t="s">
        <v>2229</v>
      </c>
    </row>
    <row r="35" ht="13.5" customHeight="1" spans="1:7">
      <c r="A35" s="603" t="s">
        <v>948</v>
      </c>
      <c r="B35" s="575" t="s">
        <v>2230</v>
      </c>
      <c r="C35" s="578">
        <f>ROUND(C34*F35,0)</f>
        <v>226</v>
      </c>
      <c r="D35" s="578"/>
      <c r="E35" s="578"/>
      <c r="F35" s="625">
        <f>'数据-取费表'!B33</f>
        <v>0.03</v>
      </c>
      <c r="G35" s="577" t="s">
        <v>2231</v>
      </c>
    </row>
    <row r="36" ht="24" spans="1:7">
      <c r="A36" s="603" t="s">
        <v>950</v>
      </c>
      <c r="B36" s="575" t="s">
        <v>2232</v>
      </c>
      <c r="C36" s="578">
        <f>ROUND(IF(SUMIF('数据-取费表'!C:C,"住宅",IF(F34=100%,'数据-取费表'!M:M,'数据-取费表'!O:O))=0,0,IF(F36=0,SUMIF('数据-取费表'!C:C,"公共配套",IF(F34=100%,'数据-取费表'!M:M,'数据-取费表'!O:O)),SUMIF('数据-取费表'!C:C,"住宅",IF(F34=100%,'数据-取费表'!M:M,'数据-取费表'!O:O))*F36)),0)</f>
        <v>0</v>
      </c>
      <c r="D36" s="578"/>
      <c r="E36" s="578"/>
      <c r="F36" s="625">
        <f>'数据-取费表'!B34</f>
        <v>0</v>
      </c>
      <c r="G36" s="626" t="s">
        <v>2233</v>
      </c>
    </row>
    <row r="37" s="555" customFormat="1" ht="13.5" customHeight="1" spans="1:7">
      <c r="A37" s="603" t="s">
        <v>992</v>
      </c>
      <c r="B37" s="575" t="s">
        <v>2234</v>
      </c>
      <c r="C37" s="616">
        <f>ROUND(E37*D37*F34/10000,0)</f>
        <v>303</v>
      </c>
      <c r="D37" s="179">
        <f>'数据-汇总表'!E3</f>
        <v>18907.05</v>
      </c>
      <c r="E37" s="616">
        <f>'数据-取费表'!B35</f>
        <v>200</v>
      </c>
      <c r="F37" s="625"/>
      <c r="G37" s="627" t="s">
        <v>2235</v>
      </c>
    </row>
    <row r="38" ht="13.5" customHeight="1" spans="1:7">
      <c r="A38" s="603" t="s">
        <v>1014</v>
      </c>
      <c r="B38" s="575" t="s">
        <v>2188</v>
      </c>
      <c r="C38" s="578">
        <f>ROUND(C34*F38,0)</f>
        <v>113</v>
      </c>
      <c r="D38" s="578"/>
      <c r="E38" s="578"/>
      <c r="F38" s="625">
        <f>'数据-取费表'!B36</f>
        <v>0.015</v>
      </c>
      <c r="G38" s="577" t="s">
        <v>2231</v>
      </c>
    </row>
    <row r="39" s="553" customFormat="1" ht="13.5" customHeight="1" spans="1:7">
      <c r="A39" s="592" t="s">
        <v>2196</v>
      </c>
      <c r="B39" s="570" t="s">
        <v>2200</v>
      </c>
      <c r="C39" s="595">
        <f>ROUND(C33*F20,0)</f>
        <v>164</v>
      </c>
      <c r="D39" s="595"/>
      <c r="E39" s="595"/>
      <c r="F39" s="596"/>
      <c r="G39" s="597" t="s">
        <v>2236</v>
      </c>
    </row>
    <row r="40" s="553" customFormat="1" ht="13.5" customHeight="1" spans="1:7">
      <c r="A40" s="592" t="s">
        <v>2199</v>
      </c>
      <c r="B40" s="570" t="s">
        <v>2203</v>
      </c>
      <c r="C40" s="628">
        <f>F21</f>
        <v>0.02</v>
      </c>
      <c r="D40" s="599" t="s">
        <v>2237</v>
      </c>
      <c r="E40" s="595"/>
      <c r="F40" s="596"/>
      <c r="G40" s="600" t="s">
        <v>2238</v>
      </c>
    </row>
    <row r="41" s="553" customFormat="1" ht="13.5" customHeight="1" spans="1:7">
      <c r="A41" s="592" t="s">
        <v>2202</v>
      </c>
      <c r="B41" s="570" t="s">
        <v>2207</v>
      </c>
      <c r="C41" s="595">
        <f ca="1">ROUND(SUM(C42:C43),0)</f>
        <v>206</v>
      </c>
      <c r="D41" s="598">
        <f ca="1">C44</f>
        <v>0.0005</v>
      </c>
      <c r="E41" s="599" t="s">
        <v>2237</v>
      </c>
      <c r="F41" s="602"/>
      <c r="G41" s="597" t="str">
        <f>IF('数据-取费表'!B22&lt;=1,"单利计息","复利计息")</f>
        <v>复利计息</v>
      </c>
    </row>
    <row r="42" ht="13.5" customHeight="1" spans="1:7">
      <c r="A42" s="603" t="s">
        <v>946</v>
      </c>
      <c r="B42" s="575" t="s">
        <v>2208</v>
      </c>
      <c r="C42" s="605">
        <f ca="1">ROUND(IF('数据-取费表'!B22&lt;=1,C33*F22*'数据-取费表'!B21/2,C33*(POWER((1+F22),'数据-取费表'!B21/2)-1)),0)</f>
        <v>202</v>
      </c>
      <c r="D42" s="605"/>
      <c r="E42" s="605"/>
      <c r="F42" s="606"/>
      <c r="G42" s="629" t="s">
        <v>2239</v>
      </c>
    </row>
    <row r="43" ht="13.5" customHeight="1" spans="1:7">
      <c r="A43" s="603" t="s">
        <v>948</v>
      </c>
      <c r="B43" s="575" t="s">
        <v>2210</v>
      </c>
      <c r="C43" s="605">
        <f ca="1">ROUND(IF('数据-取费表'!B22&lt;=1,C39*F22*'数据-取费表'!B21/2,C39*(POWER((1+F22),'数据-取费表'!B21/2)-1)),0)</f>
        <v>4</v>
      </c>
      <c r="D43" s="605"/>
      <c r="E43" s="605"/>
      <c r="F43" s="606"/>
      <c r="G43" s="630"/>
    </row>
    <row r="44" ht="13.5" customHeight="1" spans="1:7">
      <c r="A44" s="603" t="s">
        <v>950</v>
      </c>
      <c r="B44" s="575" t="s">
        <v>2212</v>
      </c>
      <c r="C44" s="605">
        <f ca="1">ROUND(IF('数据-取费表'!B22&lt;=1,C40*F22*'数据-取费表'!B21/2,C40*(POWER((1+F22),'数据-取费表'!B21/2)-1)),4)</f>
        <v>0.0005</v>
      </c>
      <c r="D44" s="605"/>
      <c r="E44" s="605"/>
      <c r="F44" s="606"/>
      <c r="G44" s="631"/>
    </row>
    <row r="45" s="553" customFormat="1" ht="13.5" customHeight="1" spans="1:7">
      <c r="A45" s="592" t="s">
        <v>2206</v>
      </c>
      <c r="B45" s="611" t="s">
        <v>2216</v>
      </c>
      <c r="C45" s="612">
        <f>C46</f>
        <v>836</v>
      </c>
      <c r="D45" s="598">
        <f>C47</f>
        <v>0.002</v>
      </c>
      <c r="E45" s="599" t="s">
        <v>2237</v>
      </c>
      <c r="F45" s="613"/>
      <c r="G45" s="614" t="s">
        <v>2240</v>
      </c>
    </row>
    <row r="46" s="553" customFormat="1" ht="13.5" customHeight="1" spans="1:7">
      <c r="A46" s="603" t="s">
        <v>946</v>
      </c>
      <c r="B46" s="615" t="s">
        <v>2241</v>
      </c>
      <c r="C46" s="616">
        <f>ROUND((C33+C39)*F27,0)</f>
        <v>836</v>
      </c>
      <c r="D46" s="632"/>
      <c r="E46" s="599"/>
      <c r="F46" s="613"/>
      <c r="G46" s="614"/>
    </row>
    <row r="47" s="553" customFormat="1" ht="13.5" customHeight="1" spans="1:7">
      <c r="A47" s="603" t="s">
        <v>948</v>
      </c>
      <c r="B47" s="615" t="s">
        <v>2242</v>
      </c>
      <c r="C47" s="605">
        <f>ROUND(C40*F27,4)</f>
        <v>0.002</v>
      </c>
      <c r="D47" s="632"/>
      <c r="E47" s="599"/>
      <c r="F47" s="613"/>
      <c r="G47" s="614"/>
    </row>
    <row r="48" s="553" customFormat="1" ht="13.5" customHeight="1" spans="1:7">
      <c r="A48" s="592" t="s">
        <v>2215</v>
      </c>
      <c r="B48" s="570" t="s">
        <v>2221</v>
      </c>
      <c r="C48" s="628">
        <f>F30</f>
        <v>0.055</v>
      </c>
      <c r="D48" s="599" t="s">
        <v>2243</v>
      </c>
      <c r="E48" s="595"/>
      <c r="F48" s="602"/>
      <c r="G48" s="600" t="s">
        <v>2244</v>
      </c>
    </row>
    <row r="49" ht="16.5" customHeight="1" spans="1:7">
      <c r="A49" s="592" t="s">
        <v>2220</v>
      </c>
      <c r="B49" s="570" t="s">
        <v>2245</v>
      </c>
      <c r="C49" s="595">
        <f ca="1">ROUND((C33+C39+C41+C45)/(1-C40-D41-D45-C48/(1+'数据-取费表'!B42)),0)</f>
        <v>10158</v>
      </c>
      <c r="D49" s="595"/>
      <c r="E49" s="595"/>
      <c r="F49" s="633"/>
      <c r="G49" s="600" t="s">
        <v>2246</v>
      </c>
    </row>
    <row r="50" s="555" customFormat="1" ht="24" spans="1:7">
      <c r="A50" s="592" t="s">
        <v>2247</v>
      </c>
      <c r="B50" s="570" t="s">
        <v>2248</v>
      </c>
      <c r="C50" s="595"/>
      <c r="D50" s="595"/>
      <c r="E50" s="595"/>
      <c r="F50" s="633">
        <f>IF('数据-取费表'!B24=0,'数据-取费表'!N16,1)</f>
        <v>1</v>
      </c>
      <c r="G50" s="614" t="s">
        <v>2249</v>
      </c>
    </row>
    <row r="51" ht="16.5" customHeight="1" spans="1:7">
      <c r="A51" s="592" t="s">
        <v>2250</v>
      </c>
      <c r="B51" s="570" t="s">
        <v>2251</v>
      </c>
      <c r="C51" s="595">
        <f ca="1">ROUND(C49*F50,0)</f>
        <v>10158</v>
      </c>
      <c r="D51" s="595"/>
      <c r="E51" s="595"/>
      <c r="F51" s="633"/>
      <c r="G51" s="600" t="s">
        <v>2252</v>
      </c>
    </row>
    <row r="52" s="552" customFormat="1" ht="16.35" spans="1:7">
      <c r="A52" s="634" t="s">
        <v>2253</v>
      </c>
      <c r="B52" s="635"/>
      <c r="C52" s="636">
        <f ca="1">C31+C51</f>
        <v>36285</v>
      </c>
      <c r="D52" s="635"/>
      <c r="E52" s="635"/>
      <c r="F52" s="635"/>
      <c r="G52" s="637"/>
    </row>
    <row r="55" ht="15" spans="2:3">
      <c r="B55" s="638" t="s">
        <v>2254</v>
      </c>
      <c r="C55" s="639"/>
    </row>
    <row r="56" spans="2:3">
      <c r="B56" s="640" t="s">
        <v>2255</v>
      </c>
      <c r="C56" s="641">
        <f ca="1">ROUND(C51/C52,3)</f>
        <v>0.28</v>
      </c>
    </row>
    <row r="57" spans="2:3">
      <c r="B57" s="640" t="s">
        <v>2256</v>
      </c>
      <c r="C57" s="642">
        <f ca="1">1-C56</f>
        <v>0.72</v>
      </c>
    </row>
  </sheetData>
  <mergeCells count="1">
    <mergeCell ref="G42:G44"/>
  </mergeCells>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344"/>
  <sheetViews>
    <sheetView workbookViewId="0">
      <selection activeCell="G224" sqref="G224"/>
    </sheetView>
  </sheetViews>
  <sheetFormatPr defaultColWidth="9" defaultRowHeight="14.4"/>
  <cols>
    <col min="1" max="1" width="12.6666666666667" style="497" customWidth="1"/>
    <col min="2" max="5" width="10.2222222222222" style="498" customWidth="1"/>
    <col min="6" max="6" width="9" style="498"/>
    <col min="7" max="8" width="9" style="529"/>
    <col min="9" max="16384" width="9" style="498"/>
  </cols>
  <sheetData>
    <row r="1" spans="1:19">
      <c r="A1" s="499" t="s">
        <v>2257</v>
      </c>
      <c r="B1" s="499"/>
      <c r="C1" s="499"/>
      <c r="D1" s="499"/>
      <c r="E1" s="499"/>
      <c r="F1" s="499"/>
      <c r="H1" s="530" t="s">
        <v>230</v>
      </c>
      <c r="I1" s="547" t="s">
        <v>241</v>
      </c>
      <c r="J1" s="547" t="s">
        <v>251</v>
      </c>
      <c r="K1" s="547" t="s">
        <v>259</v>
      </c>
      <c r="L1" s="547" t="s">
        <v>267</v>
      </c>
      <c r="M1" s="547" t="s">
        <v>273</v>
      </c>
      <c r="N1" s="547" t="s">
        <v>278</v>
      </c>
      <c r="O1" s="547" t="s">
        <v>283</v>
      </c>
      <c r="P1" s="547" t="s">
        <v>286</v>
      </c>
      <c r="Q1" s="547" t="s">
        <v>289</v>
      </c>
      <c r="R1" s="547" t="s">
        <v>292</v>
      </c>
      <c r="S1" s="548" t="s">
        <v>295</v>
      </c>
    </row>
    <row r="2" ht="15.15" spans="1:19">
      <c r="A2" s="531" t="s">
        <v>2258</v>
      </c>
      <c r="B2" s="531"/>
      <c r="C2" s="531"/>
      <c r="D2" s="531"/>
      <c r="E2" s="531"/>
      <c r="F2" s="531"/>
      <c r="H2" s="532" t="s">
        <v>2259</v>
      </c>
      <c r="I2" s="507" t="s">
        <v>2260</v>
      </c>
      <c r="J2" s="507" t="s">
        <v>2261</v>
      </c>
      <c r="K2" s="507" t="s">
        <v>2262</v>
      </c>
      <c r="L2" s="507" t="s">
        <v>2263</v>
      </c>
      <c r="M2" s="507" t="s">
        <v>2264</v>
      </c>
      <c r="N2" s="507" t="s">
        <v>2265</v>
      </c>
      <c r="O2" s="507" t="s">
        <v>2266</v>
      </c>
      <c r="P2" s="507" t="s">
        <v>2267</v>
      </c>
      <c r="Q2" s="507" t="s">
        <v>2268</v>
      </c>
      <c r="R2" s="507" t="s">
        <v>2269</v>
      </c>
      <c r="S2" s="507" t="s">
        <v>2270</v>
      </c>
    </row>
    <row r="3" s="528" customFormat="1" ht="19.5" customHeight="1" spans="1:19">
      <c r="A3" s="533" t="s">
        <v>2271</v>
      </c>
      <c r="B3" s="534"/>
      <c r="C3" s="535" t="s">
        <v>1796</v>
      </c>
      <c r="D3" s="535" t="s">
        <v>1797</v>
      </c>
      <c r="E3" s="535" t="s">
        <v>1798</v>
      </c>
      <c r="F3" s="535" t="s">
        <v>454</v>
      </c>
      <c r="G3" s="536"/>
      <c r="H3" s="532" t="s">
        <v>2272</v>
      </c>
      <c r="I3" s="507" t="s">
        <v>2273</v>
      </c>
      <c r="J3" s="507" t="s">
        <v>2274</v>
      </c>
      <c r="K3" s="507" t="s">
        <v>2275</v>
      </c>
      <c r="L3" s="507" t="s">
        <v>2276</v>
      </c>
      <c r="M3" s="507" t="s">
        <v>2277</v>
      </c>
      <c r="N3" s="507" t="s">
        <v>2278</v>
      </c>
      <c r="O3" s="507" t="s">
        <v>2279</v>
      </c>
      <c r="P3" s="507" t="s">
        <v>2280</v>
      </c>
      <c r="Q3" s="507" t="s">
        <v>2281</v>
      </c>
      <c r="R3" s="507" t="s">
        <v>2282</v>
      </c>
      <c r="S3" s="507" t="s">
        <v>2283</v>
      </c>
    </row>
    <row r="4" s="528" customFormat="1" ht="19.5" customHeight="1" spans="1:19">
      <c r="A4" s="537"/>
      <c r="B4" s="538" t="s">
        <v>2284</v>
      </c>
      <c r="C4" s="538" t="s">
        <v>2285</v>
      </c>
      <c r="D4" s="538" t="s">
        <v>2285</v>
      </c>
      <c r="E4" s="538" t="s">
        <v>2285</v>
      </c>
      <c r="F4" s="539" t="s">
        <v>2285</v>
      </c>
      <c r="G4" s="536"/>
      <c r="H4" s="532" t="s">
        <v>2286</v>
      </c>
      <c r="I4" s="507" t="s">
        <v>2287</v>
      </c>
      <c r="J4" s="507" t="s">
        <v>2288</v>
      </c>
      <c r="K4" s="507" t="s">
        <v>2289</v>
      </c>
      <c r="L4" s="507" t="s">
        <v>2290</v>
      </c>
      <c r="M4" s="507" t="s">
        <v>2291</v>
      </c>
      <c r="N4" s="507" t="s">
        <v>2292</v>
      </c>
      <c r="O4" s="507" t="s">
        <v>2293</v>
      </c>
      <c r="P4" s="507" t="s">
        <v>2294</v>
      </c>
      <c r="Q4" s="507" t="s">
        <v>2295</v>
      </c>
      <c r="R4" s="507" t="s">
        <v>2296</v>
      </c>
      <c r="S4" s="507" t="s">
        <v>2297</v>
      </c>
    </row>
    <row r="5" ht="14.25" customHeight="1" spans="1:19">
      <c r="A5" s="503" t="s">
        <v>230</v>
      </c>
      <c r="B5" s="504" t="s">
        <v>2259</v>
      </c>
      <c r="C5" s="504">
        <v>29530</v>
      </c>
      <c r="D5" s="504">
        <v>28130</v>
      </c>
      <c r="E5" s="504">
        <v>27930</v>
      </c>
      <c r="F5" s="540">
        <v>11300</v>
      </c>
      <c r="G5" s="536"/>
      <c r="H5" s="532" t="s">
        <v>2298</v>
      </c>
      <c r="I5" s="507" t="s">
        <v>2299</v>
      </c>
      <c r="J5" s="507" t="s">
        <v>2300</v>
      </c>
      <c r="K5" s="507" t="s">
        <v>2301</v>
      </c>
      <c r="L5" s="507" t="s">
        <v>2302</v>
      </c>
      <c r="M5" s="507" t="s">
        <v>2303</v>
      </c>
      <c r="N5" s="507" t="s">
        <v>2304</v>
      </c>
      <c r="O5" s="507" t="s">
        <v>2305</v>
      </c>
      <c r="P5" s="507" t="s">
        <v>2306</v>
      </c>
      <c r="Q5" s="507" t="s">
        <v>2307</v>
      </c>
      <c r="R5" s="507" t="s">
        <v>2308</v>
      </c>
      <c r="S5" s="507" t="s">
        <v>2309</v>
      </c>
    </row>
    <row r="6" ht="14.25" customHeight="1" spans="1:19">
      <c r="A6" s="503" t="s">
        <v>230</v>
      </c>
      <c r="B6" s="507" t="s">
        <v>2272</v>
      </c>
      <c r="C6" s="507">
        <v>30290</v>
      </c>
      <c r="D6" s="507">
        <v>29210</v>
      </c>
      <c r="E6" s="507">
        <v>28860</v>
      </c>
      <c r="F6" s="541">
        <v>12600</v>
      </c>
      <c r="G6" s="536"/>
      <c r="H6" s="532" t="s">
        <v>2310</v>
      </c>
      <c r="I6" s="507" t="s">
        <v>2311</v>
      </c>
      <c r="J6" s="507" t="s">
        <v>2312</v>
      </c>
      <c r="K6" s="507" t="s">
        <v>2313</v>
      </c>
      <c r="L6" s="507" t="s">
        <v>2314</v>
      </c>
      <c r="M6" s="507" t="s">
        <v>2315</v>
      </c>
      <c r="N6" s="507" t="s">
        <v>2316</v>
      </c>
      <c r="O6" s="507" t="s">
        <v>2317</v>
      </c>
      <c r="P6" s="507" t="s">
        <v>2318</v>
      </c>
      <c r="Q6" s="507" t="s">
        <v>2319</v>
      </c>
      <c r="R6" s="507" t="s">
        <v>2320</v>
      </c>
      <c r="S6" s="507" t="s">
        <v>2321</v>
      </c>
    </row>
    <row r="7" ht="14.25" customHeight="1" spans="1:19">
      <c r="A7" s="503" t="s">
        <v>230</v>
      </c>
      <c r="B7" s="510" t="s">
        <v>2286</v>
      </c>
      <c r="C7" s="507">
        <v>29350</v>
      </c>
      <c r="D7" s="507">
        <v>28410</v>
      </c>
      <c r="E7" s="507">
        <v>27990</v>
      </c>
      <c r="F7" s="541">
        <v>12300</v>
      </c>
      <c r="G7" s="536"/>
      <c r="I7" s="507" t="s">
        <v>2322</v>
      </c>
      <c r="J7" s="507" t="s">
        <v>2323</v>
      </c>
      <c r="K7" s="507" t="s">
        <v>2324</v>
      </c>
      <c r="L7" s="507" t="s">
        <v>2325</v>
      </c>
      <c r="M7" s="507" t="s">
        <v>2326</v>
      </c>
      <c r="N7" s="507" t="s">
        <v>2327</v>
      </c>
      <c r="O7" s="507" t="s">
        <v>2328</v>
      </c>
      <c r="P7" s="507" t="s">
        <v>2329</v>
      </c>
      <c r="Q7" s="507" t="s">
        <v>2330</v>
      </c>
      <c r="R7" s="507" t="s">
        <v>2331</v>
      </c>
      <c r="S7" s="510" t="s">
        <v>2332</v>
      </c>
    </row>
    <row r="8" ht="14.25" customHeight="1" spans="1:19">
      <c r="A8" s="503" t="s">
        <v>230</v>
      </c>
      <c r="B8" s="507" t="s">
        <v>2298</v>
      </c>
      <c r="C8" s="507">
        <v>30890</v>
      </c>
      <c r="D8" s="507">
        <v>29780</v>
      </c>
      <c r="E8" s="507">
        <v>29270</v>
      </c>
      <c r="F8" s="541">
        <v>11600</v>
      </c>
      <c r="G8" s="536"/>
      <c r="I8" s="507" t="s">
        <v>2333</v>
      </c>
      <c r="J8" s="507" t="s">
        <v>2334</v>
      </c>
      <c r="K8" s="507" t="s">
        <v>2335</v>
      </c>
      <c r="L8" s="507" t="s">
        <v>2336</v>
      </c>
      <c r="M8" s="507" t="s">
        <v>2337</v>
      </c>
      <c r="N8" s="507" t="s">
        <v>2338</v>
      </c>
      <c r="O8" s="507" t="s">
        <v>2339</v>
      </c>
      <c r="P8" s="507" t="s">
        <v>2340</v>
      </c>
      <c r="Q8" s="507" t="s">
        <v>2341</v>
      </c>
      <c r="R8" s="507" t="s">
        <v>2342</v>
      </c>
      <c r="S8" s="507" t="s">
        <v>2343</v>
      </c>
    </row>
    <row r="9" ht="14.25" customHeight="1" spans="1:18">
      <c r="A9" s="503" t="s">
        <v>230</v>
      </c>
      <c r="B9" s="512" t="s">
        <v>2310</v>
      </c>
      <c r="C9" s="518">
        <v>28140</v>
      </c>
      <c r="D9" s="518"/>
      <c r="E9" s="518"/>
      <c r="F9" s="542"/>
      <c r="G9" s="536"/>
      <c r="I9" s="507" t="s">
        <v>2344</v>
      </c>
      <c r="J9" s="507" t="s">
        <v>2345</v>
      </c>
      <c r="K9" s="507" t="s">
        <v>2346</v>
      </c>
      <c r="L9" s="507" t="s">
        <v>2347</v>
      </c>
      <c r="M9" s="507" t="s">
        <v>2348</v>
      </c>
      <c r="N9" s="507" t="s">
        <v>2349</v>
      </c>
      <c r="O9" s="507" t="s">
        <v>2350</v>
      </c>
      <c r="P9" s="507" t="s">
        <v>2351</v>
      </c>
      <c r="Q9" s="507" t="s">
        <v>2352</v>
      </c>
      <c r="R9" s="507" t="s">
        <v>2353</v>
      </c>
    </row>
    <row r="10" ht="14.25" customHeight="1" spans="1:18">
      <c r="A10" s="503" t="s">
        <v>241</v>
      </c>
      <c r="B10" s="504" t="s">
        <v>2260</v>
      </c>
      <c r="C10" s="504">
        <v>27450</v>
      </c>
      <c r="D10" s="504">
        <v>26180</v>
      </c>
      <c r="E10" s="504">
        <v>25980</v>
      </c>
      <c r="F10" s="540">
        <v>8910</v>
      </c>
      <c r="G10" s="536"/>
      <c r="I10" s="507" t="s">
        <v>2354</v>
      </c>
      <c r="J10" s="507" t="s">
        <v>2355</v>
      </c>
      <c r="K10" s="507" t="s">
        <v>2356</v>
      </c>
      <c r="L10" s="507" t="s">
        <v>2357</v>
      </c>
      <c r="M10" s="507" t="s">
        <v>2358</v>
      </c>
      <c r="N10" s="507" t="s">
        <v>2359</v>
      </c>
      <c r="O10" s="507" t="s">
        <v>2360</v>
      </c>
      <c r="P10" s="507" t="s">
        <v>2361</v>
      </c>
      <c r="Q10" s="507" t="s">
        <v>2362</v>
      </c>
      <c r="R10" s="507" t="s">
        <v>2363</v>
      </c>
    </row>
    <row r="11" ht="14.25" customHeight="1" spans="1:18">
      <c r="A11" s="503" t="s">
        <v>241</v>
      </c>
      <c r="B11" s="510" t="s">
        <v>2273</v>
      </c>
      <c r="C11" s="507">
        <v>22950</v>
      </c>
      <c r="D11" s="507">
        <v>22630</v>
      </c>
      <c r="E11" s="507">
        <v>22030</v>
      </c>
      <c r="F11" s="543">
        <v>8330</v>
      </c>
      <c r="G11" s="536"/>
      <c r="I11" s="507" t="s">
        <v>2364</v>
      </c>
      <c r="J11" s="507" t="s">
        <v>2365</v>
      </c>
      <c r="K11" s="507" t="s">
        <v>2366</v>
      </c>
      <c r="L11" s="507" t="s">
        <v>2367</v>
      </c>
      <c r="M11" s="507" t="s">
        <v>2368</v>
      </c>
      <c r="N11" s="507" t="s">
        <v>2369</v>
      </c>
      <c r="O11" s="507" t="s">
        <v>2370</v>
      </c>
      <c r="P11" s="507" t="s">
        <v>2371</v>
      </c>
      <c r="Q11" s="507" t="s">
        <v>2372</v>
      </c>
      <c r="R11" s="507" t="s">
        <v>2373</v>
      </c>
    </row>
    <row r="12" ht="14.25" customHeight="1" spans="1:18">
      <c r="A12" s="503" t="s">
        <v>241</v>
      </c>
      <c r="B12" s="510" t="s">
        <v>2287</v>
      </c>
      <c r="C12" s="507">
        <v>24940</v>
      </c>
      <c r="D12" s="507">
        <v>23180</v>
      </c>
      <c r="E12" s="507">
        <v>22910</v>
      </c>
      <c r="F12" s="543">
        <v>7180</v>
      </c>
      <c r="G12" s="536"/>
      <c r="I12" s="507" t="s">
        <v>2374</v>
      </c>
      <c r="J12" s="507" t="s">
        <v>2375</v>
      </c>
      <c r="K12" s="507" t="s">
        <v>2376</v>
      </c>
      <c r="L12" s="507" t="s">
        <v>2377</v>
      </c>
      <c r="M12" s="507" t="s">
        <v>2378</v>
      </c>
      <c r="N12" s="507" t="s">
        <v>2379</v>
      </c>
      <c r="O12" s="507" t="s">
        <v>2380</v>
      </c>
      <c r="P12" s="507" t="s">
        <v>2381</v>
      </c>
      <c r="Q12" s="507" t="s">
        <v>2382</v>
      </c>
      <c r="R12" s="507" t="s">
        <v>2383</v>
      </c>
    </row>
    <row r="13" ht="14.25" customHeight="1" spans="1:18">
      <c r="A13" s="503" t="s">
        <v>241</v>
      </c>
      <c r="B13" s="510" t="s">
        <v>2299</v>
      </c>
      <c r="C13" s="507">
        <v>24140</v>
      </c>
      <c r="D13" s="507">
        <v>22270</v>
      </c>
      <c r="E13" s="507">
        <v>21950</v>
      </c>
      <c r="F13" s="543">
        <v>7600</v>
      </c>
      <c r="G13" s="536"/>
      <c r="I13" s="507" t="s">
        <v>2384</v>
      </c>
      <c r="J13" s="507" t="s">
        <v>2385</v>
      </c>
      <c r="K13" s="507" t="s">
        <v>2386</v>
      </c>
      <c r="L13" s="507" t="s">
        <v>2387</v>
      </c>
      <c r="M13" s="507" t="s">
        <v>2388</v>
      </c>
      <c r="N13" s="507" t="s">
        <v>2389</v>
      </c>
      <c r="O13" s="507" t="s">
        <v>2390</v>
      </c>
      <c r="P13" s="507" t="s">
        <v>2391</v>
      </c>
      <c r="Q13" s="507" t="s">
        <v>2392</v>
      </c>
      <c r="R13" s="507" t="s">
        <v>2393</v>
      </c>
    </row>
    <row r="14" ht="14.25" customHeight="1" spans="1:18">
      <c r="A14" s="503" t="s">
        <v>241</v>
      </c>
      <c r="B14" s="510" t="s">
        <v>2311</v>
      </c>
      <c r="C14" s="507">
        <v>25600</v>
      </c>
      <c r="D14" s="507">
        <v>22260</v>
      </c>
      <c r="E14" s="507">
        <v>22110</v>
      </c>
      <c r="F14" s="543">
        <v>7630</v>
      </c>
      <c r="G14" s="536"/>
      <c r="I14" s="507" t="s">
        <v>2394</v>
      </c>
      <c r="J14" s="507" t="s">
        <v>2395</v>
      </c>
      <c r="K14" s="507" t="s">
        <v>2396</v>
      </c>
      <c r="L14" s="507" t="s">
        <v>2397</v>
      </c>
      <c r="M14" s="507" t="s">
        <v>2398</v>
      </c>
      <c r="N14" s="507" t="s">
        <v>2399</v>
      </c>
      <c r="O14" s="507" t="s">
        <v>2400</v>
      </c>
      <c r="P14" s="507" t="s">
        <v>2401</v>
      </c>
      <c r="Q14" s="507" t="s">
        <v>2402</v>
      </c>
      <c r="R14" s="507" t="s">
        <v>2403</v>
      </c>
    </row>
    <row r="15" ht="14.25" customHeight="1" spans="1:18">
      <c r="A15" s="503" t="s">
        <v>241</v>
      </c>
      <c r="B15" s="510" t="s">
        <v>2322</v>
      </c>
      <c r="C15" s="507">
        <v>24760</v>
      </c>
      <c r="D15" s="507">
        <v>24440</v>
      </c>
      <c r="E15" s="507">
        <v>24130</v>
      </c>
      <c r="F15" s="543">
        <v>9480</v>
      </c>
      <c r="G15" s="536"/>
      <c r="I15" s="507" t="s">
        <v>2404</v>
      </c>
      <c r="J15" s="507" t="s">
        <v>2405</v>
      </c>
      <c r="K15" s="507" t="s">
        <v>2406</v>
      </c>
      <c r="L15" s="507" t="s">
        <v>2407</v>
      </c>
      <c r="M15" s="507" t="s">
        <v>2408</v>
      </c>
      <c r="N15" s="507" t="s">
        <v>2409</v>
      </c>
      <c r="O15" s="507" t="s">
        <v>2410</v>
      </c>
      <c r="P15" s="507" t="s">
        <v>2411</v>
      </c>
      <c r="Q15" s="507" t="s">
        <v>2412</v>
      </c>
      <c r="R15" s="507" t="s">
        <v>2413</v>
      </c>
    </row>
    <row r="16" ht="14.25" customHeight="1" spans="1:18">
      <c r="A16" s="503" t="s">
        <v>241</v>
      </c>
      <c r="B16" s="510" t="s">
        <v>2333</v>
      </c>
      <c r="C16" s="507">
        <v>22220</v>
      </c>
      <c r="D16" s="507">
        <v>22310</v>
      </c>
      <c r="E16" s="507">
        <v>22000</v>
      </c>
      <c r="F16" s="543">
        <v>8900</v>
      </c>
      <c r="G16" s="536"/>
      <c r="I16" s="507" t="s">
        <v>2414</v>
      </c>
      <c r="J16" s="507" t="s">
        <v>2415</v>
      </c>
      <c r="K16" s="507" t="s">
        <v>2416</v>
      </c>
      <c r="L16" s="507" t="s">
        <v>2417</v>
      </c>
      <c r="M16" s="507" t="s">
        <v>2418</v>
      </c>
      <c r="N16" s="507" t="s">
        <v>2419</v>
      </c>
      <c r="O16" s="507" t="s">
        <v>2420</v>
      </c>
      <c r="P16" s="507" t="s">
        <v>2421</v>
      </c>
      <c r="Q16" s="507" t="s">
        <v>2422</v>
      </c>
      <c r="R16" s="507" t="s">
        <v>2423</v>
      </c>
    </row>
    <row r="17" ht="14.25" customHeight="1" spans="1:18">
      <c r="A17" s="503" t="s">
        <v>241</v>
      </c>
      <c r="B17" s="510" t="s">
        <v>2344</v>
      </c>
      <c r="C17" s="507">
        <v>24700</v>
      </c>
      <c r="D17" s="507">
        <v>25150</v>
      </c>
      <c r="E17" s="507">
        <v>24700</v>
      </c>
      <c r="F17" s="544"/>
      <c r="G17" s="536"/>
      <c r="I17" s="507" t="s">
        <v>2424</v>
      </c>
      <c r="J17" s="507" t="s">
        <v>2425</v>
      </c>
      <c r="K17" s="507" t="s">
        <v>2426</v>
      </c>
      <c r="L17" s="507" t="s">
        <v>2427</v>
      </c>
      <c r="M17" s="507" t="s">
        <v>2428</v>
      </c>
      <c r="N17" s="507" t="s">
        <v>2429</v>
      </c>
      <c r="O17" s="507" t="s">
        <v>2430</v>
      </c>
      <c r="P17" s="507" t="s">
        <v>2431</v>
      </c>
      <c r="Q17" s="507" t="s">
        <v>2432</v>
      </c>
      <c r="R17" s="507" t="s">
        <v>2433</v>
      </c>
    </row>
    <row r="18" ht="14.25" customHeight="1" spans="1:18">
      <c r="A18" s="503" t="s">
        <v>241</v>
      </c>
      <c r="B18" s="510" t="s">
        <v>2354</v>
      </c>
      <c r="C18" s="507">
        <v>22350</v>
      </c>
      <c r="D18" s="507">
        <v>24340</v>
      </c>
      <c r="E18" s="507">
        <v>24100</v>
      </c>
      <c r="F18" s="544"/>
      <c r="G18" s="536"/>
      <c r="I18" s="507" t="s">
        <v>2434</v>
      </c>
      <c r="J18" s="507" t="s">
        <v>2435</v>
      </c>
      <c r="K18" s="507" t="s">
        <v>2436</v>
      </c>
      <c r="L18" s="507" t="s">
        <v>2437</v>
      </c>
      <c r="M18" s="507" t="s">
        <v>2438</v>
      </c>
      <c r="N18" s="507" t="s">
        <v>2439</v>
      </c>
      <c r="O18" s="507" t="s">
        <v>2440</v>
      </c>
      <c r="P18" s="507" t="s">
        <v>2441</v>
      </c>
      <c r="Q18" s="507" t="s">
        <v>2442</v>
      </c>
      <c r="R18" s="507" t="s">
        <v>2443</v>
      </c>
    </row>
    <row r="19" ht="14.25" customHeight="1" spans="1:18">
      <c r="A19" s="503" t="s">
        <v>241</v>
      </c>
      <c r="B19" s="510" t="s">
        <v>2364</v>
      </c>
      <c r="C19" s="507">
        <v>23430</v>
      </c>
      <c r="D19" s="507">
        <v>21580</v>
      </c>
      <c r="E19" s="507">
        <v>21350</v>
      </c>
      <c r="F19" s="544"/>
      <c r="G19" s="536"/>
      <c r="I19" s="507" t="s">
        <v>2444</v>
      </c>
      <c r="J19" s="507" t="s">
        <v>2445</v>
      </c>
      <c r="K19" s="507" t="s">
        <v>2446</v>
      </c>
      <c r="L19" s="507" t="s">
        <v>2447</v>
      </c>
      <c r="M19" s="507" t="s">
        <v>2448</v>
      </c>
      <c r="N19" s="507" t="s">
        <v>2449</v>
      </c>
      <c r="O19" s="507" t="s">
        <v>2450</v>
      </c>
      <c r="P19" s="507" t="s">
        <v>2451</v>
      </c>
      <c r="Q19" s="507" t="s">
        <v>2452</v>
      </c>
      <c r="R19" s="507" t="s">
        <v>2453</v>
      </c>
    </row>
    <row r="20" ht="14.25" customHeight="1" spans="1:18">
      <c r="A20" s="503" t="s">
        <v>241</v>
      </c>
      <c r="B20" s="510" t="s">
        <v>2374</v>
      </c>
      <c r="C20" s="507">
        <v>27660</v>
      </c>
      <c r="D20" s="507">
        <v>24240</v>
      </c>
      <c r="E20" s="507">
        <v>24020</v>
      </c>
      <c r="F20" s="544"/>
      <c r="I20" s="507" t="s">
        <v>2454</v>
      </c>
      <c r="J20" s="507" t="s">
        <v>2455</v>
      </c>
      <c r="K20" s="507" t="s">
        <v>2456</v>
      </c>
      <c r="L20" s="507" t="s">
        <v>2457</v>
      </c>
      <c r="M20" s="507" t="s">
        <v>2458</v>
      </c>
      <c r="N20" s="507" t="s">
        <v>2459</v>
      </c>
      <c r="O20" s="507" t="s">
        <v>2460</v>
      </c>
      <c r="P20" s="507" t="s">
        <v>2461</v>
      </c>
      <c r="Q20" s="507" t="s">
        <v>2462</v>
      </c>
      <c r="R20" s="507" t="s">
        <v>2463</v>
      </c>
    </row>
    <row r="21" ht="14.25" customHeight="1" spans="1:18">
      <c r="A21" s="503" t="s">
        <v>241</v>
      </c>
      <c r="B21" s="510" t="s">
        <v>2384</v>
      </c>
      <c r="C21" s="507">
        <v>24720</v>
      </c>
      <c r="D21" s="507">
        <v>21670</v>
      </c>
      <c r="E21" s="507">
        <v>21510</v>
      </c>
      <c r="F21" s="544"/>
      <c r="J21" s="507" t="s">
        <v>2464</v>
      </c>
      <c r="K21" s="507" t="s">
        <v>2465</v>
      </c>
      <c r="L21" s="507" t="s">
        <v>2466</v>
      </c>
      <c r="M21" s="507" t="s">
        <v>2467</v>
      </c>
      <c r="N21" s="507" t="s">
        <v>2468</v>
      </c>
      <c r="O21" s="507" t="s">
        <v>2469</v>
      </c>
      <c r="P21" s="507" t="s">
        <v>2470</v>
      </c>
      <c r="Q21" s="507" t="s">
        <v>2471</v>
      </c>
      <c r="R21" s="507" t="s">
        <v>2472</v>
      </c>
    </row>
    <row r="22" ht="14.25" customHeight="1" spans="1:18">
      <c r="A22" s="503" t="s">
        <v>241</v>
      </c>
      <c r="B22" s="510" t="s">
        <v>2394</v>
      </c>
      <c r="C22" s="507">
        <v>26530</v>
      </c>
      <c r="D22" s="507">
        <v>22980</v>
      </c>
      <c r="E22" s="507">
        <v>22650</v>
      </c>
      <c r="F22" s="544"/>
      <c r="K22" s="507" t="s">
        <v>2473</v>
      </c>
      <c r="L22" s="507" t="s">
        <v>2474</v>
      </c>
      <c r="M22" s="507" t="s">
        <v>2475</v>
      </c>
      <c r="N22" s="507" t="s">
        <v>2476</v>
      </c>
      <c r="O22" s="507" t="s">
        <v>2477</v>
      </c>
      <c r="P22" s="507" t="s">
        <v>2478</v>
      </c>
      <c r="Q22" s="507" t="s">
        <v>2479</v>
      </c>
      <c r="R22" s="510" t="s">
        <v>2480</v>
      </c>
    </row>
    <row r="23" ht="14.25" customHeight="1" spans="1:17">
      <c r="A23" s="503" t="s">
        <v>241</v>
      </c>
      <c r="B23" s="510" t="s">
        <v>2404</v>
      </c>
      <c r="C23" s="507">
        <v>24700</v>
      </c>
      <c r="D23" s="507">
        <v>27290</v>
      </c>
      <c r="E23" s="507">
        <v>26710</v>
      </c>
      <c r="F23" s="544"/>
      <c r="K23" s="507" t="s">
        <v>2481</v>
      </c>
      <c r="L23" s="507" t="s">
        <v>2482</v>
      </c>
      <c r="M23" s="507" t="s">
        <v>2483</v>
      </c>
      <c r="N23" s="507" t="s">
        <v>2484</v>
      </c>
      <c r="O23" s="507" t="s">
        <v>2485</v>
      </c>
      <c r="P23" s="507" t="s">
        <v>2486</v>
      </c>
      <c r="Q23" s="507" t="s">
        <v>2487</v>
      </c>
    </row>
    <row r="24" ht="14.25" customHeight="1" spans="1:17">
      <c r="A24" s="503" t="s">
        <v>241</v>
      </c>
      <c r="B24" s="510" t="s">
        <v>2414</v>
      </c>
      <c r="C24" s="507">
        <v>23070</v>
      </c>
      <c r="D24" s="507">
        <v>24130</v>
      </c>
      <c r="E24" s="507">
        <v>23860</v>
      </c>
      <c r="F24" s="544"/>
      <c r="K24" s="507" t="s">
        <v>2488</v>
      </c>
      <c r="L24" s="507" t="s">
        <v>2489</v>
      </c>
      <c r="M24" s="507" t="s">
        <v>2490</v>
      </c>
      <c r="N24" s="507" t="s">
        <v>2491</v>
      </c>
      <c r="O24" s="507" t="s">
        <v>2492</v>
      </c>
      <c r="P24" s="507" t="s">
        <v>2493</v>
      </c>
      <c r="Q24" s="507" t="s">
        <v>2494</v>
      </c>
    </row>
    <row r="25" ht="14.25" customHeight="1" spans="1:17">
      <c r="A25" s="503" t="s">
        <v>241</v>
      </c>
      <c r="B25" s="510" t="s">
        <v>2424</v>
      </c>
      <c r="C25" s="507">
        <v>27550</v>
      </c>
      <c r="D25" s="507">
        <v>25850</v>
      </c>
      <c r="E25" s="507">
        <v>25340</v>
      </c>
      <c r="F25" s="544"/>
      <c r="K25" s="507" t="s">
        <v>2495</v>
      </c>
      <c r="L25" s="507" t="s">
        <v>2496</v>
      </c>
      <c r="M25" s="507" t="s">
        <v>2497</v>
      </c>
      <c r="N25" s="507" t="s">
        <v>2498</v>
      </c>
      <c r="O25" s="507" t="s">
        <v>2499</v>
      </c>
      <c r="P25" s="507" t="s">
        <v>2500</v>
      </c>
      <c r="Q25" s="507" t="s">
        <v>2501</v>
      </c>
    </row>
    <row r="26" ht="14.25" customHeight="1" spans="1:17">
      <c r="A26" s="503" t="s">
        <v>241</v>
      </c>
      <c r="B26" s="510" t="s">
        <v>2434</v>
      </c>
      <c r="C26" s="507"/>
      <c r="D26" s="507">
        <v>23900</v>
      </c>
      <c r="E26" s="507">
        <v>23590</v>
      </c>
      <c r="F26" s="544"/>
      <c r="K26" s="507" t="s">
        <v>2502</v>
      </c>
      <c r="L26" s="507" t="s">
        <v>2503</v>
      </c>
      <c r="M26" s="507" t="s">
        <v>2504</v>
      </c>
      <c r="N26" s="507" t="s">
        <v>2505</v>
      </c>
      <c r="O26" s="507" t="s">
        <v>2506</v>
      </c>
      <c r="P26" s="507" t="s">
        <v>2507</v>
      </c>
      <c r="Q26" s="507" t="s">
        <v>2508</v>
      </c>
    </row>
    <row r="27" ht="14.25" customHeight="1" spans="1:17">
      <c r="A27" s="503" t="s">
        <v>241</v>
      </c>
      <c r="B27" s="510" t="s">
        <v>2444</v>
      </c>
      <c r="C27" s="507"/>
      <c r="D27" s="507">
        <v>22850</v>
      </c>
      <c r="E27" s="507">
        <v>21920</v>
      </c>
      <c r="F27" s="544"/>
      <c r="K27" s="507" t="s">
        <v>2509</v>
      </c>
      <c r="L27" s="507" t="s">
        <v>2510</v>
      </c>
      <c r="M27" s="507" t="s">
        <v>2511</v>
      </c>
      <c r="N27" s="507" t="s">
        <v>2512</v>
      </c>
      <c r="O27" s="507" t="s">
        <v>2513</v>
      </c>
      <c r="P27" s="507" t="s">
        <v>2514</v>
      </c>
      <c r="Q27" s="507" t="s">
        <v>2515</v>
      </c>
    </row>
    <row r="28" ht="14.25" customHeight="1" spans="1:16">
      <c r="A28" s="511" t="s">
        <v>241</v>
      </c>
      <c r="B28" s="512" t="s">
        <v>2454</v>
      </c>
      <c r="C28" s="518"/>
      <c r="D28" s="518">
        <v>26610</v>
      </c>
      <c r="E28" s="518">
        <v>26370</v>
      </c>
      <c r="F28" s="542"/>
      <c r="K28" s="507" t="s">
        <v>2516</v>
      </c>
      <c r="L28" s="507" t="s">
        <v>2517</v>
      </c>
      <c r="M28" s="507" t="s">
        <v>2518</v>
      </c>
      <c r="N28" s="507" t="s">
        <v>2519</v>
      </c>
      <c r="O28" s="507" t="s">
        <v>2520</v>
      </c>
      <c r="P28" s="507" t="s">
        <v>2521</v>
      </c>
    </row>
    <row r="29" ht="14.25" customHeight="1" spans="1:16">
      <c r="A29" s="503" t="s">
        <v>251</v>
      </c>
      <c r="B29" s="504" t="s">
        <v>2261</v>
      </c>
      <c r="C29" s="504">
        <v>22090</v>
      </c>
      <c r="D29" s="504">
        <v>21860</v>
      </c>
      <c r="E29" s="504">
        <v>19380</v>
      </c>
      <c r="F29" s="540">
        <v>6610</v>
      </c>
      <c r="L29" s="507" t="s">
        <v>2522</v>
      </c>
      <c r="M29" s="507" t="s">
        <v>2523</v>
      </c>
      <c r="N29" s="507" t="s">
        <v>2524</v>
      </c>
      <c r="O29" s="507" t="s">
        <v>2525</v>
      </c>
      <c r="P29" s="507" t="s">
        <v>2526</v>
      </c>
    </row>
    <row r="30" ht="14.25" customHeight="1" spans="1:16">
      <c r="A30" s="503" t="s">
        <v>251</v>
      </c>
      <c r="B30" s="510" t="s">
        <v>2274</v>
      </c>
      <c r="C30" s="507">
        <v>21380</v>
      </c>
      <c r="D30" s="507">
        <v>19930</v>
      </c>
      <c r="E30" s="507">
        <v>19860</v>
      </c>
      <c r="F30" s="543">
        <v>6010</v>
      </c>
      <c r="L30" s="507" t="s">
        <v>2527</v>
      </c>
      <c r="M30" s="507" t="s">
        <v>2528</v>
      </c>
      <c r="N30" s="507" t="s">
        <v>2529</v>
      </c>
      <c r="O30" s="507" t="s">
        <v>2530</v>
      </c>
      <c r="P30" s="507" t="s">
        <v>2531</v>
      </c>
    </row>
    <row r="31" ht="14.25" customHeight="1" spans="1:16">
      <c r="A31" s="503" t="s">
        <v>251</v>
      </c>
      <c r="B31" s="510" t="s">
        <v>2288</v>
      </c>
      <c r="C31" s="507">
        <v>21670</v>
      </c>
      <c r="D31" s="507">
        <v>20660</v>
      </c>
      <c r="E31" s="507">
        <v>20290</v>
      </c>
      <c r="F31" s="543">
        <v>5840</v>
      </c>
      <c r="L31" s="507" t="s">
        <v>2532</v>
      </c>
      <c r="M31" s="507" t="s">
        <v>2533</v>
      </c>
      <c r="N31" s="507" t="s">
        <v>2534</v>
      </c>
      <c r="O31" s="507" t="s">
        <v>2535</v>
      </c>
      <c r="P31" s="507" t="s">
        <v>2536</v>
      </c>
    </row>
    <row r="32" ht="14.25" customHeight="1" spans="1:16">
      <c r="A32" s="503" t="s">
        <v>251</v>
      </c>
      <c r="B32" s="510" t="s">
        <v>2300</v>
      </c>
      <c r="C32" s="507">
        <v>22280</v>
      </c>
      <c r="D32" s="507">
        <v>21800</v>
      </c>
      <c r="E32" s="507">
        <v>17650</v>
      </c>
      <c r="F32" s="543">
        <v>4690</v>
      </c>
      <c r="L32" s="507" t="s">
        <v>2537</v>
      </c>
      <c r="M32" s="507" t="s">
        <v>2538</v>
      </c>
      <c r="N32" s="507" t="s">
        <v>2539</v>
      </c>
      <c r="O32" s="507" t="s">
        <v>2540</v>
      </c>
      <c r="P32" s="507" t="s">
        <v>2541</v>
      </c>
    </row>
    <row r="33" ht="14.25" customHeight="1" spans="1:16">
      <c r="A33" s="503" t="s">
        <v>251</v>
      </c>
      <c r="B33" s="510" t="s">
        <v>2312</v>
      </c>
      <c r="C33" s="507">
        <v>22130</v>
      </c>
      <c r="D33" s="507">
        <v>20460</v>
      </c>
      <c r="E33" s="507">
        <v>18500</v>
      </c>
      <c r="F33" s="543">
        <v>5340</v>
      </c>
      <c r="L33" s="507" t="s">
        <v>2542</v>
      </c>
      <c r="M33" s="507" t="s">
        <v>2543</v>
      </c>
      <c r="N33" s="507" t="s">
        <v>2544</v>
      </c>
      <c r="O33" s="507" t="s">
        <v>2545</v>
      </c>
      <c r="P33" s="507" t="s">
        <v>2546</v>
      </c>
    </row>
    <row r="34" ht="14.25" customHeight="1" spans="1:16">
      <c r="A34" s="503" t="s">
        <v>251</v>
      </c>
      <c r="B34" s="510" t="s">
        <v>2323</v>
      </c>
      <c r="C34" s="507">
        <v>22070</v>
      </c>
      <c r="D34" s="507">
        <v>20110</v>
      </c>
      <c r="E34" s="507">
        <v>18830</v>
      </c>
      <c r="F34" s="543">
        <v>5190</v>
      </c>
      <c r="L34" s="507" t="s">
        <v>2547</v>
      </c>
      <c r="M34" s="507" t="s">
        <v>2548</v>
      </c>
      <c r="N34" s="507" t="s">
        <v>2549</v>
      </c>
      <c r="O34" s="507" t="s">
        <v>2550</v>
      </c>
      <c r="P34" s="507" t="s">
        <v>2551</v>
      </c>
    </row>
    <row r="35" ht="14.25" customHeight="1" spans="1:16">
      <c r="A35" s="503" t="s">
        <v>251</v>
      </c>
      <c r="B35" s="510" t="s">
        <v>2334</v>
      </c>
      <c r="C35" s="507">
        <v>22240</v>
      </c>
      <c r="D35" s="507">
        <v>19550</v>
      </c>
      <c r="E35" s="507">
        <v>19220</v>
      </c>
      <c r="F35" s="543">
        <v>5800</v>
      </c>
      <c r="L35" s="507" t="s">
        <v>2552</v>
      </c>
      <c r="M35" s="507" t="s">
        <v>2553</v>
      </c>
      <c r="N35" s="507" t="s">
        <v>2554</v>
      </c>
      <c r="O35" s="507" t="s">
        <v>2555</v>
      </c>
      <c r="P35" s="507" t="s">
        <v>2556</v>
      </c>
    </row>
    <row r="36" ht="14.25" customHeight="1" spans="1:16">
      <c r="A36" s="503" t="s">
        <v>251</v>
      </c>
      <c r="B36" s="510" t="s">
        <v>2345</v>
      </c>
      <c r="C36" s="507">
        <v>19750</v>
      </c>
      <c r="D36" s="507">
        <v>19790</v>
      </c>
      <c r="E36" s="507">
        <v>18510</v>
      </c>
      <c r="F36" s="543">
        <v>6520</v>
      </c>
      <c r="M36" s="507" t="s">
        <v>2557</v>
      </c>
      <c r="N36" s="507" t="s">
        <v>2558</v>
      </c>
      <c r="O36" s="507" t="s">
        <v>2559</v>
      </c>
      <c r="P36" s="507" t="s">
        <v>2560</v>
      </c>
    </row>
    <row r="37" ht="14.25" customHeight="1" spans="1:16">
      <c r="A37" s="503" t="s">
        <v>251</v>
      </c>
      <c r="B37" s="510" t="s">
        <v>2355</v>
      </c>
      <c r="C37" s="507">
        <v>22380</v>
      </c>
      <c r="D37" s="507">
        <v>18530</v>
      </c>
      <c r="E37" s="507">
        <v>17930</v>
      </c>
      <c r="F37" s="543">
        <v>6270</v>
      </c>
      <c r="M37" s="507" t="s">
        <v>2561</v>
      </c>
      <c r="N37" s="507" t="s">
        <v>2562</v>
      </c>
      <c r="O37" s="507" t="s">
        <v>2563</v>
      </c>
      <c r="P37" s="507" t="s">
        <v>2564</v>
      </c>
    </row>
    <row r="38" ht="14.25" customHeight="1" spans="1:16">
      <c r="A38" s="503" t="s">
        <v>251</v>
      </c>
      <c r="B38" s="510" t="s">
        <v>2365</v>
      </c>
      <c r="C38" s="507">
        <v>20200</v>
      </c>
      <c r="D38" s="507">
        <v>20070</v>
      </c>
      <c r="E38" s="507">
        <v>19950</v>
      </c>
      <c r="F38" s="543"/>
      <c r="M38" s="507" t="s">
        <v>2565</v>
      </c>
      <c r="N38" s="507" t="s">
        <v>2566</v>
      </c>
      <c r="O38" s="507" t="s">
        <v>2567</v>
      </c>
      <c r="P38" s="507" t="s">
        <v>2568</v>
      </c>
    </row>
    <row r="39" ht="14.25" customHeight="1" spans="1:16">
      <c r="A39" s="503" t="s">
        <v>251</v>
      </c>
      <c r="B39" s="510" t="s">
        <v>2375</v>
      </c>
      <c r="C39" s="507">
        <v>19300</v>
      </c>
      <c r="D39" s="507">
        <v>20360</v>
      </c>
      <c r="E39" s="507">
        <v>20230</v>
      </c>
      <c r="F39" s="543"/>
      <c r="M39" s="507" t="s">
        <v>2569</v>
      </c>
      <c r="N39" s="507" t="s">
        <v>2570</v>
      </c>
      <c r="O39" s="507" t="s">
        <v>2571</v>
      </c>
      <c r="P39" s="507" t="s">
        <v>2572</v>
      </c>
    </row>
    <row r="40" ht="14.25" customHeight="1" spans="1:16">
      <c r="A40" s="503" t="s">
        <v>251</v>
      </c>
      <c r="B40" s="510" t="s">
        <v>2385</v>
      </c>
      <c r="C40" s="507">
        <v>20210</v>
      </c>
      <c r="D40" s="507">
        <v>19060</v>
      </c>
      <c r="E40" s="507">
        <v>18890</v>
      </c>
      <c r="F40" s="543"/>
      <c r="M40" s="507" t="s">
        <v>2573</v>
      </c>
      <c r="N40" s="507" t="s">
        <v>2574</v>
      </c>
      <c r="O40" s="507" t="s">
        <v>2575</v>
      </c>
      <c r="P40" s="507" t="s">
        <v>2576</v>
      </c>
    </row>
    <row r="41" ht="14.25" customHeight="1" spans="1:16">
      <c r="A41" s="503" t="s">
        <v>251</v>
      </c>
      <c r="B41" s="510" t="s">
        <v>2395</v>
      </c>
      <c r="C41" s="507">
        <v>20560</v>
      </c>
      <c r="D41" s="507">
        <v>21040</v>
      </c>
      <c r="E41" s="507">
        <v>20740</v>
      </c>
      <c r="F41" s="543"/>
      <c r="M41" s="510" t="s">
        <v>2577</v>
      </c>
      <c r="N41" s="510" t="s">
        <v>2578</v>
      </c>
      <c r="P41" s="510" t="s">
        <v>2579</v>
      </c>
    </row>
    <row r="42" ht="14.25" customHeight="1" spans="1:16">
      <c r="A42" s="503" t="s">
        <v>251</v>
      </c>
      <c r="B42" s="510" t="s">
        <v>2405</v>
      </c>
      <c r="C42" s="507">
        <v>19280</v>
      </c>
      <c r="D42" s="507">
        <v>22940</v>
      </c>
      <c r="E42" s="507">
        <v>22500</v>
      </c>
      <c r="F42" s="543"/>
      <c r="M42" s="507" t="s">
        <v>2580</v>
      </c>
      <c r="N42" s="507" t="s">
        <v>2581</v>
      </c>
      <c r="P42" s="507" t="s">
        <v>2582</v>
      </c>
    </row>
    <row r="43" ht="14.25" customHeight="1" spans="1:16">
      <c r="A43" s="503" t="s">
        <v>251</v>
      </c>
      <c r="B43" s="510" t="s">
        <v>2415</v>
      </c>
      <c r="C43" s="507">
        <v>21520</v>
      </c>
      <c r="D43" s="507">
        <v>19230</v>
      </c>
      <c r="E43" s="507">
        <v>18540</v>
      </c>
      <c r="F43" s="543"/>
      <c r="M43" s="507" t="s">
        <v>2583</v>
      </c>
      <c r="N43" s="507" t="s">
        <v>2584</v>
      </c>
      <c r="P43" s="507" t="s">
        <v>2585</v>
      </c>
    </row>
    <row r="44" ht="14.25" customHeight="1" spans="1:16">
      <c r="A44" s="503" t="s">
        <v>251</v>
      </c>
      <c r="B44" s="510" t="s">
        <v>2425</v>
      </c>
      <c r="C44" s="507">
        <v>23260</v>
      </c>
      <c r="D44" s="507">
        <v>21180</v>
      </c>
      <c r="E44" s="507">
        <v>20730</v>
      </c>
      <c r="F44" s="543"/>
      <c r="M44" s="507" t="s">
        <v>2586</v>
      </c>
      <c r="N44" s="507" t="s">
        <v>2587</v>
      </c>
      <c r="P44" s="507" t="s">
        <v>2588</v>
      </c>
    </row>
    <row r="45" ht="14.25" customHeight="1" spans="1:16">
      <c r="A45" s="503" t="s">
        <v>251</v>
      </c>
      <c r="B45" s="510" t="s">
        <v>2435</v>
      </c>
      <c r="C45" s="507">
        <v>19610</v>
      </c>
      <c r="D45" s="507">
        <v>18090</v>
      </c>
      <c r="E45" s="507">
        <v>17970</v>
      </c>
      <c r="F45" s="543"/>
      <c r="M45" s="507" t="s">
        <v>404</v>
      </c>
      <c r="N45" s="507" t="s">
        <v>2589</v>
      </c>
      <c r="P45" s="507" t="s">
        <v>2590</v>
      </c>
    </row>
    <row r="46" ht="14.25" customHeight="1" spans="1:16">
      <c r="A46" s="503" t="s">
        <v>251</v>
      </c>
      <c r="B46" s="510" t="s">
        <v>2445</v>
      </c>
      <c r="C46" s="507">
        <v>21660</v>
      </c>
      <c r="D46" s="507">
        <v>19190</v>
      </c>
      <c r="E46" s="507">
        <v>19790</v>
      </c>
      <c r="F46" s="543"/>
      <c r="M46" s="507" t="s">
        <v>2591</v>
      </c>
      <c r="N46" s="507" t="s">
        <v>2592</v>
      </c>
      <c r="P46" s="507" t="s">
        <v>2593</v>
      </c>
    </row>
    <row r="47" ht="14.25" customHeight="1" spans="1:14">
      <c r="A47" s="503" t="s">
        <v>251</v>
      </c>
      <c r="B47" s="510" t="s">
        <v>2455</v>
      </c>
      <c r="C47" s="507">
        <v>18220</v>
      </c>
      <c r="D47" s="507"/>
      <c r="E47" s="507">
        <v>17220</v>
      </c>
      <c r="F47" s="543"/>
      <c r="M47" s="507" t="s">
        <v>2594</v>
      </c>
      <c r="N47" s="507" t="s">
        <v>2595</v>
      </c>
    </row>
    <row r="48" ht="14.25" customHeight="1" spans="1:14">
      <c r="A48" s="503" t="s">
        <v>251</v>
      </c>
      <c r="B48" s="512" t="s">
        <v>2464</v>
      </c>
      <c r="C48" s="518">
        <v>19430</v>
      </c>
      <c r="D48" s="518"/>
      <c r="E48" s="518">
        <v>17830</v>
      </c>
      <c r="F48" s="545"/>
      <c r="M48" s="507" t="s">
        <v>2596</v>
      </c>
      <c r="N48" s="507" t="s">
        <v>2597</v>
      </c>
    </row>
    <row r="49" ht="14.25" customHeight="1" spans="1:14">
      <c r="A49" s="503" t="s">
        <v>259</v>
      </c>
      <c r="B49" s="504" t="s">
        <v>2262</v>
      </c>
      <c r="C49" s="504">
        <v>17090</v>
      </c>
      <c r="D49" s="504">
        <v>16950</v>
      </c>
      <c r="E49" s="504">
        <v>16310</v>
      </c>
      <c r="F49" s="540">
        <v>4540</v>
      </c>
      <c r="M49" s="507" t="s">
        <v>2598</v>
      </c>
      <c r="N49" s="507" t="s">
        <v>2599</v>
      </c>
    </row>
    <row r="50" ht="14.25" customHeight="1" spans="1:6">
      <c r="A50" s="503" t="s">
        <v>259</v>
      </c>
      <c r="B50" s="507" t="s">
        <v>2275</v>
      </c>
      <c r="C50" s="507">
        <v>19040</v>
      </c>
      <c r="D50" s="507">
        <v>16960</v>
      </c>
      <c r="E50" s="507">
        <v>14800</v>
      </c>
      <c r="F50" s="543">
        <v>3940</v>
      </c>
    </row>
    <row r="51" ht="14.25" customHeight="1" spans="1:6">
      <c r="A51" s="503" t="s">
        <v>259</v>
      </c>
      <c r="B51" s="507" t="s">
        <v>2289</v>
      </c>
      <c r="C51" s="507">
        <v>17040</v>
      </c>
      <c r="D51" s="507">
        <v>16930</v>
      </c>
      <c r="E51" s="507">
        <v>15030</v>
      </c>
      <c r="F51" s="543">
        <v>4120</v>
      </c>
    </row>
    <row r="52" ht="14.25" customHeight="1" spans="1:6">
      <c r="A52" s="503" t="s">
        <v>259</v>
      </c>
      <c r="B52" s="507" t="s">
        <v>2301</v>
      </c>
      <c r="C52" s="507">
        <v>17110</v>
      </c>
      <c r="D52" s="507">
        <v>17750</v>
      </c>
      <c r="E52" s="507">
        <v>17310</v>
      </c>
      <c r="F52" s="543">
        <v>3220</v>
      </c>
    </row>
    <row r="53" ht="14.25" customHeight="1" spans="1:6">
      <c r="A53" s="503" t="s">
        <v>259</v>
      </c>
      <c r="B53" s="507" t="s">
        <v>2313</v>
      </c>
      <c r="C53" s="507">
        <v>17810</v>
      </c>
      <c r="D53" s="507">
        <v>17260</v>
      </c>
      <c r="E53" s="507">
        <v>17090</v>
      </c>
      <c r="F53" s="543">
        <v>3520</v>
      </c>
    </row>
    <row r="54" ht="14.25" customHeight="1" spans="1:6">
      <c r="A54" s="503" t="s">
        <v>259</v>
      </c>
      <c r="B54" s="507" t="s">
        <v>2324</v>
      </c>
      <c r="C54" s="507">
        <v>17410</v>
      </c>
      <c r="D54" s="507">
        <v>16780</v>
      </c>
      <c r="E54" s="507">
        <v>16370</v>
      </c>
      <c r="F54" s="543">
        <v>3410</v>
      </c>
    </row>
    <row r="55" ht="14.25" customHeight="1" spans="1:6">
      <c r="A55" s="503" t="s">
        <v>259</v>
      </c>
      <c r="B55" s="507" t="s">
        <v>2335</v>
      </c>
      <c r="C55" s="507">
        <v>16930</v>
      </c>
      <c r="D55" s="507">
        <v>14720</v>
      </c>
      <c r="E55" s="507">
        <v>15000</v>
      </c>
      <c r="F55" s="543">
        <v>3710</v>
      </c>
    </row>
    <row r="56" ht="14.25" customHeight="1" spans="1:6">
      <c r="A56" s="503" t="s">
        <v>259</v>
      </c>
      <c r="B56" s="507" t="s">
        <v>2346</v>
      </c>
      <c r="C56" s="507">
        <v>14930</v>
      </c>
      <c r="D56" s="507">
        <v>15850</v>
      </c>
      <c r="E56" s="507">
        <v>14320</v>
      </c>
      <c r="F56" s="543">
        <v>3960</v>
      </c>
    </row>
    <row r="57" ht="14.25" customHeight="1" spans="1:6">
      <c r="A57" s="503" t="s">
        <v>259</v>
      </c>
      <c r="B57" s="507" t="s">
        <v>2356</v>
      </c>
      <c r="C57" s="507">
        <v>16160</v>
      </c>
      <c r="D57" s="507">
        <v>16190</v>
      </c>
      <c r="E57" s="507">
        <v>15650</v>
      </c>
      <c r="F57" s="543">
        <v>4200</v>
      </c>
    </row>
    <row r="58" ht="14.25" customHeight="1" spans="1:6">
      <c r="A58" s="503" t="s">
        <v>259</v>
      </c>
      <c r="B58" s="507" t="s">
        <v>2366</v>
      </c>
      <c r="C58" s="507">
        <v>16360</v>
      </c>
      <c r="D58" s="507">
        <v>14050</v>
      </c>
      <c r="E58" s="507">
        <v>16070</v>
      </c>
      <c r="F58" s="543">
        <v>3990</v>
      </c>
    </row>
    <row r="59" ht="14.25" customHeight="1" spans="1:6">
      <c r="A59" s="503" t="s">
        <v>259</v>
      </c>
      <c r="B59" s="507" t="s">
        <v>2376</v>
      </c>
      <c r="C59" s="507">
        <v>14160</v>
      </c>
      <c r="D59" s="507">
        <v>16620</v>
      </c>
      <c r="E59" s="507">
        <v>13940</v>
      </c>
      <c r="F59" s="543">
        <v>4260</v>
      </c>
    </row>
    <row r="60" ht="14.25" customHeight="1" spans="1:6">
      <c r="A60" s="503" t="s">
        <v>259</v>
      </c>
      <c r="B60" s="507" t="s">
        <v>2386</v>
      </c>
      <c r="C60" s="507">
        <v>16750</v>
      </c>
      <c r="D60" s="507">
        <v>13910</v>
      </c>
      <c r="E60" s="507">
        <v>16550</v>
      </c>
      <c r="F60" s="543">
        <v>4550</v>
      </c>
    </row>
    <row r="61" ht="14.25" customHeight="1" spans="1:6">
      <c r="A61" s="503" t="s">
        <v>259</v>
      </c>
      <c r="B61" s="507" t="s">
        <v>2396</v>
      </c>
      <c r="C61" s="507">
        <v>14000</v>
      </c>
      <c r="D61" s="507">
        <v>14550</v>
      </c>
      <c r="E61" s="507">
        <v>13860</v>
      </c>
      <c r="F61" s="546"/>
    </row>
    <row r="62" ht="14.25" customHeight="1" spans="1:6">
      <c r="A62" s="503" t="s">
        <v>259</v>
      </c>
      <c r="B62" s="507" t="s">
        <v>2406</v>
      </c>
      <c r="C62" s="507">
        <v>14660</v>
      </c>
      <c r="D62" s="507">
        <v>17450</v>
      </c>
      <c r="E62" s="507">
        <v>14470</v>
      </c>
      <c r="F62" s="546"/>
    </row>
    <row r="63" ht="14.25" customHeight="1" spans="1:6">
      <c r="A63" s="503" t="s">
        <v>259</v>
      </c>
      <c r="B63" s="507" t="s">
        <v>2416</v>
      </c>
      <c r="C63" s="507">
        <v>17610</v>
      </c>
      <c r="D63" s="507">
        <v>16500</v>
      </c>
      <c r="E63" s="507">
        <v>17330</v>
      </c>
      <c r="F63" s="546"/>
    </row>
    <row r="64" ht="14.25" customHeight="1" spans="1:6">
      <c r="A64" s="503" t="s">
        <v>259</v>
      </c>
      <c r="B64" s="507" t="s">
        <v>2426</v>
      </c>
      <c r="C64" s="507">
        <v>16590</v>
      </c>
      <c r="D64" s="507">
        <v>15130</v>
      </c>
      <c r="E64" s="507">
        <v>16420</v>
      </c>
      <c r="F64" s="546"/>
    </row>
    <row r="65" s="529" customFormat="1" ht="14.25" customHeight="1" spans="1:6">
      <c r="A65" s="503" t="s">
        <v>259</v>
      </c>
      <c r="B65" s="507" t="s">
        <v>2436</v>
      </c>
      <c r="C65" s="507">
        <v>15220</v>
      </c>
      <c r="D65" s="507">
        <v>14660</v>
      </c>
      <c r="E65" s="507">
        <v>15060</v>
      </c>
      <c r="F65" s="543"/>
    </row>
    <row r="66" s="529" customFormat="1" ht="14.25" customHeight="1" spans="1:6">
      <c r="A66" s="503" t="s">
        <v>259</v>
      </c>
      <c r="B66" s="507" t="s">
        <v>2446</v>
      </c>
      <c r="C66" s="507">
        <v>14720</v>
      </c>
      <c r="D66" s="507">
        <v>15970</v>
      </c>
      <c r="E66" s="507">
        <v>14610</v>
      </c>
      <c r="F66" s="543"/>
    </row>
    <row r="67" s="529" customFormat="1" ht="14.25" customHeight="1" spans="1:6">
      <c r="A67" s="503" t="s">
        <v>259</v>
      </c>
      <c r="B67" s="507" t="s">
        <v>2456</v>
      </c>
      <c r="C67" s="507">
        <v>16080</v>
      </c>
      <c r="D67" s="507">
        <v>14840</v>
      </c>
      <c r="E67" s="507">
        <v>15630</v>
      </c>
      <c r="F67" s="543"/>
    </row>
    <row r="68" s="529" customFormat="1" ht="14.25" customHeight="1" spans="1:6">
      <c r="A68" s="503" t="s">
        <v>259</v>
      </c>
      <c r="B68" s="507" t="s">
        <v>2465</v>
      </c>
      <c r="C68" s="507">
        <v>14940</v>
      </c>
      <c r="D68" s="507">
        <v>18000</v>
      </c>
      <c r="E68" s="507">
        <v>14040</v>
      </c>
      <c r="F68" s="543"/>
    </row>
    <row r="69" s="529" customFormat="1" ht="14.25" customHeight="1" spans="1:6">
      <c r="A69" s="503" t="s">
        <v>259</v>
      </c>
      <c r="B69" s="507" t="s">
        <v>2473</v>
      </c>
      <c r="C69" s="507">
        <v>18810</v>
      </c>
      <c r="D69" s="507">
        <v>15100</v>
      </c>
      <c r="E69" s="507">
        <v>14710</v>
      </c>
      <c r="F69" s="543"/>
    </row>
    <row r="70" s="529" customFormat="1" ht="14.25" customHeight="1" spans="1:6">
      <c r="A70" s="503" t="s">
        <v>259</v>
      </c>
      <c r="B70" s="507" t="s">
        <v>2481</v>
      </c>
      <c r="C70" s="507">
        <v>18270</v>
      </c>
      <c r="D70" s="507"/>
      <c r="E70" s="507"/>
      <c r="F70" s="543"/>
    </row>
    <row r="71" s="529" customFormat="1" ht="14.25" customHeight="1" spans="1:6">
      <c r="A71" s="503" t="s">
        <v>259</v>
      </c>
      <c r="B71" s="507" t="s">
        <v>2488</v>
      </c>
      <c r="C71" s="507">
        <v>15230</v>
      </c>
      <c r="D71" s="507"/>
      <c r="E71" s="507"/>
      <c r="F71" s="543"/>
    </row>
    <row r="72" s="529" customFormat="1" ht="14.25" customHeight="1" spans="1:6">
      <c r="A72" s="503" t="s">
        <v>259</v>
      </c>
      <c r="B72" s="507" t="s">
        <v>2495</v>
      </c>
      <c r="C72" s="507"/>
      <c r="D72" s="507"/>
      <c r="E72" s="507"/>
      <c r="F72" s="543">
        <v>4120</v>
      </c>
    </row>
    <row r="73" s="529" customFormat="1" ht="14.25" customHeight="1" spans="1:6">
      <c r="A73" s="503" t="s">
        <v>259</v>
      </c>
      <c r="B73" s="507" t="s">
        <v>2502</v>
      </c>
      <c r="C73" s="507"/>
      <c r="D73" s="507"/>
      <c r="E73" s="507"/>
      <c r="F73" s="543">
        <v>3930</v>
      </c>
    </row>
    <row r="74" s="529" customFormat="1" ht="14.25" customHeight="1" spans="1:6">
      <c r="A74" s="503" t="s">
        <v>259</v>
      </c>
      <c r="B74" s="507" t="s">
        <v>2509</v>
      </c>
      <c r="C74" s="507"/>
      <c r="D74" s="507"/>
      <c r="E74" s="507"/>
      <c r="F74" s="543">
        <v>4060</v>
      </c>
    </row>
    <row r="75" s="529" customFormat="1" ht="14.25" customHeight="1" spans="1:6">
      <c r="A75" s="503" t="s">
        <v>259</v>
      </c>
      <c r="B75" s="518" t="s">
        <v>2516</v>
      </c>
      <c r="C75" s="518"/>
      <c r="D75" s="518"/>
      <c r="E75" s="518"/>
      <c r="F75" s="545">
        <v>3750</v>
      </c>
    </row>
    <row r="76" s="529" customFormat="1" ht="14.25" customHeight="1" spans="1:6">
      <c r="A76" s="503" t="s">
        <v>267</v>
      </c>
      <c r="B76" s="504" t="s">
        <v>2263</v>
      </c>
      <c r="C76" s="504">
        <v>14690</v>
      </c>
      <c r="D76" s="504">
        <v>14640</v>
      </c>
      <c r="E76" s="504">
        <v>14590</v>
      </c>
      <c r="F76" s="540">
        <v>3060</v>
      </c>
    </row>
    <row r="77" s="529" customFormat="1" ht="14.25" customHeight="1" spans="1:6">
      <c r="A77" s="503" t="s">
        <v>267</v>
      </c>
      <c r="B77" s="507" t="s">
        <v>2276</v>
      </c>
      <c r="C77" s="507">
        <v>12550</v>
      </c>
      <c r="D77" s="507">
        <v>12480</v>
      </c>
      <c r="E77" s="507">
        <v>12450</v>
      </c>
      <c r="F77" s="543">
        <v>2590</v>
      </c>
    </row>
    <row r="78" s="529" customFormat="1" ht="14.25" customHeight="1" spans="1:6">
      <c r="A78" s="503" t="s">
        <v>267</v>
      </c>
      <c r="B78" s="507" t="s">
        <v>2290</v>
      </c>
      <c r="C78" s="507">
        <v>14360</v>
      </c>
      <c r="D78" s="507">
        <v>14320</v>
      </c>
      <c r="E78" s="507">
        <v>12510</v>
      </c>
      <c r="F78" s="543">
        <v>2700</v>
      </c>
    </row>
    <row r="79" s="529" customFormat="1" ht="14.25" customHeight="1" spans="1:6">
      <c r="A79" s="503" t="s">
        <v>267</v>
      </c>
      <c r="B79" s="507" t="s">
        <v>2302</v>
      </c>
      <c r="C79" s="507">
        <v>12590</v>
      </c>
      <c r="D79" s="507">
        <v>12540</v>
      </c>
      <c r="E79" s="507">
        <v>12350</v>
      </c>
      <c r="F79" s="543">
        <v>2740</v>
      </c>
    </row>
    <row r="80" s="529" customFormat="1" ht="14.25" customHeight="1" spans="1:6">
      <c r="A80" s="503" t="s">
        <v>267</v>
      </c>
      <c r="B80" s="507" t="s">
        <v>2314</v>
      </c>
      <c r="C80" s="507">
        <v>12450</v>
      </c>
      <c r="D80" s="507">
        <v>12370</v>
      </c>
      <c r="E80" s="507">
        <v>10790</v>
      </c>
      <c r="F80" s="543">
        <v>2290</v>
      </c>
    </row>
    <row r="81" s="529" customFormat="1" ht="14.25" customHeight="1" spans="1:6">
      <c r="A81" s="503" t="s">
        <v>267</v>
      </c>
      <c r="B81" s="507" t="s">
        <v>2325</v>
      </c>
      <c r="C81" s="507">
        <v>14210</v>
      </c>
      <c r="D81" s="507">
        <v>14150</v>
      </c>
      <c r="E81" s="507">
        <v>12730</v>
      </c>
      <c r="F81" s="543">
        <v>2240</v>
      </c>
    </row>
    <row r="82" s="529" customFormat="1" ht="14.25" customHeight="1" spans="1:6">
      <c r="A82" s="503" t="s">
        <v>267</v>
      </c>
      <c r="B82" s="507" t="s">
        <v>2336</v>
      </c>
      <c r="C82" s="507">
        <v>10860</v>
      </c>
      <c r="D82" s="507">
        <v>10820</v>
      </c>
      <c r="E82" s="507">
        <v>14720</v>
      </c>
      <c r="F82" s="543">
        <v>2490</v>
      </c>
    </row>
    <row r="83" s="529" customFormat="1" ht="14.25" customHeight="1" spans="1:6">
      <c r="A83" s="503" t="s">
        <v>267</v>
      </c>
      <c r="B83" s="507" t="s">
        <v>2347</v>
      </c>
      <c r="C83" s="507">
        <v>12810</v>
      </c>
      <c r="D83" s="507">
        <v>12760</v>
      </c>
      <c r="E83" s="507">
        <v>14830</v>
      </c>
      <c r="F83" s="543">
        <v>2450</v>
      </c>
    </row>
    <row r="84" s="529" customFormat="1" ht="14.25" customHeight="1" spans="1:6">
      <c r="A84" s="503" t="s">
        <v>267</v>
      </c>
      <c r="B84" s="507" t="s">
        <v>2357</v>
      </c>
      <c r="C84" s="507">
        <v>14950</v>
      </c>
      <c r="D84" s="507">
        <v>14810</v>
      </c>
      <c r="E84" s="507">
        <v>12590</v>
      </c>
      <c r="F84" s="543">
        <v>2540</v>
      </c>
    </row>
    <row r="85" s="529" customFormat="1" ht="14.25" customHeight="1" spans="1:6">
      <c r="A85" s="503" t="s">
        <v>267</v>
      </c>
      <c r="B85" s="507" t="s">
        <v>2367</v>
      </c>
      <c r="C85" s="507">
        <v>14960</v>
      </c>
      <c r="D85" s="507">
        <v>14890</v>
      </c>
      <c r="E85" s="507">
        <v>12840</v>
      </c>
      <c r="F85" s="543">
        <v>2840</v>
      </c>
    </row>
    <row r="86" s="529" customFormat="1" ht="14.25" customHeight="1" spans="1:6">
      <c r="A86" s="503" t="s">
        <v>267</v>
      </c>
      <c r="B86" s="507" t="s">
        <v>2377</v>
      </c>
      <c r="C86" s="507">
        <v>12730</v>
      </c>
      <c r="D86" s="507">
        <v>12660</v>
      </c>
      <c r="E86" s="507">
        <v>13310</v>
      </c>
      <c r="F86" s="543">
        <v>3140</v>
      </c>
    </row>
    <row r="87" s="529" customFormat="1" ht="14.25" customHeight="1" spans="1:6">
      <c r="A87" s="503" t="s">
        <v>267</v>
      </c>
      <c r="B87" s="507" t="s">
        <v>2387</v>
      </c>
      <c r="C87" s="507">
        <v>12940</v>
      </c>
      <c r="D87" s="507">
        <v>12890</v>
      </c>
      <c r="E87" s="507">
        <v>11580</v>
      </c>
      <c r="F87" s="546"/>
    </row>
    <row r="88" s="529" customFormat="1" ht="14.25" customHeight="1" spans="1:6">
      <c r="A88" s="503" t="s">
        <v>267</v>
      </c>
      <c r="B88" s="507" t="s">
        <v>2397</v>
      </c>
      <c r="C88" s="507">
        <v>13430</v>
      </c>
      <c r="D88" s="507">
        <v>13360</v>
      </c>
      <c r="E88" s="507">
        <v>12790</v>
      </c>
      <c r="F88" s="546"/>
    </row>
    <row r="89" s="529" customFormat="1" ht="14.25" customHeight="1" spans="1:6">
      <c r="A89" s="503" t="s">
        <v>267</v>
      </c>
      <c r="B89" s="507" t="s">
        <v>2407</v>
      </c>
      <c r="C89" s="507">
        <v>11680</v>
      </c>
      <c r="D89" s="507">
        <v>11630</v>
      </c>
      <c r="E89" s="507">
        <v>11320</v>
      </c>
      <c r="F89" s="546"/>
    </row>
    <row r="90" s="529" customFormat="1" ht="14.25" customHeight="1" spans="1:6">
      <c r="A90" s="503" t="s">
        <v>267</v>
      </c>
      <c r="B90" s="507" t="s">
        <v>2417</v>
      </c>
      <c r="C90" s="507">
        <v>12890</v>
      </c>
      <c r="D90" s="507">
        <v>12820</v>
      </c>
      <c r="E90" s="507">
        <v>12710</v>
      </c>
      <c r="F90" s="546"/>
    </row>
    <row r="91" s="529" customFormat="1" ht="14.25" customHeight="1" spans="1:6">
      <c r="A91" s="503" t="s">
        <v>267</v>
      </c>
      <c r="B91" s="507" t="s">
        <v>2427</v>
      </c>
      <c r="C91" s="507">
        <v>11410</v>
      </c>
      <c r="D91" s="507">
        <v>11360</v>
      </c>
      <c r="E91" s="507">
        <v>12670</v>
      </c>
      <c r="F91" s="546"/>
    </row>
    <row r="92" s="529" customFormat="1" ht="14.25" customHeight="1" spans="1:6">
      <c r="A92" s="503" t="s">
        <v>267</v>
      </c>
      <c r="B92" s="507" t="s">
        <v>2437</v>
      </c>
      <c r="C92" s="507">
        <v>12770</v>
      </c>
      <c r="D92" s="507">
        <v>12740</v>
      </c>
      <c r="E92" s="507">
        <v>11970</v>
      </c>
      <c r="F92" s="546"/>
    </row>
    <row r="93" s="529" customFormat="1" ht="14.25" customHeight="1" spans="1:6">
      <c r="A93" s="503" t="s">
        <v>267</v>
      </c>
      <c r="B93" s="507" t="s">
        <v>2447</v>
      </c>
      <c r="C93" s="507">
        <v>12740</v>
      </c>
      <c r="D93" s="507">
        <v>12700</v>
      </c>
      <c r="E93" s="507">
        <v>12540</v>
      </c>
      <c r="F93" s="546"/>
    </row>
    <row r="94" s="529" customFormat="1" ht="14.25" customHeight="1" spans="1:6">
      <c r="A94" s="503" t="s">
        <v>267</v>
      </c>
      <c r="B94" s="507" t="s">
        <v>2457</v>
      </c>
      <c r="C94" s="507">
        <v>12020</v>
      </c>
      <c r="D94" s="507">
        <v>11990</v>
      </c>
      <c r="E94" s="507">
        <v>13110</v>
      </c>
      <c r="F94" s="546"/>
    </row>
    <row r="95" s="529" customFormat="1" ht="14.25" customHeight="1" spans="1:6">
      <c r="A95" s="503" t="s">
        <v>267</v>
      </c>
      <c r="B95" s="507" t="s">
        <v>2466</v>
      </c>
      <c r="C95" s="507">
        <v>12620</v>
      </c>
      <c r="D95" s="507">
        <v>12580</v>
      </c>
      <c r="E95" s="507">
        <v>13160</v>
      </c>
      <c r="F95" s="543"/>
    </row>
    <row r="96" s="529" customFormat="1" ht="14.25" customHeight="1" spans="1:6">
      <c r="A96" s="503" t="s">
        <v>267</v>
      </c>
      <c r="B96" s="507" t="s">
        <v>2474</v>
      </c>
      <c r="C96" s="507">
        <v>13200</v>
      </c>
      <c r="D96" s="507">
        <v>13150</v>
      </c>
      <c r="E96" s="507">
        <v>12900</v>
      </c>
      <c r="F96" s="543"/>
    </row>
    <row r="97" s="529" customFormat="1" ht="14.25" customHeight="1" spans="1:6">
      <c r="A97" s="503" t="s">
        <v>267</v>
      </c>
      <c r="B97" s="507" t="s">
        <v>2482</v>
      </c>
      <c r="C97" s="507">
        <v>13270</v>
      </c>
      <c r="D97" s="507">
        <v>13210</v>
      </c>
      <c r="E97" s="507">
        <v>11080</v>
      </c>
      <c r="F97" s="543"/>
    </row>
    <row r="98" s="529" customFormat="1" ht="14.25" customHeight="1" spans="1:6">
      <c r="A98" s="503" t="s">
        <v>267</v>
      </c>
      <c r="B98" s="507" t="s">
        <v>2489</v>
      </c>
      <c r="C98" s="507">
        <v>13010</v>
      </c>
      <c r="D98" s="507">
        <v>12930</v>
      </c>
      <c r="E98" s="507">
        <v>12840</v>
      </c>
      <c r="F98" s="543"/>
    </row>
    <row r="99" s="529" customFormat="1" ht="14.25" customHeight="1" spans="1:6">
      <c r="A99" s="503" t="s">
        <v>267</v>
      </c>
      <c r="B99" s="507" t="s">
        <v>2496</v>
      </c>
      <c r="C99" s="507">
        <v>11190</v>
      </c>
      <c r="D99" s="507">
        <v>11130</v>
      </c>
      <c r="E99" s="507"/>
      <c r="F99" s="543"/>
    </row>
    <row r="100" s="529" customFormat="1" ht="14.25" customHeight="1" spans="1:6">
      <c r="A100" s="503" t="s">
        <v>267</v>
      </c>
      <c r="B100" s="507" t="s">
        <v>2503</v>
      </c>
      <c r="C100" s="507">
        <v>14280</v>
      </c>
      <c r="D100" s="507">
        <v>14180</v>
      </c>
      <c r="E100" s="507"/>
      <c r="F100" s="543"/>
    </row>
    <row r="101" s="529" customFormat="1" ht="14.25" customHeight="1" spans="1:6">
      <c r="A101" s="503" t="s">
        <v>267</v>
      </c>
      <c r="B101" s="507" t="s">
        <v>2510</v>
      </c>
      <c r="C101" s="507">
        <v>12960</v>
      </c>
      <c r="D101" s="507">
        <v>12890</v>
      </c>
      <c r="E101" s="507"/>
      <c r="F101" s="543"/>
    </row>
    <row r="102" s="529" customFormat="1" ht="14.25" customHeight="1" spans="1:6">
      <c r="A102" s="503" t="s">
        <v>267</v>
      </c>
      <c r="B102" s="507" t="s">
        <v>2517</v>
      </c>
      <c r="C102" s="507"/>
      <c r="D102" s="507"/>
      <c r="E102" s="507"/>
      <c r="F102" s="543">
        <v>3100</v>
      </c>
    </row>
    <row r="103" s="529" customFormat="1" ht="14.25" customHeight="1" spans="1:6">
      <c r="A103" s="503" t="s">
        <v>267</v>
      </c>
      <c r="B103" s="507" t="s">
        <v>2522</v>
      </c>
      <c r="C103" s="507"/>
      <c r="D103" s="507"/>
      <c r="E103" s="507"/>
      <c r="F103" s="543">
        <v>2320</v>
      </c>
    </row>
    <row r="104" s="529" customFormat="1" ht="14.25" customHeight="1" spans="1:6">
      <c r="A104" s="503" t="s">
        <v>267</v>
      </c>
      <c r="B104" s="507" t="s">
        <v>2527</v>
      </c>
      <c r="C104" s="507"/>
      <c r="D104" s="507"/>
      <c r="E104" s="507"/>
      <c r="F104" s="543">
        <v>2320</v>
      </c>
    </row>
    <row r="105" s="529" customFormat="1" ht="14.25" customHeight="1" spans="1:6">
      <c r="A105" s="503" t="s">
        <v>267</v>
      </c>
      <c r="B105" s="507" t="s">
        <v>2532</v>
      </c>
      <c r="C105" s="507"/>
      <c r="D105" s="507"/>
      <c r="E105" s="507"/>
      <c r="F105" s="543">
        <v>2320</v>
      </c>
    </row>
    <row r="106" s="529" customFormat="1" ht="14.25" customHeight="1" spans="1:6">
      <c r="A106" s="503" t="s">
        <v>267</v>
      </c>
      <c r="B106" s="507" t="s">
        <v>2537</v>
      </c>
      <c r="C106" s="507"/>
      <c r="D106" s="507"/>
      <c r="E106" s="507"/>
      <c r="F106" s="543">
        <v>2320</v>
      </c>
    </row>
    <row r="107" s="529" customFormat="1" ht="14.25" customHeight="1" spans="1:6">
      <c r="A107" s="503" t="s">
        <v>267</v>
      </c>
      <c r="B107" s="507" t="s">
        <v>2542</v>
      </c>
      <c r="C107" s="507"/>
      <c r="D107" s="507"/>
      <c r="E107" s="507"/>
      <c r="F107" s="543">
        <v>2280</v>
      </c>
    </row>
    <row r="108" s="529" customFormat="1" ht="14.25" customHeight="1" spans="1:6">
      <c r="A108" s="503" t="s">
        <v>267</v>
      </c>
      <c r="B108" s="507" t="s">
        <v>2547</v>
      </c>
      <c r="C108" s="507"/>
      <c r="D108" s="507"/>
      <c r="E108" s="507"/>
      <c r="F108" s="543">
        <v>2280</v>
      </c>
    </row>
    <row r="109" s="529" customFormat="1" ht="14.25" customHeight="1" spans="1:6">
      <c r="A109" s="503" t="s">
        <v>267</v>
      </c>
      <c r="B109" s="518" t="s">
        <v>2552</v>
      </c>
      <c r="C109" s="518"/>
      <c r="D109" s="518"/>
      <c r="E109" s="518"/>
      <c r="F109" s="545">
        <v>2280</v>
      </c>
    </row>
    <row r="110" s="529" customFormat="1" ht="14.25" customHeight="1" spans="1:6">
      <c r="A110" s="503" t="s">
        <v>273</v>
      </c>
      <c r="B110" s="504" t="s">
        <v>2264</v>
      </c>
      <c r="C110" s="504">
        <v>10520</v>
      </c>
      <c r="D110" s="504">
        <v>10490</v>
      </c>
      <c r="E110" s="504">
        <v>10760</v>
      </c>
      <c r="F110" s="540">
        <v>2160</v>
      </c>
    </row>
    <row r="111" s="529" customFormat="1" ht="14.25" customHeight="1" spans="1:6">
      <c r="A111" s="503" t="s">
        <v>273</v>
      </c>
      <c r="B111" s="507" t="s">
        <v>2277</v>
      </c>
      <c r="C111" s="507">
        <v>10090</v>
      </c>
      <c r="D111" s="507">
        <v>10060</v>
      </c>
      <c r="E111" s="507">
        <v>10300</v>
      </c>
      <c r="F111" s="543">
        <v>2010</v>
      </c>
    </row>
    <row r="112" s="529" customFormat="1" ht="14.25" customHeight="1" spans="1:6">
      <c r="A112" s="503" t="s">
        <v>273</v>
      </c>
      <c r="B112" s="507" t="s">
        <v>2291</v>
      </c>
      <c r="C112" s="507">
        <v>9910</v>
      </c>
      <c r="D112" s="507">
        <v>9850</v>
      </c>
      <c r="E112" s="507">
        <v>9960</v>
      </c>
      <c r="F112" s="543">
        <v>2090</v>
      </c>
    </row>
    <row r="113" s="529" customFormat="1" ht="14.25" customHeight="1" spans="1:6">
      <c r="A113" s="503" t="s">
        <v>273</v>
      </c>
      <c r="B113" s="507" t="s">
        <v>2303</v>
      </c>
      <c r="C113" s="507">
        <v>11430</v>
      </c>
      <c r="D113" s="507">
        <v>11400</v>
      </c>
      <c r="E113" s="507">
        <v>11710</v>
      </c>
      <c r="F113" s="543">
        <v>2050</v>
      </c>
    </row>
    <row r="114" s="529" customFormat="1" ht="14.25" customHeight="1" spans="1:6">
      <c r="A114" s="503" t="s">
        <v>273</v>
      </c>
      <c r="B114" s="507" t="s">
        <v>2315</v>
      </c>
      <c r="C114" s="507">
        <v>11390</v>
      </c>
      <c r="D114" s="507">
        <v>11350</v>
      </c>
      <c r="E114" s="507">
        <v>11640</v>
      </c>
      <c r="F114" s="543">
        <v>1620</v>
      </c>
    </row>
    <row r="115" s="529" customFormat="1" ht="14.25" customHeight="1" spans="1:6">
      <c r="A115" s="503" t="s">
        <v>273</v>
      </c>
      <c r="B115" s="507" t="s">
        <v>2326</v>
      </c>
      <c r="C115" s="507">
        <v>9930</v>
      </c>
      <c r="D115" s="507">
        <v>9900</v>
      </c>
      <c r="E115" s="507">
        <v>10160</v>
      </c>
      <c r="F115" s="543">
        <v>1580</v>
      </c>
    </row>
    <row r="116" s="529" customFormat="1" ht="14.25" customHeight="1" spans="1:6">
      <c r="A116" s="503" t="s">
        <v>273</v>
      </c>
      <c r="B116" s="507" t="s">
        <v>2337</v>
      </c>
      <c r="C116" s="507">
        <v>9150</v>
      </c>
      <c r="D116" s="507">
        <v>9120</v>
      </c>
      <c r="E116" s="507">
        <v>9380</v>
      </c>
      <c r="F116" s="543">
        <v>1750</v>
      </c>
    </row>
    <row r="117" s="529" customFormat="1" ht="14.25" customHeight="1" spans="1:6">
      <c r="A117" s="503" t="s">
        <v>273</v>
      </c>
      <c r="B117" s="507" t="s">
        <v>2348</v>
      </c>
      <c r="C117" s="507">
        <v>10680</v>
      </c>
      <c r="D117" s="507">
        <v>10650</v>
      </c>
      <c r="E117" s="507">
        <v>10970</v>
      </c>
      <c r="F117" s="543">
        <v>1730</v>
      </c>
    </row>
    <row r="118" s="529" customFormat="1" ht="14.25" customHeight="1" spans="1:6">
      <c r="A118" s="503" t="s">
        <v>273</v>
      </c>
      <c r="B118" s="507" t="s">
        <v>2358</v>
      </c>
      <c r="C118" s="507">
        <v>10080</v>
      </c>
      <c r="D118" s="507">
        <v>10050</v>
      </c>
      <c r="E118" s="507">
        <v>10350</v>
      </c>
      <c r="F118" s="543">
        <v>1920</v>
      </c>
    </row>
    <row r="119" s="529" customFormat="1" ht="14.25" customHeight="1" spans="1:6">
      <c r="A119" s="503" t="s">
        <v>273</v>
      </c>
      <c r="B119" s="507" t="s">
        <v>2368</v>
      </c>
      <c r="C119" s="507">
        <v>9450</v>
      </c>
      <c r="D119" s="507">
        <v>9410</v>
      </c>
      <c r="E119" s="507">
        <v>9680</v>
      </c>
      <c r="F119" s="543">
        <v>1880</v>
      </c>
    </row>
    <row r="120" s="529" customFormat="1" ht="14.25" customHeight="1" spans="1:6">
      <c r="A120" s="503" t="s">
        <v>273</v>
      </c>
      <c r="B120" s="507" t="s">
        <v>2378</v>
      </c>
      <c r="C120" s="507">
        <v>8730</v>
      </c>
      <c r="D120" s="507">
        <v>8700</v>
      </c>
      <c r="E120" s="507">
        <v>8950</v>
      </c>
      <c r="F120" s="543">
        <v>1830</v>
      </c>
    </row>
    <row r="121" s="529" customFormat="1" ht="14.25" customHeight="1" spans="1:6">
      <c r="A121" s="503" t="s">
        <v>273</v>
      </c>
      <c r="B121" s="507" t="s">
        <v>2388</v>
      </c>
      <c r="C121" s="507">
        <v>10070</v>
      </c>
      <c r="D121" s="507">
        <v>10040</v>
      </c>
      <c r="E121" s="507">
        <v>10270</v>
      </c>
      <c r="F121" s="543">
        <v>1960</v>
      </c>
    </row>
    <row r="122" s="529" customFormat="1" ht="14.25" customHeight="1" spans="1:6">
      <c r="A122" s="503" t="s">
        <v>273</v>
      </c>
      <c r="B122" s="507" t="s">
        <v>2398</v>
      </c>
      <c r="C122" s="507">
        <v>10500</v>
      </c>
      <c r="D122" s="507">
        <v>10470</v>
      </c>
      <c r="E122" s="507">
        <v>10780</v>
      </c>
      <c r="F122" s="543">
        <v>2180</v>
      </c>
    </row>
    <row r="123" s="529" customFormat="1" ht="14.25" customHeight="1" spans="1:6">
      <c r="A123" s="503" t="s">
        <v>273</v>
      </c>
      <c r="B123" s="507" t="s">
        <v>2408</v>
      </c>
      <c r="C123" s="507">
        <v>10390</v>
      </c>
      <c r="D123" s="507">
        <v>10360</v>
      </c>
      <c r="E123" s="507">
        <v>10660</v>
      </c>
      <c r="F123" s="543">
        <v>2040</v>
      </c>
    </row>
    <row r="124" s="529" customFormat="1" ht="14.25" customHeight="1" spans="1:6">
      <c r="A124" s="503" t="s">
        <v>273</v>
      </c>
      <c r="B124" s="507" t="s">
        <v>2418</v>
      </c>
      <c r="C124" s="507">
        <v>10390</v>
      </c>
      <c r="D124" s="507">
        <v>10360</v>
      </c>
      <c r="E124" s="507">
        <v>10680</v>
      </c>
      <c r="F124" s="546"/>
    </row>
    <row r="125" s="529" customFormat="1" ht="14.25" customHeight="1" spans="1:6">
      <c r="A125" s="503" t="s">
        <v>273</v>
      </c>
      <c r="B125" s="507" t="s">
        <v>2428</v>
      </c>
      <c r="C125" s="507">
        <v>10440</v>
      </c>
      <c r="D125" s="507">
        <v>10410</v>
      </c>
      <c r="E125" s="507">
        <v>10710</v>
      </c>
      <c r="F125" s="546"/>
    </row>
    <row r="126" s="529" customFormat="1" ht="14.25" customHeight="1" spans="1:6">
      <c r="A126" s="503" t="s">
        <v>273</v>
      </c>
      <c r="B126" s="507" t="s">
        <v>2438</v>
      </c>
      <c r="C126" s="507">
        <v>10780</v>
      </c>
      <c r="D126" s="507">
        <v>10750</v>
      </c>
      <c r="E126" s="507">
        <v>11080</v>
      </c>
      <c r="F126" s="546"/>
    </row>
    <row r="127" s="529" customFormat="1" ht="14.25" customHeight="1" spans="1:6">
      <c r="A127" s="503" t="s">
        <v>273</v>
      </c>
      <c r="B127" s="507" t="s">
        <v>2448</v>
      </c>
      <c r="C127" s="507">
        <v>10100</v>
      </c>
      <c r="D127" s="507">
        <v>10070</v>
      </c>
      <c r="E127" s="507">
        <v>10350</v>
      </c>
      <c r="F127" s="546"/>
    </row>
    <row r="128" s="529" customFormat="1" ht="14.25" customHeight="1" spans="1:6">
      <c r="A128" s="503" t="s">
        <v>273</v>
      </c>
      <c r="B128" s="507" t="s">
        <v>2458</v>
      </c>
      <c r="C128" s="507">
        <v>9200</v>
      </c>
      <c r="D128" s="507">
        <v>9160</v>
      </c>
      <c r="E128" s="507">
        <v>9660</v>
      </c>
      <c r="F128" s="546"/>
    </row>
    <row r="129" s="529" customFormat="1" ht="14.25" customHeight="1" spans="1:6">
      <c r="A129" s="503" t="s">
        <v>273</v>
      </c>
      <c r="B129" s="507" t="s">
        <v>2467</v>
      </c>
      <c r="C129" s="507">
        <v>10340</v>
      </c>
      <c r="D129" s="507">
        <v>10310</v>
      </c>
      <c r="E129" s="507">
        <v>10580</v>
      </c>
      <c r="F129" s="546"/>
    </row>
    <row r="130" s="529" customFormat="1" ht="14.25" customHeight="1" spans="1:6">
      <c r="A130" s="503" t="s">
        <v>273</v>
      </c>
      <c r="B130" s="507" t="s">
        <v>2475</v>
      </c>
      <c r="C130" s="507">
        <v>9680</v>
      </c>
      <c r="D130" s="507">
        <v>9660</v>
      </c>
      <c r="E130" s="507">
        <v>9950</v>
      </c>
      <c r="F130" s="546"/>
    </row>
    <row r="131" s="529" customFormat="1" ht="14.25" customHeight="1" spans="1:6">
      <c r="A131" s="503" t="s">
        <v>273</v>
      </c>
      <c r="B131" s="507" t="s">
        <v>2483</v>
      </c>
      <c r="C131" s="507">
        <v>9540</v>
      </c>
      <c r="D131" s="507">
        <v>9510</v>
      </c>
      <c r="E131" s="507">
        <v>9790</v>
      </c>
      <c r="F131" s="546"/>
    </row>
    <row r="132" s="529" customFormat="1" ht="14.25" customHeight="1" spans="1:6">
      <c r="A132" s="503" t="s">
        <v>273</v>
      </c>
      <c r="B132" s="507" t="s">
        <v>2490</v>
      </c>
      <c r="C132" s="507">
        <v>9320</v>
      </c>
      <c r="D132" s="507">
        <v>9290</v>
      </c>
      <c r="E132" s="507">
        <v>9570</v>
      </c>
      <c r="F132" s="546"/>
    </row>
    <row r="133" s="529" customFormat="1" ht="14.25" customHeight="1" spans="1:6">
      <c r="A133" s="503" t="s">
        <v>273</v>
      </c>
      <c r="B133" s="507" t="s">
        <v>2497</v>
      </c>
      <c r="C133" s="507">
        <v>10310</v>
      </c>
      <c r="D133" s="507">
        <v>10280</v>
      </c>
      <c r="E133" s="507">
        <v>10530</v>
      </c>
      <c r="F133" s="546"/>
    </row>
    <row r="134" s="529" customFormat="1" ht="14.25" customHeight="1" spans="1:6">
      <c r="A134" s="503" t="s">
        <v>273</v>
      </c>
      <c r="B134" s="507" t="s">
        <v>2504</v>
      </c>
      <c r="C134" s="507">
        <v>10370</v>
      </c>
      <c r="D134" s="507">
        <v>10310</v>
      </c>
      <c r="E134" s="507">
        <v>10240</v>
      </c>
      <c r="F134" s="543">
        <v>2060</v>
      </c>
    </row>
    <row r="135" s="529" customFormat="1" ht="14.25" customHeight="1" spans="1:6">
      <c r="A135" s="503" t="s">
        <v>273</v>
      </c>
      <c r="B135" s="507" t="s">
        <v>2511</v>
      </c>
      <c r="C135" s="507">
        <v>9300</v>
      </c>
      <c r="D135" s="507">
        <v>9270</v>
      </c>
      <c r="E135" s="507">
        <v>9350</v>
      </c>
      <c r="F135" s="546"/>
    </row>
    <row r="136" s="529" customFormat="1" ht="14.25" customHeight="1" spans="1:6">
      <c r="A136" s="503" t="s">
        <v>273</v>
      </c>
      <c r="B136" s="507" t="s">
        <v>2518</v>
      </c>
      <c r="C136" s="507">
        <v>10160</v>
      </c>
      <c r="D136" s="507">
        <v>10110</v>
      </c>
      <c r="E136" s="507">
        <v>10080</v>
      </c>
      <c r="F136" s="546"/>
    </row>
    <row r="137" s="529" customFormat="1" ht="14.25" customHeight="1" spans="1:6">
      <c r="A137" s="503" t="s">
        <v>273</v>
      </c>
      <c r="B137" s="507" t="s">
        <v>2523</v>
      </c>
      <c r="C137" s="507">
        <v>9200</v>
      </c>
      <c r="D137" s="507">
        <v>9170</v>
      </c>
      <c r="E137" s="507">
        <v>9450</v>
      </c>
      <c r="F137" s="546"/>
    </row>
    <row r="138" s="529" customFormat="1" ht="14.25" customHeight="1" spans="1:6">
      <c r="A138" s="503" t="s">
        <v>273</v>
      </c>
      <c r="B138" s="507" t="s">
        <v>2528</v>
      </c>
      <c r="C138" s="507">
        <v>9690</v>
      </c>
      <c r="D138" s="507">
        <v>9660</v>
      </c>
      <c r="E138" s="507">
        <v>9840</v>
      </c>
      <c r="F138" s="546"/>
    </row>
    <row r="139" s="529" customFormat="1" ht="14.25" customHeight="1" spans="1:6">
      <c r="A139" s="503" t="s">
        <v>273</v>
      </c>
      <c r="B139" s="507" t="s">
        <v>2533</v>
      </c>
      <c r="C139" s="507">
        <v>10290</v>
      </c>
      <c r="D139" s="507">
        <v>10260</v>
      </c>
      <c r="E139" s="507">
        <v>10550</v>
      </c>
      <c r="F139" s="543">
        <v>1700</v>
      </c>
    </row>
    <row r="140" s="529" customFormat="1" ht="14.25" customHeight="1" spans="1:6">
      <c r="A140" s="503" t="s">
        <v>273</v>
      </c>
      <c r="B140" s="507" t="s">
        <v>2538</v>
      </c>
      <c r="C140" s="507">
        <v>9740</v>
      </c>
      <c r="D140" s="507">
        <v>9710</v>
      </c>
      <c r="E140" s="507">
        <v>10000</v>
      </c>
      <c r="F140" s="543">
        <v>2000</v>
      </c>
    </row>
    <row r="141" s="529" customFormat="1" ht="14.25" customHeight="1" spans="1:6">
      <c r="A141" s="503" t="s">
        <v>273</v>
      </c>
      <c r="B141" s="507" t="s">
        <v>2543</v>
      </c>
      <c r="C141" s="507">
        <v>9810</v>
      </c>
      <c r="D141" s="507">
        <v>9770</v>
      </c>
      <c r="E141" s="507">
        <v>10060</v>
      </c>
      <c r="F141" s="546"/>
    </row>
    <row r="142" s="529" customFormat="1" ht="14.25" customHeight="1" spans="1:6">
      <c r="A142" s="503" t="s">
        <v>273</v>
      </c>
      <c r="B142" s="507" t="s">
        <v>2548</v>
      </c>
      <c r="C142" s="507">
        <v>9300</v>
      </c>
      <c r="D142" s="507">
        <v>9270</v>
      </c>
      <c r="E142" s="507">
        <v>9530</v>
      </c>
      <c r="F142" s="546"/>
    </row>
    <row r="143" s="529" customFormat="1" ht="14.25" customHeight="1" spans="1:6">
      <c r="A143" s="503" t="s">
        <v>273</v>
      </c>
      <c r="B143" s="507" t="s">
        <v>2553</v>
      </c>
      <c r="C143" s="507">
        <v>10080</v>
      </c>
      <c r="D143" s="507">
        <v>10050</v>
      </c>
      <c r="E143" s="507">
        <v>10340</v>
      </c>
      <c r="F143" s="546"/>
    </row>
    <row r="144" s="529" customFormat="1" ht="14.25" customHeight="1" spans="1:6">
      <c r="A144" s="503" t="s">
        <v>273</v>
      </c>
      <c r="B144" s="507" t="s">
        <v>2557</v>
      </c>
      <c r="C144" s="507">
        <v>9820</v>
      </c>
      <c r="D144" s="507">
        <v>9750</v>
      </c>
      <c r="E144" s="507">
        <v>9900</v>
      </c>
      <c r="F144" s="546"/>
    </row>
    <row r="145" s="529" customFormat="1" ht="14.25" customHeight="1" spans="1:6">
      <c r="A145" s="503" t="s">
        <v>273</v>
      </c>
      <c r="B145" s="507" t="s">
        <v>2561</v>
      </c>
      <c r="C145" s="507"/>
      <c r="D145" s="507"/>
      <c r="E145" s="507"/>
      <c r="F145" s="543">
        <v>1740</v>
      </c>
    </row>
    <row r="146" s="529" customFormat="1" ht="14.25" customHeight="1" spans="1:6">
      <c r="A146" s="503" t="s">
        <v>273</v>
      </c>
      <c r="B146" s="507" t="s">
        <v>2565</v>
      </c>
      <c r="C146" s="507"/>
      <c r="D146" s="507"/>
      <c r="E146" s="507"/>
      <c r="F146" s="543">
        <v>1740</v>
      </c>
    </row>
    <row r="147" s="529" customFormat="1" ht="14.25" customHeight="1" spans="1:6">
      <c r="A147" s="503" t="s">
        <v>273</v>
      </c>
      <c r="B147" s="507" t="s">
        <v>2569</v>
      </c>
      <c r="C147" s="507"/>
      <c r="D147" s="507"/>
      <c r="E147" s="507"/>
      <c r="F147" s="543">
        <v>1740</v>
      </c>
    </row>
    <row r="148" s="529" customFormat="1" ht="14.25" customHeight="1" spans="1:6">
      <c r="A148" s="503" t="s">
        <v>273</v>
      </c>
      <c r="B148" s="507" t="s">
        <v>2573</v>
      </c>
      <c r="C148" s="507"/>
      <c r="D148" s="507"/>
      <c r="E148" s="507"/>
      <c r="F148" s="543">
        <v>1740</v>
      </c>
    </row>
    <row r="149" s="529" customFormat="1" ht="14.25" customHeight="1" spans="1:6">
      <c r="A149" s="503" t="s">
        <v>273</v>
      </c>
      <c r="B149" s="507" t="s">
        <v>2577</v>
      </c>
      <c r="C149" s="507"/>
      <c r="D149" s="507"/>
      <c r="E149" s="507"/>
      <c r="F149" s="543">
        <v>1740</v>
      </c>
    </row>
    <row r="150" s="529" customFormat="1" ht="14.25" customHeight="1" spans="1:6">
      <c r="A150" s="503" t="s">
        <v>273</v>
      </c>
      <c r="B150" s="507" t="s">
        <v>2580</v>
      </c>
      <c r="C150" s="507"/>
      <c r="D150" s="507"/>
      <c r="E150" s="507"/>
      <c r="F150" s="543">
        <v>1610</v>
      </c>
    </row>
    <row r="151" s="529" customFormat="1" ht="14.25" customHeight="1" spans="1:6">
      <c r="A151" s="503" t="s">
        <v>273</v>
      </c>
      <c r="B151" s="507" t="s">
        <v>2583</v>
      </c>
      <c r="C151" s="507"/>
      <c r="D151" s="507"/>
      <c r="E151" s="507"/>
      <c r="F151" s="543">
        <v>1610</v>
      </c>
    </row>
    <row r="152" s="529" customFormat="1" ht="14.25" customHeight="1" spans="1:6">
      <c r="A152" s="503" t="s">
        <v>273</v>
      </c>
      <c r="B152" s="507" t="s">
        <v>2586</v>
      </c>
      <c r="C152" s="507"/>
      <c r="D152" s="507"/>
      <c r="E152" s="507"/>
      <c r="F152" s="543">
        <v>1610</v>
      </c>
    </row>
    <row r="153" s="529" customFormat="1" ht="14.25" customHeight="1" spans="1:6">
      <c r="A153" s="503" t="s">
        <v>273</v>
      </c>
      <c r="B153" s="507" t="s">
        <v>404</v>
      </c>
      <c r="C153" s="507"/>
      <c r="D153" s="507"/>
      <c r="E153" s="507"/>
      <c r="F153" s="543">
        <v>1610</v>
      </c>
    </row>
    <row r="154" s="529" customFormat="1" ht="14.25" customHeight="1" spans="1:6">
      <c r="A154" s="503" t="s">
        <v>273</v>
      </c>
      <c r="B154" s="507" t="s">
        <v>2591</v>
      </c>
      <c r="C154" s="507"/>
      <c r="D154" s="507"/>
      <c r="E154" s="507"/>
      <c r="F154" s="543">
        <v>1610</v>
      </c>
    </row>
    <row r="155" s="529" customFormat="1" ht="14.25" customHeight="1" spans="1:6">
      <c r="A155" s="503" t="s">
        <v>273</v>
      </c>
      <c r="B155" s="507" t="s">
        <v>2594</v>
      </c>
      <c r="C155" s="507"/>
      <c r="D155" s="507"/>
      <c r="E155" s="507"/>
      <c r="F155" s="543">
        <v>1800</v>
      </c>
    </row>
    <row r="156" s="529" customFormat="1" ht="14.25" customHeight="1" spans="1:6">
      <c r="A156" s="503" t="s">
        <v>273</v>
      </c>
      <c r="B156" s="507" t="s">
        <v>2596</v>
      </c>
      <c r="C156" s="507"/>
      <c r="D156" s="507"/>
      <c r="E156" s="507"/>
      <c r="F156" s="543">
        <v>1910</v>
      </c>
    </row>
    <row r="157" s="529" customFormat="1" ht="14.25" customHeight="1" spans="1:6">
      <c r="A157" s="503" t="s">
        <v>273</v>
      </c>
      <c r="B157" s="518" t="s">
        <v>2598</v>
      </c>
      <c r="C157" s="518"/>
      <c r="D157" s="518"/>
      <c r="E157" s="518"/>
      <c r="F157" s="545">
        <v>1500</v>
      </c>
    </row>
    <row r="158" s="529" customFormat="1" ht="14.25" customHeight="1" spans="1:6">
      <c r="A158" s="503" t="s">
        <v>278</v>
      </c>
      <c r="B158" s="504" t="s">
        <v>2265</v>
      </c>
      <c r="C158" s="504">
        <v>8170</v>
      </c>
      <c r="D158" s="504">
        <v>8140</v>
      </c>
      <c r="E158" s="504">
        <v>8590</v>
      </c>
      <c r="F158" s="540">
        <v>1450</v>
      </c>
    </row>
    <row r="159" s="529" customFormat="1" ht="14.25" customHeight="1" spans="1:6">
      <c r="A159" s="503" t="s">
        <v>278</v>
      </c>
      <c r="B159" s="507" t="s">
        <v>2278</v>
      </c>
      <c r="C159" s="507">
        <v>7410</v>
      </c>
      <c r="D159" s="507">
        <v>7370</v>
      </c>
      <c r="E159" s="507">
        <v>8030</v>
      </c>
      <c r="F159" s="543">
        <v>1510</v>
      </c>
    </row>
    <row r="160" s="529" customFormat="1" ht="14.25" customHeight="1" spans="1:6">
      <c r="A160" s="503" t="s">
        <v>278</v>
      </c>
      <c r="B160" s="507" t="s">
        <v>2292</v>
      </c>
      <c r="C160" s="507">
        <v>7240</v>
      </c>
      <c r="D160" s="507">
        <v>7210</v>
      </c>
      <c r="E160" s="507">
        <v>7860</v>
      </c>
      <c r="F160" s="543">
        <v>1370</v>
      </c>
    </row>
    <row r="161" s="529" customFormat="1" ht="14.25" customHeight="1" spans="1:6">
      <c r="A161" s="503" t="s">
        <v>278</v>
      </c>
      <c r="B161" s="507" t="s">
        <v>2304</v>
      </c>
      <c r="C161" s="507">
        <v>7720</v>
      </c>
      <c r="D161" s="507">
        <v>7690</v>
      </c>
      <c r="E161" s="507">
        <v>8200</v>
      </c>
      <c r="F161" s="543">
        <v>1190</v>
      </c>
    </row>
    <row r="162" s="529" customFormat="1" ht="14.25" customHeight="1" spans="1:6">
      <c r="A162" s="503" t="s">
        <v>278</v>
      </c>
      <c r="B162" s="507" t="s">
        <v>2316</v>
      </c>
      <c r="C162" s="507">
        <v>6900</v>
      </c>
      <c r="D162" s="507">
        <v>6870</v>
      </c>
      <c r="E162" s="507">
        <v>7500</v>
      </c>
      <c r="F162" s="543">
        <v>1390</v>
      </c>
    </row>
    <row r="163" s="529" customFormat="1" ht="14.25" customHeight="1" spans="1:6">
      <c r="A163" s="503" t="s">
        <v>278</v>
      </c>
      <c r="B163" s="507" t="s">
        <v>2327</v>
      </c>
      <c r="C163" s="507">
        <v>7120</v>
      </c>
      <c r="D163" s="507">
        <v>7090</v>
      </c>
      <c r="E163" s="507">
        <v>7690</v>
      </c>
      <c r="F163" s="543">
        <v>1230</v>
      </c>
    </row>
    <row r="164" s="529" customFormat="1" ht="14.25" customHeight="1" spans="1:6">
      <c r="A164" s="503" t="s">
        <v>278</v>
      </c>
      <c r="B164" s="507" t="s">
        <v>2338</v>
      </c>
      <c r="C164" s="507">
        <v>6560</v>
      </c>
      <c r="D164" s="507">
        <v>6530</v>
      </c>
      <c r="E164" s="507">
        <v>7110</v>
      </c>
      <c r="F164" s="543">
        <v>1340</v>
      </c>
    </row>
    <row r="165" s="529" customFormat="1" ht="14.25" customHeight="1" spans="1:6">
      <c r="A165" s="503" t="s">
        <v>278</v>
      </c>
      <c r="B165" s="507" t="s">
        <v>2349</v>
      </c>
      <c r="C165" s="507">
        <v>7450</v>
      </c>
      <c r="D165" s="507">
        <v>7430</v>
      </c>
      <c r="E165" s="507">
        <v>8110</v>
      </c>
      <c r="F165" s="543">
        <v>1290</v>
      </c>
    </row>
    <row r="166" s="529" customFormat="1" ht="14.25" customHeight="1" spans="1:6">
      <c r="A166" s="503" t="s">
        <v>278</v>
      </c>
      <c r="B166" s="507" t="s">
        <v>2359</v>
      </c>
      <c r="C166" s="507">
        <v>7490</v>
      </c>
      <c r="D166" s="507">
        <v>7460</v>
      </c>
      <c r="E166" s="507">
        <v>8150</v>
      </c>
      <c r="F166" s="543">
        <v>1350</v>
      </c>
    </row>
    <row r="167" s="529" customFormat="1" ht="14.25" customHeight="1" spans="1:6">
      <c r="A167" s="503" t="s">
        <v>278</v>
      </c>
      <c r="B167" s="507" t="s">
        <v>2369</v>
      </c>
      <c r="C167" s="507">
        <v>7540</v>
      </c>
      <c r="D167" s="507">
        <v>7510</v>
      </c>
      <c r="E167" s="507">
        <v>8030</v>
      </c>
      <c r="F167" s="546"/>
    </row>
    <row r="168" s="529" customFormat="1" ht="14.25" customHeight="1" spans="1:6">
      <c r="A168" s="503" t="s">
        <v>278</v>
      </c>
      <c r="B168" s="507" t="s">
        <v>2379</v>
      </c>
      <c r="C168" s="507">
        <v>7210</v>
      </c>
      <c r="D168" s="507">
        <v>7180</v>
      </c>
      <c r="E168" s="507">
        <v>7830</v>
      </c>
      <c r="F168" s="546"/>
    </row>
    <row r="169" s="529" customFormat="1" ht="14.25" customHeight="1" spans="1:6">
      <c r="A169" s="503" t="s">
        <v>278</v>
      </c>
      <c r="B169" s="507" t="s">
        <v>2389</v>
      </c>
      <c r="C169" s="507">
        <v>7040</v>
      </c>
      <c r="D169" s="507">
        <v>7020</v>
      </c>
      <c r="E169" s="507">
        <v>7670</v>
      </c>
      <c r="F169" s="546"/>
    </row>
    <row r="170" s="529" customFormat="1" ht="14.25" customHeight="1" spans="1:6">
      <c r="A170" s="503" t="s">
        <v>278</v>
      </c>
      <c r="B170" s="507" t="s">
        <v>2399</v>
      </c>
      <c r="C170" s="507">
        <v>8040</v>
      </c>
      <c r="D170" s="507">
        <v>7190</v>
      </c>
      <c r="E170" s="507">
        <v>7850</v>
      </c>
      <c r="F170" s="546"/>
    </row>
    <row r="171" s="529" customFormat="1" ht="14.25" customHeight="1" spans="1:6">
      <c r="A171" s="503" t="s">
        <v>278</v>
      </c>
      <c r="B171" s="507" t="s">
        <v>2409</v>
      </c>
      <c r="C171" s="507">
        <v>7860</v>
      </c>
      <c r="D171" s="507">
        <v>7720</v>
      </c>
      <c r="E171" s="507">
        <v>8150</v>
      </c>
      <c r="F171" s="543">
        <v>1110</v>
      </c>
    </row>
    <row r="172" s="529" customFormat="1" ht="14.25" customHeight="1" spans="1:6">
      <c r="A172" s="503" t="s">
        <v>278</v>
      </c>
      <c r="B172" s="507" t="s">
        <v>2419</v>
      </c>
      <c r="C172" s="507">
        <v>7210</v>
      </c>
      <c r="D172" s="507">
        <v>7170</v>
      </c>
      <c r="E172" s="507">
        <v>7320</v>
      </c>
      <c r="F172" s="546"/>
    </row>
    <row r="173" s="529" customFormat="1" ht="14.25" customHeight="1" spans="1:6">
      <c r="A173" s="503" t="s">
        <v>278</v>
      </c>
      <c r="B173" s="507" t="s">
        <v>2429</v>
      </c>
      <c r="C173" s="507">
        <v>6860</v>
      </c>
      <c r="D173" s="507">
        <v>6810</v>
      </c>
      <c r="E173" s="507">
        <v>7440</v>
      </c>
      <c r="F173" s="546"/>
    </row>
    <row r="174" s="529" customFormat="1" ht="14.25" customHeight="1" spans="1:6">
      <c r="A174" s="503" t="s">
        <v>278</v>
      </c>
      <c r="B174" s="507" t="s">
        <v>2439</v>
      </c>
      <c r="C174" s="507">
        <v>7120</v>
      </c>
      <c r="D174" s="507">
        <v>7090</v>
      </c>
      <c r="E174" s="507">
        <v>7500</v>
      </c>
      <c r="F174" s="543">
        <v>1490</v>
      </c>
    </row>
    <row r="175" s="529" customFormat="1" ht="14.25" customHeight="1" spans="1:6">
      <c r="A175" s="503" t="s">
        <v>278</v>
      </c>
      <c r="B175" s="507" t="s">
        <v>2449</v>
      </c>
      <c r="C175" s="507">
        <v>7850</v>
      </c>
      <c r="D175" s="507">
        <v>7820</v>
      </c>
      <c r="E175" s="507">
        <v>8120</v>
      </c>
      <c r="F175" s="543">
        <v>1530</v>
      </c>
    </row>
    <row r="176" s="529" customFormat="1" ht="14.25" customHeight="1" spans="1:6">
      <c r="A176" s="503" t="s">
        <v>278</v>
      </c>
      <c r="B176" s="507" t="s">
        <v>2459</v>
      </c>
      <c r="C176" s="507">
        <v>7620</v>
      </c>
      <c r="D176" s="507">
        <v>7570</v>
      </c>
      <c r="E176" s="507">
        <v>7990</v>
      </c>
      <c r="F176" s="543">
        <v>1480</v>
      </c>
    </row>
    <row r="177" s="529" customFormat="1" ht="14.25" customHeight="1" spans="1:6">
      <c r="A177" s="503" t="s">
        <v>278</v>
      </c>
      <c r="B177" s="507" t="s">
        <v>2468</v>
      </c>
      <c r="C177" s="507">
        <v>8590</v>
      </c>
      <c r="D177" s="507">
        <v>8570</v>
      </c>
      <c r="E177" s="507">
        <v>8740</v>
      </c>
      <c r="F177" s="543">
        <v>1540</v>
      </c>
    </row>
    <row r="178" s="529" customFormat="1" ht="14.25" customHeight="1" spans="1:6">
      <c r="A178" s="503" t="s">
        <v>278</v>
      </c>
      <c r="B178" s="507" t="s">
        <v>2476</v>
      </c>
      <c r="C178" s="507">
        <v>7510</v>
      </c>
      <c r="D178" s="507">
        <v>7470</v>
      </c>
      <c r="E178" s="507">
        <v>8090</v>
      </c>
      <c r="F178" s="543">
        <v>1320</v>
      </c>
    </row>
    <row r="179" s="529" customFormat="1" ht="14.25" customHeight="1" spans="1:6">
      <c r="A179" s="503" t="s">
        <v>278</v>
      </c>
      <c r="B179" s="507" t="s">
        <v>2484</v>
      </c>
      <c r="C179" s="507">
        <v>6380</v>
      </c>
      <c r="D179" s="507">
        <v>6340</v>
      </c>
      <c r="E179" s="507">
        <v>6810</v>
      </c>
      <c r="F179" s="546"/>
    </row>
    <row r="180" s="529" customFormat="1" ht="14.25" customHeight="1" spans="1:6">
      <c r="A180" s="503" t="s">
        <v>278</v>
      </c>
      <c r="B180" s="507" t="s">
        <v>2491</v>
      </c>
      <c r="C180" s="507">
        <v>7830</v>
      </c>
      <c r="D180" s="507">
        <v>7800</v>
      </c>
      <c r="E180" s="507">
        <v>7780</v>
      </c>
      <c r="F180" s="543">
        <v>1440</v>
      </c>
    </row>
    <row r="181" s="529" customFormat="1" ht="14.25" customHeight="1" spans="1:6">
      <c r="A181" s="503" t="s">
        <v>278</v>
      </c>
      <c r="B181" s="507" t="s">
        <v>2498</v>
      </c>
      <c r="C181" s="507">
        <v>7110</v>
      </c>
      <c r="D181" s="507">
        <v>7080</v>
      </c>
      <c r="E181" s="507">
        <v>7730</v>
      </c>
      <c r="F181" s="543">
        <v>1350</v>
      </c>
    </row>
    <row r="182" s="529" customFormat="1" ht="14.25" customHeight="1" spans="1:6">
      <c r="A182" s="503" t="s">
        <v>278</v>
      </c>
      <c r="B182" s="507" t="s">
        <v>2505</v>
      </c>
      <c r="C182" s="507">
        <v>7310</v>
      </c>
      <c r="D182" s="507">
        <v>7280</v>
      </c>
      <c r="E182" s="507">
        <v>7950</v>
      </c>
      <c r="F182" s="543">
        <v>1220</v>
      </c>
    </row>
    <row r="183" s="529" customFormat="1" ht="14.25" customHeight="1" spans="1:6">
      <c r="A183" s="503" t="s">
        <v>278</v>
      </c>
      <c r="B183" s="507" t="s">
        <v>2512</v>
      </c>
      <c r="C183" s="507">
        <v>7470</v>
      </c>
      <c r="D183" s="507">
        <v>7440</v>
      </c>
      <c r="E183" s="507">
        <v>7880</v>
      </c>
      <c r="F183" s="546"/>
    </row>
    <row r="184" s="529" customFormat="1" ht="14.25" customHeight="1" spans="1:6">
      <c r="A184" s="503" t="s">
        <v>278</v>
      </c>
      <c r="B184" s="507" t="s">
        <v>2519</v>
      </c>
      <c r="C184" s="507">
        <v>6960</v>
      </c>
      <c r="D184" s="507">
        <v>6930</v>
      </c>
      <c r="E184" s="507">
        <v>7570</v>
      </c>
      <c r="F184" s="546"/>
    </row>
    <row r="185" s="529" customFormat="1" ht="14.25" customHeight="1" spans="1:6">
      <c r="A185" s="503" t="s">
        <v>278</v>
      </c>
      <c r="B185" s="507" t="s">
        <v>2524</v>
      </c>
      <c r="C185" s="507">
        <v>7260</v>
      </c>
      <c r="D185" s="507">
        <v>7230</v>
      </c>
      <c r="E185" s="507">
        <v>7710</v>
      </c>
      <c r="F185" s="543">
        <v>1360</v>
      </c>
    </row>
    <row r="186" s="529" customFormat="1" ht="14.25" customHeight="1" spans="1:6">
      <c r="A186" s="503" t="s">
        <v>278</v>
      </c>
      <c r="B186" s="507" t="s">
        <v>2529</v>
      </c>
      <c r="C186" s="507"/>
      <c r="D186" s="507"/>
      <c r="E186" s="507"/>
      <c r="F186" s="543">
        <v>1560</v>
      </c>
    </row>
    <row r="187" s="529" customFormat="1" ht="14.25" customHeight="1" spans="1:6">
      <c r="A187" s="503" t="s">
        <v>278</v>
      </c>
      <c r="B187" s="507" t="s">
        <v>2534</v>
      </c>
      <c r="C187" s="507"/>
      <c r="D187" s="507"/>
      <c r="E187" s="507"/>
      <c r="F187" s="543">
        <v>1560</v>
      </c>
    </row>
    <row r="188" s="529" customFormat="1" ht="14.25" customHeight="1" spans="1:6">
      <c r="A188" s="503" t="s">
        <v>278</v>
      </c>
      <c r="B188" s="507" t="s">
        <v>2539</v>
      </c>
      <c r="C188" s="507"/>
      <c r="D188" s="507"/>
      <c r="E188" s="507"/>
      <c r="F188" s="543">
        <v>1560</v>
      </c>
    </row>
    <row r="189" s="529" customFormat="1" ht="14.25" customHeight="1" spans="1:6">
      <c r="A189" s="503" t="s">
        <v>278</v>
      </c>
      <c r="B189" s="507" t="s">
        <v>2544</v>
      </c>
      <c r="C189" s="507"/>
      <c r="D189" s="507"/>
      <c r="E189" s="507"/>
      <c r="F189" s="543">
        <v>1320</v>
      </c>
    </row>
    <row r="190" s="529" customFormat="1" ht="14.25" customHeight="1" spans="1:6">
      <c r="A190" s="503" t="s">
        <v>278</v>
      </c>
      <c r="B190" s="507" t="s">
        <v>2549</v>
      </c>
      <c r="C190" s="507"/>
      <c r="D190" s="507"/>
      <c r="E190" s="507"/>
      <c r="F190" s="543">
        <v>1320</v>
      </c>
    </row>
    <row r="191" s="529" customFormat="1" ht="14.25" customHeight="1" spans="1:6">
      <c r="A191" s="503" t="s">
        <v>278</v>
      </c>
      <c r="B191" s="507" t="s">
        <v>2554</v>
      </c>
      <c r="C191" s="507"/>
      <c r="D191" s="507"/>
      <c r="E191" s="507"/>
      <c r="F191" s="543">
        <v>1320</v>
      </c>
    </row>
    <row r="192" s="529" customFormat="1" ht="14.25" customHeight="1" spans="1:6">
      <c r="A192" s="503" t="s">
        <v>278</v>
      </c>
      <c r="B192" s="507" t="s">
        <v>2558</v>
      </c>
      <c r="C192" s="507"/>
      <c r="D192" s="507"/>
      <c r="E192" s="507"/>
      <c r="F192" s="543">
        <v>1100</v>
      </c>
    </row>
    <row r="193" s="529" customFormat="1" ht="14.25" customHeight="1" spans="1:6">
      <c r="A193" s="503" t="s">
        <v>278</v>
      </c>
      <c r="B193" s="507" t="s">
        <v>2562</v>
      </c>
      <c r="C193" s="507"/>
      <c r="D193" s="507"/>
      <c r="E193" s="507"/>
      <c r="F193" s="543">
        <v>1100</v>
      </c>
    </row>
    <row r="194" s="529" customFormat="1" ht="14.25" customHeight="1" spans="1:6">
      <c r="A194" s="503" t="s">
        <v>278</v>
      </c>
      <c r="B194" s="507" t="s">
        <v>2566</v>
      </c>
      <c r="C194" s="507"/>
      <c r="D194" s="507"/>
      <c r="E194" s="507"/>
      <c r="F194" s="543">
        <v>1080</v>
      </c>
    </row>
    <row r="195" s="529" customFormat="1" ht="14.25" customHeight="1" spans="1:6">
      <c r="A195" s="503" t="s">
        <v>278</v>
      </c>
      <c r="B195" s="507" t="s">
        <v>2570</v>
      </c>
      <c r="C195" s="507"/>
      <c r="D195" s="507"/>
      <c r="E195" s="507"/>
      <c r="F195" s="543">
        <v>1270</v>
      </c>
    </row>
    <row r="196" s="529" customFormat="1" ht="14.25" customHeight="1" spans="1:6">
      <c r="A196" s="503" t="s">
        <v>278</v>
      </c>
      <c r="B196" s="507" t="s">
        <v>2574</v>
      </c>
      <c r="C196" s="507"/>
      <c r="D196" s="507"/>
      <c r="E196" s="507"/>
      <c r="F196" s="543">
        <v>1150</v>
      </c>
    </row>
    <row r="197" s="529" customFormat="1" ht="14.25" customHeight="1" spans="1:6">
      <c r="A197" s="503" t="s">
        <v>278</v>
      </c>
      <c r="B197" s="507" t="s">
        <v>2578</v>
      </c>
      <c r="C197" s="507"/>
      <c r="D197" s="507"/>
      <c r="E197" s="507"/>
      <c r="F197" s="543">
        <v>1330</v>
      </c>
    </row>
    <row r="198" s="529" customFormat="1" ht="14.25" customHeight="1" spans="1:6">
      <c r="A198" s="503" t="s">
        <v>278</v>
      </c>
      <c r="B198" s="507" t="s">
        <v>2581</v>
      </c>
      <c r="C198" s="507"/>
      <c r="D198" s="507"/>
      <c r="E198" s="507"/>
      <c r="F198" s="543">
        <v>1170</v>
      </c>
    </row>
    <row r="199" s="529" customFormat="1" ht="14.25" customHeight="1" spans="1:6">
      <c r="A199" s="503" t="s">
        <v>278</v>
      </c>
      <c r="B199" s="507" t="s">
        <v>2584</v>
      </c>
      <c r="C199" s="507"/>
      <c r="D199" s="507"/>
      <c r="E199" s="507"/>
      <c r="F199" s="543">
        <v>1120</v>
      </c>
    </row>
    <row r="200" s="529" customFormat="1" ht="14.25" customHeight="1" spans="1:6">
      <c r="A200" s="503" t="s">
        <v>278</v>
      </c>
      <c r="B200" s="507" t="s">
        <v>2587</v>
      </c>
      <c r="C200" s="507"/>
      <c r="D200" s="507"/>
      <c r="E200" s="507"/>
      <c r="F200" s="543">
        <v>1120</v>
      </c>
    </row>
    <row r="201" s="529" customFormat="1" ht="14.25" customHeight="1" spans="1:6">
      <c r="A201" s="503" t="s">
        <v>278</v>
      </c>
      <c r="B201" s="507" t="s">
        <v>2589</v>
      </c>
      <c r="C201" s="507"/>
      <c r="D201" s="507"/>
      <c r="E201" s="507"/>
      <c r="F201" s="543">
        <v>1540</v>
      </c>
    </row>
    <row r="202" s="529" customFormat="1" ht="14.25" customHeight="1" spans="1:6">
      <c r="A202" s="503" t="s">
        <v>278</v>
      </c>
      <c r="B202" s="507" t="s">
        <v>2592</v>
      </c>
      <c r="C202" s="507"/>
      <c r="D202" s="507"/>
      <c r="E202" s="507"/>
      <c r="F202" s="543">
        <v>1310</v>
      </c>
    </row>
    <row r="203" s="529" customFormat="1" ht="14.25" customHeight="1" spans="1:6">
      <c r="A203" s="503" t="s">
        <v>278</v>
      </c>
      <c r="B203" s="507" t="s">
        <v>2595</v>
      </c>
      <c r="C203" s="507"/>
      <c r="D203" s="507"/>
      <c r="E203" s="507"/>
      <c r="F203" s="543">
        <v>1310</v>
      </c>
    </row>
    <row r="204" s="529" customFormat="1" ht="14.25" customHeight="1" spans="1:6">
      <c r="A204" s="503" t="s">
        <v>278</v>
      </c>
      <c r="B204" s="507" t="s">
        <v>2597</v>
      </c>
      <c r="C204" s="507"/>
      <c r="D204" s="507"/>
      <c r="E204" s="507"/>
      <c r="F204" s="543">
        <v>1080</v>
      </c>
    </row>
    <row r="205" s="529" customFormat="1" ht="14.25" customHeight="1" spans="1:6">
      <c r="A205" s="503" t="s">
        <v>278</v>
      </c>
      <c r="B205" s="507" t="s">
        <v>2599</v>
      </c>
      <c r="C205" s="507"/>
      <c r="D205" s="507"/>
      <c r="E205" s="507"/>
      <c r="F205" s="543">
        <v>1080</v>
      </c>
    </row>
    <row r="206" s="529" customFormat="1" ht="14.25" customHeight="1" spans="1:6">
      <c r="A206" s="503" t="s">
        <v>283</v>
      </c>
      <c r="B206" s="504" t="s">
        <v>2266</v>
      </c>
      <c r="C206" s="504">
        <v>5450</v>
      </c>
      <c r="D206" s="504">
        <v>5430</v>
      </c>
      <c r="E206" s="504">
        <v>5700</v>
      </c>
      <c r="F206" s="540">
        <v>1020</v>
      </c>
    </row>
    <row r="207" s="529" customFormat="1" ht="14.25" customHeight="1" spans="1:6">
      <c r="A207" s="503" t="s">
        <v>283</v>
      </c>
      <c r="B207" s="507" t="s">
        <v>2279</v>
      </c>
      <c r="C207" s="507">
        <v>5860</v>
      </c>
      <c r="D207" s="507">
        <v>5820</v>
      </c>
      <c r="E207" s="507">
        <v>6050</v>
      </c>
      <c r="F207" s="543">
        <v>1080</v>
      </c>
    </row>
    <row r="208" s="529" customFormat="1" ht="14.25" customHeight="1" spans="1:6">
      <c r="A208" s="503" t="s">
        <v>283</v>
      </c>
      <c r="B208" s="507" t="s">
        <v>2293</v>
      </c>
      <c r="C208" s="507">
        <v>4630</v>
      </c>
      <c r="D208" s="507">
        <v>4600</v>
      </c>
      <c r="E208" s="507">
        <v>4840</v>
      </c>
      <c r="F208" s="543">
        <v>900</v>
      </c>
    </row>
    <row r="209" s="529" customFormat="1" ht="14.25" customHeight="1" spans="1:6">
      <c r="A209" s="503" t="s">
        <v>283</v>
      </c>
      <c r="B209" s="507" t="s">
        <v>2305</v>
      </c>
      <c r="C209" s="507">
        <v>5320</v>
      </c>
      <c r="D209" s="507">
        <v>5270</v>
      </c>
      <c r="E209" s="507">
        <v>5540</v>
      </c>
      <c r="F209" s="543">
        <v>980</v>
      </c>
    </row>
    <row r="210" s="529" customFormat="1" ht="14.25" customHeight="1" spans="1:6">
      <c r="A210" s="503" t="s">
        <v>283</v>
      </c>
      <c r="B210" s="507" t="s">
        <v>2317</v>
      </c>
      <c r="C210" s="507">
        <v>5760</v>
      </c>
      <c r="D210" s="507">
        <v>5710</v>
      </c>
      <c r="E210" s="507">
        <v>6010</v>
      </c>
      <c r="F210" s="543">
        <v>870</v>
      </c>
    </row>
    <row r="211" s="529" customFormat="1" ht="14.25" customHeight="1" spans="1:6">
      <c r="A211" s="503" t="s">
        <v>283</v>
      </c>
      <c r="B211" s="507" t="s">
        <v>2328</v>
      </c>
      <c r="C211" s="507">
        <v>4160</v>
      </c>
      <c r="D211" s="507">
        <v>4100</v>
      </c>
      <c r="E211" s="507">
        <v>4270</v>
      </c>
      <c r="F211" s="543">
        <v>790</v>
      </c>
    </row>
    <row r="212" s="529" customFormat="1" ht="14.25" customHeight="1" spans="1:6">
      <c r="A212" s="503" t="s">
        <v>283</v>
      </c>
      <c r="B212" s="507" t="s">
        <v>2339</v>
      </c>
      <c r="C212" s="507">
        <v>4880</v>
      </c>
      <c r="D212" s="507">
        <v>4850</v>
      </c>
      <c r="E212" s="507">
        <v>5110</v>
      </c>
      <c r="F212" s="543">
        <v>940</v>
      </c>
    </row>
    <row r="213" s="529" customFormat="1" ht="14.25" customHeight="1" spans="1:6">
      <c r="A213" s="503" t="s">
        <v>283</v>
      </c>
      <c r="B213" s="507" t="s">
        <v>2350</v>
      </c>
      <c r="C213" s="507">
        <v>4640</v>
      </c>
      <c r="D213" s="507">
        <v>4590</v>
      </c>
      <c r="E213" s="507">
        <v>4700</v>
      </c>
      <c r="F213" s="543">
        <v>1030</v>
      </c>
    </row>
    <row r="214" s="529" customFormat="1" ht="14.25" customHeight="1" spans="1:6">
      <c r="A214" s="503" t="s">
        <v>283</v>
      </c>
      <c r="B214" s="507" t="s">
        <v>2360</v>
      </c>
      <c r="C214" s="507">
        <v>4540</v>
      </c>
      <c r="D214" s="507">
        <v>4490</v>
      </c>
      <c r="E214" s="507">
        <v>4610</v>
      </c>
      <c r="F214" s="546"/>
    </row>
    <row r="215" s="529" customFormat="1" ht="14.25" customHeight="1" spans="1:6">
      <c r="A215" s="503" t="s">
        <v>283</v>
      </c>
      <c r="B215" s="507" t="s">
        <v>2370</v>
      </c>
      <c r="C215" s="507">
        <v>5280</v>
      </c>
      <c r="D215" s="507">
        <v>5250</v>
      </c>
      <c r="E215" s="507">
        <v>5520</v>
      </c>
      <c r="F215" s="543">
        <v>1000</v>
      </c>
    </row>
    <row r="216" s="529" customFormat="1" ht="14.25" customHeight="1" spans="1:6">
      <c r="A216" s="503" t="s">
        <v>283</v>
      </c>
      <c r="B216" s="507" t="s">
        <v>2380</v>
      </c>
      <c r="C216" s="507">
        <v>5100</v>
      </c>
      <c r="D216" s="507">
        <v>5050</v>
      </c>
      <c r="E216" s="507">
        <v>5300</v>
      </c>
      <c r="F216" s="543">
        <v>950</v>
      </c>
    </row>
    <row r="217" s="529" customFormat="1" ht="14.25" customHeight="1" spans="1:6">
      <c r="A217" s="503" t="s">
        <v>283</v>
      </c>
      <c r="B217" s="507" t="s">
        <v>2390</v>
      </c>
      <c r="C217" s="507">
        <v>5370</v>
      </c>
      <c r="D217" s="507">
        <v>5320</v>
      </c>
      <c r="E217" s="507">
        <v>5410</v>
      </c>
      <c r="F217" s="543">
        <v>950</v>
      </c>
    </row>
    <row r="218" s="529" customFormat="1" ht="14.25" customHeight="1" spans="1:6">
      <c r="A218" s="503" t="s">
        <v>283</v>
      </c>
      <c r="B218" s="507" t="s">
        <v>2400</v>
      </c>
      <c r="C218" s="507">
        <v>5540</v>
      </c>
      <c r="D218" s="507">
        <v>5480</v>
      </c>
      <c r="E218" s="507">
        <v>5740</v>
      </c>
      <c r="F218" s="543">
        <v>1020</v>
      </c>
    </row>
    <row r="219" s="529" customFormat="1" ht="14.25" customHeight="1" spans="1:6">
      <c r="A219" s="503" t="s">
        <v>283</v>
      </c>
      <c r="B219" s="507" t="s">
        <v>2410</v>
      </c>
      <c r="C219" s="507">
        <v>5140</v>
      </c>
      <c r="D219" s="507">
        <v>5100</v>
      </c>
      <c r="E219" s="507">
        <v>5350</v>
      </c>
      <c r="F219" s="543">
        <v>1120</v>
      </c>
    </row>
    <row r="220" s="529" customFormat="1" ht="14.25" customHeight="1" spans="1:6">
      <c r="A220" s="503" t="s">
        <v>283</v>
      </c>
      <c r="B220" s="507" t="s">
        <v>2420</v>
      </c>
      <c r="C220" s="507">
        <v>5040</v>
      </c>
      <c r="D220" s="507">
        <v>5000</v>
      </c>
      <c r="E220" s="507">
        <v>5240</v>
      </c>
      <c r="F220" s="543">
        <v>980</v>
      </c>
    </row>
    <row r="221" s="529" customFormat="1" ht="14.25" customHeight="1" spans="1:6">
      <c r="A221" s="503" t="s">
        <v>283</v>
      </c>
      <c r="B221" s="507" t="s">
        <v>2430</v>
      </c>
      <c r="C221" s="549"/>
      <c r="D221" s="549"/>
      <c r="E221" s="549"/>
      <c r="F221" s="543">
        <v>1070</v>
      </c>
    </row>
    <row r="222" s="529" customFormat="1" ht="14.25" customHeight="1" spans="1:6">
      <c r="A222" s="503" t="s">
        <v>283</v>
      </c>
      <c r="B222" s="507" t="s">
        <v>2440</v>
      </c>
      <c r="C222" s="549"/>
      <c r="D222" s="549"/>
      <c r="E222" s="549"/>
      <c r="F222" s="543">
        <v>870</v>
      </c>
    </row>
    <row r="223" s="529" customFormat="1" ht="14.25" customHeight="1" spans="1:6">
      <c r="A223" s="503" t="s">
        <v>283</v>
      </c>
      <c r="B223" s="507" t="s">
        <v>2450</v>
      </c>
      <c r="C223" s="549"/>
      <c r="D223" s="549"/>
      <c r="E223" s="549"/>
      <c r="F223" s="543">
        <v>940</v>
      </c>
    </row>
    <row r="224" s="529" customFormat="1" ht="14.25" customHeight="1" spans="1:6">
      <c r="A224" s="503" t="s">
        <v>283</v>
      </c>
      <c r="B224" s="507" t="s">
        <v>2460</v>
      </c>
      <c r="C224" s="549"/>
      <c r="D224" s="549"/>
      <c r="E224" s="549"/>
      <c r="F224" s="543">
        <v>990</v>
      </c>
    </row>
    <row r="225" s="529" customFormat="1" ht="14.25" customHeight="1" spans="1:6">
      <c r="A225" s="503" t="s">
        <v>283</v>
      </c>
      <c r="B225" s="507" t="s">
        <v>2469</v>
      </c>
      <c r="C225" s="507">
        <v>5730</v>
      </c>
      <c r="D225" s="507">
        <v>5680</v>
      </c>
      <c r="E225" s="507">
        <v>6020</v>
      </c>
      <c r="F225" s="543">
        <v>1000</v>
      </c>
    </row>
    <row r="226" s="529" customFormat="1" ht="14.25" customHeight="1" spans="1:6">
      <c r="A226" s="503" t="s">
        <v>283</v>
      </c>
      <c r="B226" s="507" t="s">
        <v>2477</v>
      </c>
      <c r="C226" s="507">
        <v>4970</v>
      </c>
      <c r="D226" s="507">
        <v>4940</v>
      </c>
      <c r="E226" s="507">
        <v>5180</v>
      </c>
      <c r="F226" s="543">
        <v>960</v>
      </c>
    </row>
    <row r="227" s="529" customFormat="1" ht="14.25" customHeight="1" spans="1:6">
      <c r="A227" s="503" t="s">
        <v>283</v>
      </c>
      <c r="B227" s="507" t="s">
        <v>2485</v>
      </c>
      <c r="C227" s="507">
        <v>5550</v>
      </c>
      <c r="D227" s="507">
        <v>5500</v>
      </c>
      <c r="E227" s="507">
        <v>5780</v>
      </c>
      <c r="F227" s="543">
        <v>940</v>
      </c>
    </row>
    <row r="228" s="529" customFormat="1" ht="14.25" customHeight="1" spans="1:6">
      <c r="A228" s="503" t="s">
        <v>283</v>
      </c>
      <c r="B228" s="507" t="s">
        <v>2492</v>
      </c>
      <c r="C228" s="507">
        <v>5460</v>
      </c>
      <c r="D228" s="507">
        <v>5420</v>
      </c>
      <c r="E228" s="507">
        <v>5690</v>
      </c>
      <c r="F228" s="543">
        <v>910</v>
      </c>
    </row>
    <row r="229" s="529" customFormat="1" ht="14.25" customHeight="1" spans="1:6">
      <c r="A229" s="503" t="s">
        <v>283</v>
      </c>
      <c r="B229" s="507" t="s">
        <v>2499</v>
      </c>
      <c r="C229" s="507">
        <v>5310</v>
      </c>
      <c r="D229" s="507">
        <v>5270</v>
      </c>
      <c r="E229" s="507">
        <v>5510</v>
      </c>
      <c r="F229" s="546"/>
    </row>
    <row r="230" s="529" customFormat="1" ht="14.25" customHeight="1" spans="1:6">
      <c r="A230" s="503" t="s">
        <v>283</v>
      </c>
      <c r="B230" s="507" t="s">
        <v>2506</v>
      </c>
      <c r="C230" s="507">
        <v>4540</v>
      </c>
      <c r="D230" s="507">
        <v>4500</v>
      </c>
      <c r="E230" s="507">
        <v>4730</v>
      </c>
      <c r="F230" s="546"/>
    </row>
    <row r="231" s="529" customFormat="1" ht="14.25" customHeight="1" spans="1:6">
      <c r="A231" s="503" t="s">
        <v>283</v>
      </c>
      <c r="B231" s="507" t="s">
        <v>2513</v>
      </c>
      <c r="C231" s="507">
        <v>4480</v>
      </c>
      <c r="D231" s="507">
        <v>4410</v>
      </c>
      <c r="E231" s="507">
        <v>4640</v>
      </c>
      <c r="F231" s="546"/>
    </row>
    <row r="232" s="529" customFormat="1" ht="14.25" customHeight="1" spans="1:6">
      <c r="A232" s="503" t="s">
        <v>283</v>
      </c>
      <c r="B232" s="507" t="s">
        <v>2520</v>
      </c>
      <c r="C232" s="507">
        <v>5670</v>
      </c>
      <c r="D232" s="507">
        <v>5600</v>
      </c>
      <c r="E232" s="507">
        <v>5890</v>
      </c>
      <c r="F232" s="543">
        <v>1150</v>
      </c>
    </row>
    <row r="233" s="529" customFormat="1" ht="14.25" customHeight="1" spans="1:6">
      <c r="A233" s="503" t="s">
        <v>283</v>
      </c>
      <c r="B233" s="507" t="s">
        <v>2525</v>
      </c>
      <c r="C233" s="507">
        <v>4590</v>
      </c>
      <c r="D233" s="507">
        <v>4500</v>
      </c>
      <c r="E233" s="507">
        <v>4600</v>
      </c>
      <c r="F233" s="546"/>
    </row>
    <row r="234" s="529" customFormat="1" ht="14.25" customHeight="1" spans="1:6">
      <c r="A234" s="503" t="s">
        <v>283</v>
      </c>
      <c r="B234" s="507" t="s">
        <v>2530</v>
      </c>
      <c r="C234" s="507">
        <v>3990</v>
      </c>
      <c r="D234" s="507">
        <v>3950</v>
      </c>
      <c r="E234" s="507">
        <v>4180</v>
      </c>
      <c r="F234" s="546"/>
    </row>
    <row r="235" s="529" customFormat="1" ht="14.25" customHeight="1" spans="1:6">
      <c r="A235" s="503" t="s">
        <v>283</v>
      </c>
      <c r="B235" s="507" t="s">
        <v>2535</v>
      </c>
      <c r="C235" s="507">
        <v>5590</v>
      </c>
      <c r="D235" s="507">
        <v>5540</v>
      </c>
      <c r="E235" s="507">
        <v>5810</v>
      </c>
      <c r="F235" s="543">
        <v>970</v>
      </c>
    </row>
    <row r="236" s="529" customFormat="1" ht="14.25" customHeight="1" spans="1:6">
      <c r="A236" s="503" t="s">
        <v>283</v>
      </c>
      <c r="B236" s="507" t="s">
        <v>2540</v>
      </c>
      <c r="C236" s="507"/>
      <c r="D236" s="507"/>
      <c r="E236" s="507"/>
      <c r="F236" s="543">
        <v>1020</v>
      </c>
    </row>
    <row r="237" s="529" customFormat="1" ht="14.25" customHeight="1" spans="1:6">
      <c r="A237" s="503" t="s">
        <v>283</v>
      </c>
      <c r="B237" s="507" t="s">
        <v>2545</v>
      </c>
      <c r="C237" s="507"/>
      <c r="D237" s="507"/>
      <c r="E237" s="507"/>
      <c r="F237" s="543">
        <v>960</v>
      </c>
    </row>
    <row r="238" s="529" customFormat="1" ht="14.25" customHeight="1" spans="1:6">
      <c r="A238" s="503" t="s">
        <v>283</v>
      </c>
      <c r="B238" s="507" t="s">
        <v>2550</v>
      </c>
      <c r="C238" s="507"/>
      <c r="D238" s="507"/>
      <c r="E238" s="507"/>
      <c r="F238" s="543">
        <v>960</v>
      </c>
    </row>
    <row r="239" s="529" customFormat="1" ht="14.25" customHeight="1" spans="1:6">
      <c r="A239" s="503" t="s">
        <v>283</v>
      </c>
      <c r="B239" s="507" t="s">
        <v>2555</v>
      </c>
      <c r="C239" s="507"/>
      <c r="D239" s="507"/>
      <c r="E239" s="507"/>
      <c r="F239" s="543">
        <v>960</v>
      </c>
    </row>
    <row r="240" s="529" customFormat="1" ht="14.25" customHeight="1" spans="1:6">
      <c r="A240" s="503" t="s">
        <v>283</v>
      </c>
      <c r="B240" s="507" t="s">
        <v>2559</v>
      </c>
      <c r="C240" s="507"/>
      <c r="D240" s="507"/>
      <c r="E240" s="507"/>
      <c r="F240" s="543">
        <v>990</v>
      </c>
    </row>
    <row r="241" s="529" customFormat="1" ht="14.25" customHeight="1" spans="1:6">
      <c r="A241" s="503" t="s">
        <v>283</v>
      </c>
      <c r="B241" s="507" t="s">
        <v>2563</v>
      </c>
      <c r="C241" s="507"/>
      <c r="D241" s="507"/>
      <c r="E241" s="507"/>
      <c r="F241" s="543">
        <v>1000</v>
      </c>
    </row>
    <row r="242" s="529" customFormat="1" ht="14.25" customHeight="1" spans="1:6">
      <c r="A242" s="503" t="s">
        <v>283</v>
      </c>
      <c r="B242" s="507" t="s">
        <v>2567</v>
      </c>
      <c r="C242" s="507"/>
      <c r="D242" s="507"/>
      <c r="E242" s="507"/>
      <c r="F242" s="543">
        <v>980</v>
      </c>
    </row>
    <row r="243" s="529" customFormat="1" ht="14.25" customHeight="1" spans="1:6">
      <c r="A243" s="503" t="s">
        <v>283</v>
      </c>
      <c r="B243" s="507" t="s">
        <v>2571</v>
      </c>
      <c r="C243" s="507"/>
      <c r="D243" s="507"/>
      <c r="E243" s="507"/>
      <c r="F243" s="543">
        <v>970</v>
      </c>
    </row>
    <row r="244" s="529" customFormat="1" ht="14.25" customHeight="1" spans="1:6">
      <c r="A244" s="503" t="s">
        <v>283</v>
      </c>
      <c r="B244" s="518" t="s">
        <v>2575</v>
      </c>
      <c r="C244" s="518"/>
      <c r="D244" s="518"/>
      <c r="E244" s="518"/>
      <c r="F244" s="545">
        <v>970</v>
      </c>
    </row>
    <row r="245" s="529" customFormat="1" ht="14.25" customHeight="1" spans="1:6">
      <c r="A245" s="503" t="s">
        <v>286</v>
      </c>
      <c r="B245" s="504" t="s">
        <v>2267</v>
      </c>
      <c r="C245" s="504">
        <v>4050</v>
      </c>
      <c r="D245" s="504">
        <v>4020</v>
      </c>
      <c r="E245" s="504">
        <v>4160</v>
      </c>
      <c r="F245" s="540">
        <v>840</v>
      </c>
    </row>
    <row r="246" s="529" customFormat="1" ht="14.25" customHeight="1" spans="1:6">
      <c r="A246" s="503" t="s">
        <v>286</v>
      </c>
      <c r="B246" s="507" t="s">
        <v>2280</v>
      </c>
      <c r="C246" s="507">
        <v>4010</v>
      </c>
      <c r="D246" s="507">
        <v>3960</v>
      </c>
      <c r="E246" s="507">
        <v>4130</v>
      </c>
      <c r="F246" s="543">
        <v>840</v>
      </c>
    </row>
    <row r="247" s="529" customFormat="1" ht="14.25" customHeight="1" spans="1:6">
      <c r="A247" s="503" t="s">
        <v>286</v>
      </c>
      <c r="B247" s="507" t="s">
        <v>2294</v>
      </c>
      <c r="C247" s="507">
        <v>3170</v>
      </c>
      <c r="D247" s="507">
        <v>3140</v>
      </c>
      <c r="E247" s="507">
        <v>3270</v>
      </c>
      <c r="F247" s="543">
        <v>640</v>
      </c>
    </row>
    <row r="248" s="529" customFormat="1" ht="14.25" customHeight="1" spans="1:6">
      <c r="A248" s="503" t="s">
        <v>286</v>
      </c>
      <c r="B248" s="507" t="s">
        <v>2306</v>
      </c>
      <c r="C248" s="507">
        <v>3140</v>
      </c>
      <c r="D248" s="507">
        <v>3120</v>
      </c>
      <c r="E248" s="507">
        <v>3240</v>
      </c>
      <c r="F248" s="543">
        <v>620</v>
      </c>
    </row>
    <row r="249" s="529" customFormat="1" ht="14.25" customHeight="1" spans="1:6">
      <c r="A249" s="503" t="s">
        <v>286</v>
      </c>
      <c r="B249" s="507" t="s">
        <v>2318</v>
      </c>
      <c r="C249" s="507">
        <v>3200</v>
      </c>
      <c r="D249" s="507">
        <v>3100</v>
      </c>
      <c r="E249" s="507">
        <v>3230</v>
      </c>
      <c r="F249" s="543">
        <v>750</v>
      </c>
    </row>
    <row r="250" s="529" customFormat="1" ht="14.25" customHeight="1" spans="1:6">
      <c r="A250" s="503" t="s">
        <v>286</v>
      </c>
      <c r="B250" s="507" t="s">
        <v>2329</v>
      </c>
      <c r="C250" s="507">
        <v>4060</v>
      </c>
      <c r="D250" s="507">
        <v>4000</v>
      </c>
      <c r="E250" s="507">
        <v>4140</v>
      </c>
      <c r="F250" s="543">
        <v>790</v>
      </c>
    </row>
    <row r="251" s="529" customFormat="1" ht="14.25" customHeight="1" spans="1:6">
      <c r="A251" s="503" t="s">
        <v>286</v>
      </c>
      <c r="B251" s="507" t="s">
        <v>2340</v>
      </c>
      <c r="C251" s="507">
        <v>3990</v>
      </c>
      <c r="D251" s="507">
        <v>3970</v>
      </c>
      <c r="E251" s="507">
        <v>4110</v>
      </c>
      <c r="F251" s="543">
        <v>730</v>
      </c>
    </row>
    <row r="252" s="529" customFormat="1" ht="14.25" customHeight="1" spans="1:6">
      <c r="A252" s="503" t="s">
        <v>286</v>
      </c>
      <c r="B252" s="507" t="s">
        <v>2351</v>
      </c>
      <c r="C252" s="507">
        <v>3560</v>
      </c>
      <c r="D252" s="507">
        <v>3530</v>
      </c>
      <c r="E252" s="507">
        <v>3650</v>
      </c>
      <c r="F252" s="543">
        <v>750</v>
      </c>
    </row>
    <row r="253" s="529" customFormat="1" ht="14.25" customHeight="1" spans="1:6">
      <c r="A253" s="503" t="s">
        <v>286</v>
      </c>
      <c r="B253" s="507" t="s">
        <v>2361</v>
      </c>
      <c r="C253" s="507">
        <v>3780</v>
      </c>
      <c r="D253" s="507">
        <v>3750</v>
      </c>
      <c r="E253" s="507">
        <v>3870</v>
      </c>
      <c r="F253" s="543">
        <v>770</v>
      </c>
    </row>
    <row r="254" s="529" customFormat="1" ht="14.25" customHeight="1" spans="1:6">
      <c r="A254" s="503" t="s">
        <v>286</v>
      </c>
      <c r="B254" s="507" t="s">
        <v>2371</v>
      </c>
      <c r="C254" s="549"/>
      <c r="D254" s="549"/>
      <c r="E254" s="549"/>
      <c r="F254" s="543">
        <v>740</v>
      </c>
    </row>
    <row r="255" s="529" customFormat="1" ht="14.25" customHeight="1" spans="1:6">
      <c r="A255" s="503" t="s">
        <v>286</v>
      </c>
      <c r="B255" s="507" t="s">
        <v>2381</v>
      </c>
      <c r="C255" s="549"/>
      <c r="D255" s="549"/>
      <c r="E255" s="549"/>
      <c r="F255" s="543">
        <v>760</v>
      </c>
    </row>
    <row r="256" s="529" customFormat="1" ht="14.25" customHeight="1" spans="1:6">
      <c r="A256" s="503" t="s">
        <v>286</v>
      </c>
      <c r="B256" s="507" t="s">
        <v>2391</v>
      </c>
      <c r="C256" s="507">
        <v>3760</v>
      </c>
      <c r="D256" s="507">
        <v>3730</v>
      </c>
      <c r="E256" s="507">
        <v>3870</v>
      </c>
      <c r="F256" s="543">
        <v>830</v>
      </c>
    </row>
    <row r="257" s="529" customFormat="1" ht="14.25" customHeight="1" spans="1:6">
      <c r="A257" s="503" t="s">
        <v>286</v>
      </c>
      <c r="B257" s="507" t="s">
        <v>2401</v>
      </c>
      <c r="C257" s="507">
        <v>3570</v>
      </c>
      <c r="D257" s="507">
        <v>3540</v>
      </c>
      <c r="E257" s="507">
        <v>3650</v>
      </c>
      <c r="F257" s="543">
        <v>790</v>
      </c>
    </row>
    <row r="258" s="529" customFormat="1" ht="14.25" customHeight="1" spans="1:6">
      <c r="A258" s="503" t="s">
        <v>286</v>
      </c>
      <c r="B258" s="507" t="s">
        <v>2411</v>
      </c>
      <c r="C258" s="507">
        <v>3410</v>
      </c>
      <c r="D258" s="507">
        <v>3380</v>
      </c>
      <c r="E258" s="507">
        <v>3500</v>
      </c>
      <c r="F258" s="543">
        <v>830</v>
      </c>
    </row>
    <row r="259" s="529" customFormat="1" ht="14.25" customHeight="1" spans="1:6">
      <c r="A259" s="503" t="s">
        <v>286</v>
      </c>
      <c r="B259" s="507" t="s">
        <v>2421</v>
      </c>
      <c r="C259" s="507">
        <v>3870</v>
      </c>
      <c r="D259" s="507">
        <v>3840</v>
      </c>
      <c r="E259" s="507">
        <v>3970</v>
      </c>
      <c r="F259" s="543">
        <v>830</v>
      </c>
    </row>
    <row r="260" s="529" customFormat="1" ht="14.25" customHeight="1" spans="1:6">
      <c r="A260" s="503" t="s">
        <v>286</v>
      </c>
      <c r="B260" s="507" t="s">
        <v>2431</v>
      </c>
      <c r="C260" s="507">
        <v>3700</v>
      </c>
      <c r="D260" s="507">
        <v>3660</v>
      </c>
      <c r="E260" s="507">
        <v>3810</v>
      </c>
      <c r="F260" s="543">
        <v>790</v>
      </c>
    </row>
    <row r="261" s="529" customFormat="1" ht="14.25" customHeight="1" spans="1:6">
      <c r="A261" s="503" t="s">
        <v>286</v>
      </c>
      <c r="B261" s="507" t="s">
        <v>2441</v>
      </c>
      <c r="C261" s="507">
        <v>3470</v>
      </c>
      <c r="D261" s="507">
        <v>3430</v>
      </c>
      <c r="E261" s="507">
        <v>3640</v>
      </c>
      <c r="F261" s="543">
        <v>760</v>
      </c>
    </row>
    <row r="262" s="529" customFormat="1" ht="14.25" customHeight="1" spans="1:6">
      <c r="A262" s="503" t="s">
        <v>286</v>
      </c>
      <c r="B262" s="507" t="s">
        <v>2451</v>
      </c>
      <c r="C262" s="507">
        <v>3510</v>
      </c>
      <c r="D262" s="507">
        <v>3470</v>
      </c>
      <c r="E262" s="507">
        <v>3680</v>
      </c>
      <c r="F262" s="546"/>
    </row>
    <row r="263" s="529" customFormat="1" ht="14.25" customHeight="1" spans="1:6">
      <c r="A263" s="503" t="s">
        <v>286</v>
      </c>
      <c r="B263" s="507" t="s">
        <v>2461</v>
      </c>
      <c r="C263" s="507">
        <v>3960</v>
      </c>
      <c r="D263" s="507">
        <v>3930</v>
      </c>
      <c r="E263" s="507">
        <v>4070</v>
      </c>
      <c r="F263" s="543">
        <v>830</v>
      </c>
    </row>
    <row r="264" s="529" customFormat="1" ht="14.25" customHeight="1" spans="1:6">
      <c r="A264" s="503" t="s">
        <v>286</v>
      </c>
      <c r="B264" s="507" t="s">
        <v>2470</v>
      </c>
      <c r="C264" s="507">
        <v>4010</v>
      </c>
      <c r="D264" s="507">
        <v>3980</v>
      </c>
      <c r="E264" s="507">
        <v>4150</v>
      </c>
      <c r="F264" s="543">
        <v>760</v>
      </c>
    </row>
    <row r="265" s="529" customFormat="1" ht="14.25" customHeight="1" spans="1:6">
      <c r="A265" s="503" t="s">
        <v>286</v>
      </c>
      <c r="B265" s="507" t="s">
        <v>2478</v>
      </c>
      <c r="C265" s="507">
        <v>3910</v>
      </c>
      <c r="D265" s="507">
        <v>3890</v>
      </c>
      <c r="E265" s="507">
        <v>4040</v>
      </c>
      <c r="F265" s="543">
        <v>780</v>
      </c>
    </row>
    <row r="266" s="529" customFormat="1" ht="14.25" customHeight="1" spans="1:6">
      <c r="A266" s="503" t="s">
        <v>286</v>
      </c>
      <c r="B266" s="507" t="s">
        <v>2486</v>
      </c>
      <c r="C266" s="507">
        <v>3930</v>
      </c>
      <c r="D266" s="507">
        <v>3900</v>
      </c>
      <c r="E266" s="507">
        <v>4080</v>
      </c>
      <c r="F266" s="543">
        <v>770</v>
      </c>
    </row>
    <row r="267" s="529" customFormat="1" ht="14.25" customHeight="1" spans="1:6">
      <c r="A267" s="503" t="s">
        <v>286</v>
      </c>
      <c r="B267" s="507" t="s">
        <v>2493</v>
      </c>
      <c r="C267" s="507">
        <v>3800</v>
      </c>
      <c r="D267" s="507">
        <v>3780</v>
      </c>
      <c r="E267" s="507">
        <v>3930</v>
      </c>
      <c r="F267" s="546"/>
    </row>
    <row r="268" s="529" customFormat="1" ht="14.25" customHeight="1" spans="1:6">
      <c r="A268" s="503" t="s">
        <v>286</v>
      </c>
      <c r="B268" s="507" t="s">
        <v>2500</v>
      </c>
      <c r="C268" s="507">
        <v>3460</v>
      </c>
      <c r="D268" s="507">
        <v>3430</v>
      </c>
      <c r="E268" s="507">
        <v>3560</v>
      </c>
      <c r="F268" s="543">
        <v>840</v>
      </c>
    </row>
    <row r="269" s="529" customFormat="1" ht="14.25" customHeight="1" spans="1:6">
      <c r="A269" s="503" t="s">
        <v>286</v>
      </c>
      <c r="B269" s="507" t="s">
        <v>2507</v>
      </c>
      <c r="C269" s="507">
        <v>3210</v>
      </c>
      <c r="D269" s="507">
        <v>3190</v>
      </c>
      <c r="E269" s="507">
        <v>3310</v>
      </c>
      <c r="F269" s="543">
        <v>730</v>
      </c>
    </row>
    <row r="270" s="529" customFormat="1" ht="14.25" customHeight="1" spans="1:6">
      <c r="A270" s="503" t="s">
        <v>286</v>
      </c>
      <c r="B270" s="507" t="s">
        <v>2514</v>
      </c>
      <c r="C270" s="507">
        <v>3240</v>
      </c>
      <c r="D270" s="507">
        <v>3210</v>
      </c>
      <c r="E270" s="507">
        <v>3390</v>
      </c>
      <c r="F270" s="543">
        <v>820</v>
      </c>
    </row>
    <row r="271" s="529" customFormat="1" ht="14.25" customHeight="1" spans="1:6">
      <c r="A271" s="503" t="s">
        <v>286</v>
      </c>
      <c r="B271" s="507" t="s">
        <v>2521</v>
      </c>
      <c r="C271" s="507">
        <v>3300</v>
      </c>
      <c r="D271" s="507">
        <v>3270</v>
      </c>
      <c r="E271" s="507">
        <v>3380</v>
      </c>
      <c r="F271" s="543">
        <v>750</v>
      </c>
    </row>
    <row r="272" s="529" customFormat="1" ht="14.25" customHeight="1" spans="1:6">
      <c r="A272" s="503" t="s">
        <v>286</v>
      </c>
      <c r="B272" s="507" t="s">
        <v>2526</v>
      </c>
      <c r="C272" s="549"/>
      <c r="D272" s="549"/>
      <c r="E272" s="549"/>
      <c r="F272" s="543">
        <v>740</v>
      </c>
    </row>
    <row r="273" s="529" customFormat="1" ht="14.25" customHeight="1" spans="1:6">
      <c r="A273" s="503" t="s">
        <v>286</v>
      </c>
      <c r="B273" s="507" t="s">
        <v>2531</v>
      </c>
      <c r="C273" s="507">
        <v>3130</v>
      </c>
      <c r="D273" s="507">
        <v>3100</v>
      </c>
      <c r="E273" s="507">
        <v>3230</v>
      </c>
      <c r="F273" s="543">
        <v>700</v>
      </c>
    </row>
    <row r="274" s="529" customFormat="1" ht="14.25" customHeight="1" spans="1:6">
      <c r="A274" s="503" t="s">
        <v>286</v>
      </c>
      <c r="B274" s="507" t="s">
        <v>2536</v>
      </c>
      <c r="C274" s="507">
        <v>3460</v>
      </c>
      <c r="D274" s="507">
        <v>3430</v>
      </c>
      <c r="E274" s="507">
        <v>3560</v>
      </c>
      <c r="F274" s="543">
        <v>690</v>
      </c>
    </row>
    <row r="275" s="529" customFormat="1" ht="14.25" customHeight="1" spans="1:6">
      <c r="A275" s="503" t="s">
        <v>286</v>
      </c>
      <c r="B275" s="507" t="s">
        <v>2541</v>
      </c>
      <c r="C275" s="507">
        <v>4040</v>
      </c>
      <c r="D275" s="507">
        <v>4020</v>
      </c>
      <c r="E275" s="507">
        <v>4160</v>
      </c>
      <c r="F275" s="543">
        <v>820</v>
      </c>
    </row>
    <row r="276" s="529" customFormat="1" ht="14.25" customHeight="1" spans="1:6">
      <c r="A276" s="503" t="s">
        <v>286</v>
      </c>
      <c r="B276" s="507" t="s">
        <v>2546</v>
      </c>
      <c r="C276" s="507">
        <v>3270</v>
      </c>
      <c r="D276" s="507">
        <v>3240</v>
      </c>
      <c r="E276" s="507">
        <v>3350</v>
      </c>
      <c r="F276" s="543">
        <v>680</v>
      </c>
    </row>
    <row r="277" s="529" customFormat="1" ht="14.25" customHeight="1" spans="1:6">
      <c r="A277" s="503" t="s">
        <v>286</v>
      </c>
      <c r="B277" s="507" t="s">
        <v>2551</v>
      </c>
      <c r="C277" s="507">
        <v>2930</v>
      </c>
      <c r="D277" s="507">
        <v>2900</v>
      </c>
      <c r="E277" s="507">
        <v>3000</v>
      </c>
      <c r="F277" s="543">
        <v>640</v>
      </c>
    </row>
    <row r="278" s="529" customFormat="1" ht="14.25" customHeight="1" spans="1:6">
      <c r="A278" s="503" t="s">
        <v>286</v>
      </c>
      <c r="B278" s="507" t="s">
        <v>2556</v>
      </c>
      <c r="C278" s="507">
        <v>4080</v>
      </c>
      <c r="D278" s="507">
        <v>4030</v>
      </c>
      <c r="E278" s="507">
        <v>4140</v>
      </c>
      <c r="F278" s="543">
        <v>850</v>
      </c>
    </row>
    <row r="279" s="529" customFormat="1" ht="14.25" customHeight="1" spans="1:6">
      <c r="A279" s="503" t="s">
        <v>286</v>
      </c>
      <c r="B279" s="507" t="s">
        <v>2560</v>
      </c>
      <c r="C279" s="507"/>
      <c r="D279" s="507"/>
      <c r="E279" s="507"/>
      <c r="F279" s="543">
        <v>760</v>
      </c>
    </row>
    <row r="280" s="529" customFormat="1" ht="14.25" customHeight="1" spans="1:6">
      <c r="A280" s="503" t="s">
        <v>286</v>
      </c>
      <c r="B280" s="507" t="s">
        <v>2564</v>
      </c>
      <c r="C280" s="507"/>
      <c r="D280" s="507"/>
      <c r="E280" s="507"/>
      <c r="F280" s="543">
        <v>760</v>
      </c>
    </row>
    <row r="281" s="529" customFormat="1" ht="14.25" customHeight="1" spans="1:6">
      <c r="A281" s="503" t="s">
        <v>286</v>
      </c>
      <c r="B281" s="507" t="s">
        <v>2568</v>
      </c>
      <c r="C281" s="507"/>
      <c r="D281" s="507"/>
      <c r="E281" s="507"/>
      <c r="F281" s="543">
        <v>780</v>
      </c>
    </row>
    <row r="282" s="529" customFormat="1" ht="14.25" customHeight="1" spans="1:6">
      <c r="A282" s="503" t="s">
        <v>286</v>
      </c>
      <c r="B282" s="507" t="s">
        <v>2572</v>
      </c>
      <c r="C282" s="507"/>
      <c r="D282" s="507"/>
      <c r="E282" s="507"/>
      <c r="F282" s="543">
        <v>730</v>
      </c>
    </row>
    <row r="283" s="529" customFormat="1" ht="14.25" customHeight="1" spans="1:6">
      <c r="A283" s="503" t="s">
        <v>286</v>
      </c>
      <c r="B283" s="507" t="s">
        <v>2576</v>
      </c>
      <c r="C283" s="507"/>
      <c r="D283" s="507"/>
      <c r="E283" s="507"/>
      <c r="F283" s="543">
        <v>770</v>
      </c>
    </row>
    <row r="284" s="529" customFormat="1" ht="14.25" customHeight="1" spans="1:6">
      <c r="A284" s="503" t="s">
        <v>286</v>
      </c>
      <c r="B284" s="507" t="s">
        <v>2579</v>
      </c>
      <c r="C284" s="507"/>
      <c r="D284" s="507"/>
      <c r="E284" s="507"/>
      <c r="F284" s="543">
        <v>640</v>
      </c>
    </row>
    <row r="285" s="529" customFormat="1" ht="14.25" customHeight="1" spans="1:6">
      <c r="A285" s="503" t="s">
        <v>286</v>
      </c>
      <c r="B285" s="507" t="s">
        <v>2582</v>
      </c>
      <c r="C285" s="507"/>
      <c r="D285" s="507"/>
      <c r="E285" s="507"/>
      <c r="F285" s="543">
        <v>640</v>
      </c>
    </row>
    <row r="286" s="529" customFormat="1" ht="14.25" customHeight="1" spans="1:6">
      <c r="A286" s="503" t="s">
        <v>286</v>
      </c>
      <c r="B286" s="507" t="s">
        <v>2585</v>
      </c>
      <c r="C286" s="507"/>
      <c r="D286" s="507"/>
      <c r="E286" s="507"/>
      <c r="F286" s="543">
        <v>850</v>
      </c>
    </row>
    <row r="287" s="529" customFormat="1" ht="14.25" customHeight="1" spans="1:6">
      <c r="A287" s="503" t="s">
        <v>286</v>
      </c>
      <c r="B287" s="507" t="s">
        <v>2588</v>
      </c>
      <c r="C287" s="507"/>
      <c r="D287" s="507"/>
      <c r="E287" s="507"/>
      <c r="F287" s="543">
        <v>760</v>
      </c>
    </row>
    <row r="288" s="529" customFormat="1" ht="14.25" customHeight="1" spans="1:6">
      <c r="A288" s="503" t="s">
        <v>286</v>
      </c>
      <c r="B288" s="507" t="s">
        <v>2590</v>
      </c>
      <c r="C288" s="507"/>
      <c r="D288" s="507"/>
      <c r="E288" s="507"/>
      <c r="F288" s="543">
        <v>830</v>
      </c>
    </row>
    <row r="289" s="529" customFormat="1" ht="14.25" customHeight="1" spans="1:6">
      <c r="A289" s="503" t="s">
        <v>286</v>
      </c>
      <c r="B289" s="518" t="s">
        <v>2593</v>
      </c>
      <c r="C289" s="518"/>
      <c r="D289" s="518"/>
      <c r="E289" s="518"/>
      <c r="F289" s="545">
        <v>680</v>
      </c>
    </row>
    <row r="290" s="529" customFormat="1" ht="14.25" customHeight="1" spans="1:6">
      <c r="A290" s="503" t="s">
        <v>289</v>
      </c>
      <c r="B290" s="504" t="s">
        <v>2268</v>
      </c>
      <c r="C290" s="504">
        <v>2770</v>
      </c>
      <c r="D290" s="504">
        <v>2740</v>
      </c>
      <c r="E290" s="504">
        <v>2720</v>
      </c>
      <c r="F290" s="550"/>
    </row>
    <row r="291" s="529" customFormat="1" ht="14.25" customHeight="1" spans="1:6">
      <c r="A291" s="503" t="s">
        <v>289</v>
      </c>
      <c r="B291" s="507" t="s">
        <v>2281</v>
      </c>
      <c r="C291" s="507">
        <v>2670</v>
      </c>
      <c r="D291" s="507">
        <v>2640</v>
      </c>
      <c r="E291" s="507">
        <v>2620</v>
      </c>
      <c r="F291" s="546"/>
    </row>
    <row r="292" s="529" customFormat="1" ht="14.25" customHeight="1" spans="1:6">
      <c r="A292" s="503" t="s">
        <v>289</v>
      </c>
      <c r="B292" s="507" t="s">
        <v>2295</v>
      </c>
      <c r="C292" s="507">
        <v>2180</v>
      </c>
      <c r="D292" s="507">
        <v>2140</v>
      </c>
      <c r="E292" s="507">
        <v>2120</v>
      </c>
      <c r="F292" s="543">
        <v>490</v>
      </c>
    </row>
    <row r="293" s="529" customFormat="1" ht="14.25" customHeight="1" spans="1:6">
      <c r="A293" s="503" t="s">
        <v>289</v>
      </c>
      <c r="B293" s="507" t="s">
        <v>2600</v>
      </c>
      <c r="C293" s="507"/>
      <c r="D293" s="507"/>
      <c r="E293" s="507"/>
      <c r="F293" s="543">
        <v>470</v>
      </c>
    </row>
    <row r="294" s="529" customFormat="1" ht="14.25" customHeight="1" spans="1:6">
      <c r="A294" s="503" t="s">
        <v>289</v>
      </c>
      <c r="B294" s="507" t="s">
        <v>2307</v>
      </c>
      <c r="C294" s="507">
        <v>2730</v>
      </c>
      <c r="D294" s="507">
        <v>2700</v>
      </c>
      <c r="E294" s="507">
        <v>2680</v>
      </c>
      <c r="F294" s="543">
        <v>490</v>
      </c>
    </row>
    <row r="295" s="529" customFormat="1" ht="14.25" customHeight="1" spans="1:6">
      <c r="A295" s="503" t="s">
        <v>289</v>
      </c>
      <c r="B295" s="507" t="s">
        <v>2319</v>
      </c>
      <c r="C295" s="507">
        <v>2380</v>
      </c>
      <c r="D295" s="507">
        <v>2350</v>
      </c>
      <c r="E295" s="507">
        <v>2330</v>
      </c>
      <c r="F295" s="543">
        <v>530</v>
      </c>
    </row>
    <row r="296" s="529" customFormat="1" ht="14.25" customHeight="1" spans="1:6">
      <c r="A296" s="503" t="s">
        <v>289</v>
      </c>
      <c r="B296" s="507" t="s">
        <v>2330</v>
      </c>
      <c r="C296" s="507">
        <v>2650</v>
      </c>
      <c r="D296" s="507">
        <v>2620</v>
      </c>
      <c r="E296" s="507">
        <v>2590</v>
      </c>
      <c r="F296" s="543">
        <v>590</v>
      </c>
    </row>
    <row r="297" s="529" customFormat="1" ht="14.25" customHeight="1" spans="1:6">
      <c r="A297" s="503" t="s">
        <v>289</v>
      </c>
      <c r="B297" s="507" t="s">
        <v>2341</v>
      </c>
      <c r="C297" s="507">
        <v>2700</v>
      </c>
      <c r="D297" s="507">
        <v>2670</v>
      </c>
      <c r="E297" s="507">
        <v>2650</v>
      </c>
      <c r="F297" s="543">
        <v>630</v>
      </c>
    </row>
    <row r="298" s="529" customFormat="1" ht="14.25" customHeight="1" spans="1:6">
      <c r="A298" s="503" t="s">
        <v>289</v>
      </c>
      <c r="B298" s="507" t="s">
        <v>2352</v>
      </c>
      <c r="C298" s="507">
        <v>2650</v>
      </c>
      <c r="D298" s="507">
        <v>2620</v>
      </c>
      <c r="E298" s="507">
        <v>2590</v>
      </c>
      <c r="F298" s="543">
        <v>640</v>
      </c>
    </row>
    <row r="299" s="529" customFormat="1" ht="14.25" customHeight="1" spans="1:6">
      <c r="A299" s="503" t="s">
        <v>289</v>
      </c>
      <c r="B299" s="507" t="s">
        <v>2362</v>
      </c>
      <c r="C299" s="507">
        <v>2500</v>
      </c>
      <c r="D299" s="507">
        <v>2480</v>
      </c>
      <c r="E299" s="507">
        <v>2460</v>
      </c>
      <c r="F299" s="546"/>
    </row>
    <row r="300" s="529" customFormat="1" ht="14.25" customHeight="1" spans="1:6">
      <c r="A300" s="503" t="s">
        <v>289</v>
      </c>
      <c r="B300" s="507" t="s">
        <v>2372</v>
      </c>
      <c r="C300" s="507">
        <v>2760</v>
      </c>
      <c r="D300" s="507">
        <v>2730</v>
      </c>
      <c r="E300" s="507">
        <v>2700</v>
      </c>
      <c r="F300" s="543">
        <v>630</v>
      </c>
    </row>
    <row r="301" s="529" customFormat="1" ht="14.25" customHeight="1" spans="1:6">
      <c r="A301" s="503" t="s">
        <v>289</v>
      </c>
      <c r="B301" s="507" t="s">
        <v>2382</v>
      </c>
      <c r="C301" s="507">
        <v>2510</v>
      </c>
      <c r="D301" s="507">
        <v>2480</v>
      </c>
      <c r="E301" s="507">
        <v>2460</v>
      </c>
      <c r="F301" s="546"/>
    </row>
    <row r="302" s="529" customFormat="1" ht="14.25" customHeight="1" spans="1:6">
      <c r="A302" s="503" t="s">
        <v>289</v>
      </c>
      <c r="B302" s="507" t="s">
        <v>2392</v>
      </c>
      <c r="C302" s="507">
        <v>2480</v>
      </c>
      <c r="D302" s="507">
        <v>2450</v>
      </c>
      <c r="E302" s="507">
        <v>2420</v>
      </c>
      <c r="F302" s="543">
        <v>600</v>
      </c>
    </row>
    <row r="303" s="529" customFormat="1" ht="14.25" customHeight="1" spans="1:6">
      <c r="A303" s="503" t="s">
        <v>289</v>
      </c>
      <c r="B303" s="507" t="s">
        <v>2402</v>
      </c>
      <c r="C303" s="507">
        <v>2270</v>
      </c>
      <c r="D303" s="507">
        <v>2240</v>
      </c>
      <c r="E303" s="507">
        <v>2210</v>
      </c>
      <c r="F303" s="543">
        <v>540</v>
      </c>
    </row>
    <row r="304" s="529" customFormat="1" ht="14.25" customHeight="1" spans="1:6">
      <c r="A304" s="503" t="s">
        <v>289</v>
      </c>
      <c r="B304" s="507" t="s">
        <v>2412</v>
      </c>
      <c r="C304" s="507">
        <v>2310</v>
      </c>
      <c r="D304" s="507">
        <v>2290</v>
      </c>
      <c r="E304" s="507">
        <v>2270</v>
      </c>
      <c r="F304" s="546"/>
    </row>
    <row r="305" s="529" customFormat="1" ht="14.25" customHeight="1" spans="1:6">
      <c r="A305" s="503" t="s">
        <v>289</v>
      </c>
      <c r="B305" s="507" t="s">
        <v>2422</v>
      </c>
      <c r="C305" s="507">
        <v>2490</v>
      </c>
      <c r="D305" s="507">
        <v>2470</v>
      </c>
      <c r="E305" s="507">
        <v>2440</v>
      </c>
      <c r="F305" s="543">
        <v>560</v>
      </c>
    </row>
    <row r="306" s="529" customFormat="1" ht="14.25" customHeight="1" spans="1:6">
      <c r="A306" s="503" t="s">
        <v>289</v>
      </c>
      <c r="B306" s="507" t="s">
        <v>2432</v>
      </c>
      <c r="C306" s="507">
        <v>2420</v>
      </c>
      <c r="D306" s="507">
        <v>2400</v>
      </c>
      <c r="E306" s="507">
        <v>2380</v>
      </c>
      <c r="F306" s="546"/>
    </row>
    <row r="307" s="529" customFormat="1" ht="14.25" customHeight="1" spans="1:6">
      <c r="A307" s="503" t="s">
        <v>289</v>
      </c>
      <c r="B307" s="507" t="s">
        <v>2442</v>
      </c>
      <c r="C307" s="507">
        <v>2770</v>
      </c>
      <c r="D307" s="507">
        <v>2740</v>
      </c>
      <c r="E307" s="507">
        <v>2710</v>
      </c>
      <c r="F307" s="543">
        <v>650</v>
      </c>
    </row>
    <row r="308" s="529" customFormat="1" ht="14.25" customHeight="1" spans="1:6">
      <c r="A308" s="503" t="s">
        <v>289</v>
      </c>
      <c r="B308" s="507" t="s">
        <v>2452</v>
      </c>
      <c r="C308" s="507">
        <v>2610</v>
      </c>
      <c r="D308" s="507">
        <v>2580</v>
      </c>
      <c r="E308" s="507">
        <v>2550</v>
      </c>
      <c r="F308" s="543">
        <v>580</v>
      </c>
    </row>
    <row r="309" s="529" customFormat="1" ht="14.25" customHeight="1" spans="1:6">
      <c r="A309" s="503" t="s">
        <v>289</v>
      </c>
      <c r="B309" s="507" t="s">
        <v>2462</v>
      </c>
      <c r="C309" s="507">
        <v>2690</v>
      </c>
      <c r="D309" s="507">
        <v>2670</v>
      </c>
      <c r="E309" s="507">
        <v>2650</v>
      </c>
      <c r="F309" s="546"/>
    </row>
    <row r="310" s="529" customFormat="1" ht="14.25" customHeight="1" spans="1:6">
      <c r="A310" s="503" t="s">
        <v>289</v>
      </c>
      <c r="B310" s="507" t="s">
        <v>2471</v>
      </c>
      <c r="C310" s="507">
        <v>2360</v>
      </c>
      <c r="D310" s="507">
        <v>2330</v>
      </c>
      <c r="E310" s="507">
        <v>2310</v>
      </c>
      <c r="F310" s="543">
        <v>560</v>
      </c>
    </row>
    <row r="311" s="529" customFormat="1" ht="14.25" customHeight="1" spans="1:6">
      <c r="A311" s="503" t="s">
        <v>289</v>
      </c>
      <c r="B311" s="507" t="s">
        <v>2479</v>
      </c>
      <c r="C311" s="507">
        <v>1970</v>
      </c>
      <c r="D311" s="507">
        <v>1950</v>
      </c>
      <c r="E311" s="507">
        <v>1920</v>
      </c>
      <c r="F311" s="543">
        <v>470</v>
      </c>
    </row>
    <row r="312" s="529" customFormat="1" ht="14.25" customHeight="1" spans="1:6">
      <c r="A312" s="503" t="s">
        <v>289</v>
      </c>
      <c r="B312" s="507" t="s">
        <v>2487</v>
      </c>
      <c r="C312" s="507">
        <v>2230</v>
      </c>
      <c r="D312" s="507">
        <v>2200</v>
      </c>
      <c r="E312" s="507">
        <v>2170</v>
      </c>
      <c r="F312" s="543">
        <v>460</v>
      </c>
    </row>
    <row r="313" s="529" customFormat="1" ht="14.25" customHeight="1" spans="1:6">
      <c r="A313" s="503" t="s">
        <v>289</v>
      </c>
      <c r="B313" s="507" t="s">
        <v>2494</v>
      </c>
      <c r="C313" s="507">
        <v>2770</v>
      </c>
      <c r="D313" s="507">
        <v>2740</v>
      </c>
      <c r="E313" s="507">
        <v>2710</v>
      </c>
      <c r="F313" s="543">
        <v>610</v>
      </c>
    </row>
    <row r="314" s="529" customFormat="1" ht="14.25" customHeight="1" spans="1:6">
      <c r="A314" s="503" t="s">
        <v>289</v>
      </c>
      <c r="B314" s="507" t="s">
        <v>2501</v>
      </c>
      <c r="C314" s="507"/>
      <c r="D314" s="507"/>
      <c r="E314" s="507"/>
      <c r="F314" s="543">
        <v>490</v>
      </c>
    </row>
    <row r="315" s="529" customFormat="1" ht="14.25" customHeight="1" spans="1:6">
      <c r="A315" s="503" t="s">
        <v>289</v>
      </c>
      <c r="B315" s="507" t="s">
        <v>2508</v>
      </c>
      <c r="C315" s="507"/>
      <c r="D315" s="507"/>
      <c r="E315" s="507"/>
      <c r="F315" s="543">
        <v>520</v>
      </c>
    </row>
    <row r="316" s="529" customFormat="1" ht="14.25" customHeight="1" spans="1:6">
      <c r="A316" s="503" t="s">
        <v>289</v>
      </c>
      <c r="B316" s="518" t="s">
        <v>2515</v>
      </c>
      <c r="C316" s="518"/>
      <c r="D316" s="518"/>
      <c r="E316" s="518"/>
      <c r="F316" s="545">
        <v>460</v>
      </c>
    </row>
    <row r="317" s="529" customFormat="1" ht="14.25" customHeight="1" spans="1:6">
      <c r="A317" s="503" t="s">
        <v>292</v>
      </c>
      <c r="B317" s="504" t="s">
        <v>2269</v>
      </c>
      <c r="C317" s="504">
        <v>1200</v>
      </c>
      <c r="D317" s="504">
        <v>1180</v>
      </c>
      <c r="E317" s="504">
        <v>1160</v>
      </c>
      <c r="F317" s="540">
        <v>370</v>
      </c>
    </row>
    <row r="318" s="529" customFormat="1" ht="14.25" customHeight="1" spans="1:6">
      <c r="A318" s="503" t="s">
        <v>292</v>
      </c>
      <c r="B318" s="507" t="s">
        <v>2282</v>
      </c>
      <c r="C318" s="507">
        <v>1090</v>
      </c>
      <c r="D318" s="507">
        <v>1060</v>
      </c>
      <c r="E318" s="507">
        <v>1040</v>
      </c>
      <c r="F318" s="546"/>
    </row>
    <row r="319" s="529" customFormat="1" ht="14.25" customHeight="1" spans="1:6">
      <c r="A319" s="503" t="s">
        <v>292</v>
      </c>
      <c r="B319" s="507" t="s">
        <v>2296</v>
      </c>
      <c r="C319" s="507">
        <v>1520</v>
      </c>
      <c r="D319" s="507">
        <v>1470</v>
      </c>
      <c r="E319" s="507">
        <v>1440</v>
      </c>
      <c r="F319" s="543">
        <v>370</v>
      </c>
    </row>
    <row r="320" s="529" customFormat="1" ht="14.25" customHeight="1" spans="1:6">
      <c r="A320" s="503" t="s">
        <v>292</v>
      </c>
      <c r="B320" s="507" t="s">
        <v>2308</v>
      </c>
      <c r="C320" s="507">
        <v>1360</v>
      </c>
      <c r="D320" s="507">
        <v>1300</v>
      </c>
      <c r="E320" s="507">
        <v>1270</v>
      </c>
      <c r="F320" s="546"/>
    </row>
    <row r="321" s="529" customFormat="1" ht="14.25" customHeight="1" spans="1:6">
      <c r="A321" s="503" t="s">
        <v>292</v>
      </c>
      <c r="B321" s="507" t="s">
        <v>2320</v>
      </c>
      <c r="C321" s="507">
        <v>1750</v>
      </c>
      <c r="D321" s="507">
        <v>1690</v>
      </c>
      <c r="E321" s="507">
        <v>1660</v>
      </c>
      <c r="F321" s="546"/>
    </row>
    <row r="322" s="529" customFormat="1" ht="14.25" customHeight="1" spans="1:6">
      <c r="A322" s="503" t="s">
        <v>292</v>
      </c>
      <c r="B322" s="507" t="s">
        <v>2331</v>
      </c>
      <c r="C322" s="507">
        <v>1650</v>
      </c>
      <c r="D322" s="507">
        <v>1610</v>
      </c>
      <c r="E322" s="507">
        <v>1580</v>
      </c>
      <c r="F322" s="543">
        <v>500</v>
      </c>
    </row>
    <row r="323" s="529" customFormat="1" ht="14.25" customHeight="1" spans="1:6">
      <c r="A323" s="503" t="s">
        <v>292</v>
      </c>
      <c r="B323" s="507" t="s">
        <v>2342</v>
      </c>
      <c r="C323" s="507">
        <v>1780</v>
      </c>
      <c r="D323" s="507">
        <v>1740</v>
      </c>
      <c r="E323" s="507">
        <v>1720</v>
      </c>
      <c r="F323" s="546"/>
    </row>
    <row r="324" s="529" customFormat="1" ht="14.25" customHeight="1" spans="1:6">
      <c r="A324" s="503" t="s">
        <v>292</v>
      </c>
      <c r="B324" s="507" t="s">
        <v>2353</v>
      </c>
      <c r="C324" s="507">
        <v>1650</v>
      </c>
      <c r="D324" s="507">
        <v>1610</v>
      </c>
      <c r="E324" s="507">
        <v>1580</v>
      </c>
      <c r="F324" s="546"/>
    </row>
    <row r="325" s="529" customFormat="1" ht="14.25" customHeight="1" spans="1:6">
      <c r="A325" s="503" t="s">
        <v>292</v>
      </c>
      <c r="B325" s="507" t="s">
        <v>2363</v>
      </c>
      <c r="C325" s="507">
        <v>1330</v>
      </c>
      <c r="D325" s="507">
        <v>1270</v>
      </c>
      <c r="E325" s="507">
        <v>1240</v>
      </c>
      <c r="F325" s="543">
        <v>430</v>
      </c>
    </row>
    <row r="326" s="529" customFormat="1" ht="14.25" customHeight="1" spans="1:6">
      <c r="A326" s="503" t="s">
        <v>292</v>
      </c>
      <c r="B326" s="507" t="s">
        <v>2373</v>
      </c>
      <c r="C326" s="507">
        <v>1470</v>
      </c>
      <c r="D326" s="507">
        <v>1430</v>
      </c>
      <c r="E326" s="507">
        <v>1400</v>
      </c>
      <c r="F326" s="546"/>
    </row>
    <row r="327" s="529" customFormat="1" ht="14.25" customHeight="1" spans="1:6">
      <c r="A327" s="503" t="s">
        <v>292</v>
      </c>
      <c r="B327" s="507" t="s">
        <v>2383</v>
      </c>
      <c r="C327" s="507">
        <v>1420</v>
      </c>
      <c r="D327" s="507">
        <v>1380</v>
      </c>
      <c r="E327" s="507">
        <v>1360</v>
      </c>
      <c r="F327" s="543">
        <v>420</v>
      </c>
    </row>
    <row r="328" s="529" customFormat="1" ht="14.25" customHeight="1" spans="1:6">
      <c r="A328" s="503" t="s">
        <v>292</v>
      </c>
      <c r="B328" s="507" t="s">
        <v>2393</v>
      </c>
      <c r="C328" s="507">
        <v>1400</v>
      </c>
      <c r="D328" s="507">
        <v>1360</v>
      </c>
      <c r="E328" s="507">
        <v>1330</v>
      </c>
      <c r="F328" s="543">
        <v>460</v>
      </c>
    </row>
    <row r="329" s="529" customFormat="1" ht="14.25" customHeight="1" spans="1:6">
      <c r="A329" s="503" t="s">
        <v>292</v>
      </c>
      <c r="B329" s="507" t="s">
        <v>2403</v>
      </c>
      <c r="C329" s="507">
        <v>1640</v>
      </c>
      <c r="D329" s="507">
        <v>1610</v>
      </c>
      <c r="E329" s="507">
        <v>1580</v>
      </c>
      <c r="F329" s="543">
        <v>410</v>
      </c>
    </row>
    <row r="330" s="529" customFormat="1" ht="14.25" customHeight="1" spans="1:6">
      <c r="A330" s="503" t="s">
        <v>292</v>
      </c>
      <c r="B330" s="507" t="s">
        <v>2413</v>
      </c>
      <c r="C330" s="507">
        <v>1260</v>
      </c>
      <c r="D330" s="507">
        <v>1220</v>
      </c>
      <c r="E330" s="507">
        <v>1200</v>
      </c>
      <c r="F330" s="546"/>
    </row>
    <row r="331" s="529" customFormat="1" ht="14.25" customHeight="1" spans="1:6">
      <c r="A331" s="503" t="s">
        <v>292</v>
      </c>
      <c r="B331" s="507" t="s">
        <v>2423</v>
      </c>
      <c r="C331" s="507">
        <v>1620</v>
      </c>
      <c r="D331" s="507">
        <v>1560</v>
      </c>
      <c r="E331" s="507">
        <v>1530</v>
      </c>
      <c r="F331" s="543">
        <v>490</v>
      </c>
    </row>
    <row r="332" s="529" customFormat="1" ht="14.25" customHeight="1" spans="1:6">
      <c r="A332" s="503" t="s">
        <v>292</v>
      </c>
      <c r="B332" s="507" t="s">
        <v>2433</v>
      </c>
      <c r="C332" s="507">
        <v>1520</v>
      </c>
      <c r="D332" s="507">
        <v>1470</v>
      </c>
      <c r="E332" s="507">
        <v>1440</v>
      </c>
      <c r="F332" s="543">
        <v>440</v>
      </c>
    </row>
    <row r="333" s="529" customFormat="1" ht="14.25" customHeight="1" spans="1:6">
      <c r="A333" s="503" t="s">
        <v>292</v>
      </c>
      <c r="B333" s="507" t="s">
        <v>2443</v>
      </c>
      <c r="C333" s="507">
        <v>1370</v>
      </c>
      <c r="D333" s="507">
        <v>1320</v>
      </c>
      <c r="E333" s="507">
        <v>1300</v>
      </c>
      <c r="F333" s="543">
        <v>460</v>
      </c>
    </row>
    <row r="334" s="529" customFormat="1" ht="14.25" customHeight="1" spans="1:6">
      <c r="A334" s="503" t="s">
        <v>292</v>
      </c>
      <c r="B334" s="507" t="s">
        <v>2453</v>
      </c>
      <c r="C334" s="507">
        <v>1410</v>
      </c>
      <c r="D334" s="507">
        <v>1340</v>
      </c>
      <c r="E334" s="507">
        <v>1310</v>
      </c>
      <c r="F334" s="543">
        <v>410</v>
      </c>
    </row>
    <row r="335" s="529" customFormat="1" ht="14.25" customHeight="1" spans="1:6">
      <c r="A335" s="503" t="s">
        <v>292</v>
      </c>
      <c r="B335" s="507" t="s">
        <v>2463</v>
      </c>
      <c r="C335" s="507">
        <v>1260</v>
      </c>
      <c r="D335" s="507">
        <v>1220</v>
      </c>
      <c r="E335" s="507">
        <v>1200</v>
      </c>
      <c r="F335" s="546"/>
    </row>
    <row r="336" s="529" customFormat="1" ht="14.25" customHeight="1" spans="1:6">
      <c r="A336" s="503" t="s">
        <v>292</v>
      </c>
      <c r="B336" s="507" t="s">
        <v>2472</v>
      </c>
      <c r="C336" s="507">
        <v>1160</v>
      </c>
      <c r="D336" s="507">
        <v>1140</v>
      </c>
      <c r="E336" s="507">
        <v>1120</v>
      </c>
      <c r="F336" s="543">
        <v>430</v>
      </c>
    </row>
    <row r="337" s="529" customFormat="1" ht="14.25" customHeight="1" spans="1:6">
      <c r="A337" s="503" t="s">
        <v>292</v>
      </c>
      <c r="B337" s="518" t="s">
        <v>2480</v>
      </c>
      <c r="C337" s="518"/>
      <c r="D337" s="518"/>
      <c r="E337" s="518"/>
      <c r="F337" s="545">
        <v>380</v>
      </c>
    </row>
    <row r="338" s="529" customFormat="1" ht="14.25" customHeight="1" spans="1:6">
      <c r="A338" s="503" t="s">
        <v>295</v>
      </c>
      <c r="B338" s="504" t="s">
        <v>2270</v>
      </c>
      <c r="C338" s="504">
        <v>880</v>
      </c>
      <c r="D338" s="504">
        <v>850</v>
      </c>
      <c r="E338" s="504">
        <v>830</v>
      </c>
      <c r="F338" s="550"/>
    </row>
    <row r="339" s="529" customFormat="1" ht="14.25" customHeight="1" spans="1:6">
      <c r="A339" s="503" t="s">
        <v>295</v>
      </c>
      <c r="B339" s="507" t="s">
        <v>2283</v>
      </c>
      <c r="C339" s="507">
        <v>830</v>
      </c>
      <c r="D339" s="507">
        <v>800</v>
      </c>
      <c r="E339" s="507">
        <v>780</v>
      </c>
      <c r="F339" s="546"/>
    </row>
    <row r="340" s="529" customFormat="1" ht="14.25" customHeight="1" spans="1:6">
      <c r="A340" s="503" t="s">
        <v>295</v>
      </c>
      <c r="B340" s="507" t="s">
        <v>2297</v>
      </c>
      <c r="C340" s="507">
        <v>980</v>
      </c>
      <c r="D340" s="507">
        <v>950</v>
      </c>
      <c r="E340" s="507">
        <v>920</v>
      </c>
      <c r="F340" s="546"/>
    </row>
    <row r="341" s="529" customFormat="1" ht="14.25" customHeight="1" spans="1:6">
      <c r="A341" s="503" t="s">
        <v>295</v>
      </c>
      <c r="B341" s="507" t="s">
        <v>2309</v>
      </c>
      <c r="C341" s="507">
        <v>760</v>
      </c>
      <c r="D341" s="507">
        <v>720</v>
      </c>
      <c r="E341" s="507">
        <v>690</v>
      </c>
      <c r="F341" s="543">
        <v>350</v>
      </c>
    </row>
    <row r="342" s="529" customFormat="1" ht="14.25" customHeight="1" spans="1:6">
      <c r="A342" s="503" t="s">
        <v>295</v>
      </c>
      <c r="B342" s="507" t="s">
        <v>2321</v>
      </c>
      <c r="C342" s="507">
        <v>910</v>
      </c>
      <c r="D342" s="507">
        <v>870</v>
      </c>
      <c r="E342" s="507">
        <v>850</v>
      </c>
      <c r="F342" s="543">
        <v>370</v>
      </c>
    </row>
    <row r="343" s="529" customFormat="1" ht="14.25" customHeight="1" spans="1:6">
      <c r="A343" s="503" t="s">
        <v>295</v>
      </c>
      <c r="B343" s="507" t="s">
        <v>2332</v>
      </c>
      <c r="C343" s="507">
        <v>800</v>
      </c>
      <c r="D343" s="507">
        <v>760</v>
      </c>
      <c r="E343" s="507">
        <v>730</v>
      </c>
      <c r="F343" s="543">
        <v>340</v>
      </c>
    </row>
    <row r="344" s="529" customFormat="1" ht="14.25" customHeight="1" spans="1:6">
      <c r="A344" s="503" t="s">
        <v>295</v>
      </c>
      <c r="B344" s="518" t="s">
        <v>2343</v>
      </c>
      <c r="C344" s="518">
        <v>720</v>
      </c>
      <c r="D344" s="518">
        <v>690</v>
      </c>
      <c r="E344" s="518">
        <v>660</v>
      </c>
      <c r="F344" s="545">
        <v>300</v>
      </c>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F6" sqref="F6"/>
    </sheetView>
  </sheetViews>
  <sheetFormatPr defaultColWidth="9" defaultRowHeight="14.4" outlineLevelCol="5"/>
  <cols>
    <col min="1" max="1" width="12.6666666666667" style="497" customWidth="1"/>
    <col min="2" max="2" width="10.2222222222222" style="498" customWidth="1"/>
  </cols>
  <sheetData>
    <row r="1" spans="1:2">
      <c r="A1" s="499" t="s">
        <v>2601</v>
      </c>
      <c r="B1" s="499"/>
    </row>
    <row r="2" ht="15.15" spans="1:2">
      <c r="A2" s="499"/>
      <c r="B2" s="499"/>
    </row>
    <row r="3" ht="15.15" spans="1:6">
      <c r="A3" s="499"/>
      <c r="B3" s="499"/>
      <c r="C3" s="500" t="s">
        <v>1796</v>
      </c>
      <c r="D3" s="500" t="s">
        <v>1797</v>
      </c>
      <c r="E3" s="500" t="s">
        <v>1798</v>
      </c>
      <c r="F3" s="500" t="s">
        <v>454</v>
      </c>
    </row>
    <row r="4" ht="15.15" spans="1:6">
      <c r="A4" s="501" t="s">
        <v>2271</v>
      </c>
      <c r="B4" s="502" t="s">
        <v>2284</v>
      </c>
      <c r="C4" s="500"/>
      <c r="D4" s="500"/>
      <c r="E4" s="500"/>
      <c r="F4" s="500"/>
    </row>
    <row r="5" ht="15.15" spans="1:6">
      <c r="A5" s="503" t="s">
        <v>230</v>
      </c>
      <c r="B5" s="504" t="s">
        <v>2259</v>
      </c>
      <c r="C5" s="505">
        <v>0.089</v>
      </c>
      <c r="D5" s="505">
        <v>0.074</v>
      </c>
      <c r="E5" s="505">
        <v>0.075</v>
      </c>
      <c r="F5" s="506">
        <v>0.1</v>
      </c>
    </row>
    <row r="6" ht="15.15" spans="1:6">
      <c r="A6" s="503" t="s">
        <v>230</v>
      </c>
      <c r="B6" s="507" t="s">
        <v>2272</v>
      </c>
      <c r="C6" s="508">
        <v>0.1</v>
      </c>
      <c r="D6" s="508">
        <v>0.091</v>
      </c>
      <c r="E6" s="508">
        <v>0.091</v>
      </c>
      <c r="F6" s="509">
        <v>0.1</v>
      </c>
    </row>
    <row r="7" ht="15.15" spans="1:6">
      <c r="A7" s="503" t="s">
        <v>230</v>
      </c>
      <c r="B7" s="510" t="s">
        <v>2286</v>
      </c>
      <c r="C7" s="508">
        <v>0.086</v>
      </c>
      <c r="D7" s="508">
        <v>0.096</v>
      </c>
      <c r="E7" s="508">
        <v>0.076</v>
      </c>
      <c r="F7" s="509">
        <v>0.1</v>
      </c>
    </row>
    <row r="8" ht="15.15" spans="1:6">
      <c r="A8" s="503" t="s">
        <v>230</v>
      </c>
      <c r="B8" s="507" t="s">
        <v>2298</v>
      </c>
      <c r="C8" s="508">
        <v>0.099</v>
      </c>
      <c r="D8" s="508">
        <v>0.098</v>
      </c>
      <c r="E8" s="508">
        <v>0.098</v>
      </c>
      <c r="F8" s="509">
        <v>0.1</v>
      </c>
    </row>
    <row r="9" ht="15.15" spans="1:6">
      <c r="A9" s="511" t="s">
        <v>230</v>
      </c>
      <c r="B9" s="512" t="s">
        <v>2310</v>
      </c>
      <c r="C9" s="513">
        <v>0.05</v>
      </c>
      <c r="D9" s="514"/>
      <c r="E9" s="514"/>
      <c r="F9" s="515"/>
    </row>
    <row r="10" ht="15.15" spans="1:6">
      <c r="A10" s="503" t="s">
        <v>241</v>
      </c>
      <c r="B10" s="504" t="s">
        <v>2260</v>
      </c>
      <c r="C10" s="505">
        <v>0.089</v>
      </c>
      <c r="D10" s="505">
        <v>0.073</v>
      </c>
      <c r="E10" s="505">
        <v>0.082</v>
      </c>
      <c r="F10" s="506">
        <v>0.1</v>
      </c>
    </row>
    <row r="11" ht="15.15" spans="1:6">
      <c r="A11" s="503" t="s">
        <v>241</v>
      </c>
      <c r="B11" s="510" t="s">
        <v>2273</v>
      </c>
      <c r="C11" s="508">
        <v>0.089</v>
      </c>
      <c r="D11" s="508">
        <v>0.073</v>
      </c>
      <c r="E11" s="508">
        <v>0.082</v>
      </c>
      <c r="F11" s="509">
        <v>0.1</v>
      </c>
    </row>
    <row r="12" ht="15.15" spans="1:6">
      <c r="A12" s="503" t="s">
        <v>241</v>
      </c>
      <c r="B12" s="510" t="s">
        <v>2287</v>
      </c>
      <c r="C12" s="508">
        <v>0.061</v>
      </c>
      <c r="D12" s="508">
        <v>0.071</v>
      </c>
      <c r="E12" s="508">
        <v>0.096</v>
      </c>
      <c r="F12" s="509">
        <v>0.1</v>
      </c>
    </row>
    <row r="13" ht="15.15" spans="1:6">
      <c r="A13" s="503" t="s">
        <v>241</v>
      </c>
      <c r="B13" s="510" t="s">
        <v>2299</v>
      </c>
      <c r="C13" s="508">
        <v>0.069</v>
      </c>
      <c r="D13" s="508">
        <v>0.065</v>
      </c>
      <c r="E13" s="508">
        <v>0.066</v>
      </c>
      <c r="F13" s="509">
        <v>0.1</v>
      </c>
    </row>
    <row r="14" ht="15.15" spans="1:6">
      <c r="A14" s="503" t="s">
        <v>241</v>
      </c>
      <c r="B14" s="510" t="s">
        <v>2311</v>
      </c>
      <c r="C14" s="508">
        <v>0.1</v>
      </c>
      <c r="D14" s="508">
        <v>0.065</v>
      </c>
      <c r="E14" s="508">
        <v>0.07</v>
      </c>
      <c r="F14" s="509">
        <v>0.1</v>
      </c>
    </row>
    <row r="15" ht="15.15" spans="1:6">
      <c r="A15" s="503" t="s">
        <v>241</v>
      </c>
      <c r="B15" s="510" t="s">
        <v>2322</v>
      </c>
      <c r="C15" s="508">
        <v>0.098</v>
      </c>
      <c r="D15" s="508">
        <v>0.089</v>
      </c>
      <c r="E15" s="508">
        <v>0.089</v>
      </c>
      <c r="F15" s="509">
        <v>0.1</v>
      </c>
    </row>
    <row r="16" ht="15.15" spans="1:6">
      <c r="A16" s="503" t="s">
        <v>241</v>
      </c>
      <c r="B16" s="510" t="s">
        <v>2333</v>
      </c>
      <c r="C16" s="508">
        <v>0.07</v>
      </c>
      <c r="D16" s="508">
        <v>0.093</v>
      </c>
      <c r="E16" s="508">
        <v>0.096</v>
      </c>
      <c r="F16" s="509">
        <v>0.1</v>
      </c>
    </row>
    <row r="17" ht="15.15" spans="1:6">
      <c r="A17" s="503" t="s">
        <v>241</v>
      </c>
      <c r="B17" s="510" t="s">
        <v>2344</v>
      </c>
      <c r="C17" s="508">
        <v>0.095</v>
      </c>
      <c r="D17" s="508">
        <v>0.1</v>
      </c>
      <c r="E17" s="508">
        <v>0.1</v>
      </c>
      <c r="F17" s="516"/>
    </row>
    <row r="18" ht="15.15" spans="1:6">
      <c r="A18" s="503" t="s">
        <v>241</v>
      </c>
      <c r="B18" s="510" t="s">
        <v>2354</v>
      </c>
      <c r="C18" s="508">
        <v>0.074</v>
      </c>
      <c r="D18" s="508">
        <v>0.099</v>
      </c>
      <c r="E18" s="508">
        <v>0.1</v>
      </c>
      <c r="F18" s="516"/>
    </row>
    <row r="19" ht="15.15" spans="1:6">
      <c r="A19" s="503" t="s">
        <v>241</v>
      </c>
      <c r="B19" s="510" t="s">
        <v>2364</v>
      </c>
      <c r="C19" s="508">
        <v>0.099</v>
      </c>
      <c r="D19" s="508">
        <v>0.076</v>
      </c>
      <c r="E19" s="508">
        <v>0.087</v>
      </c>
      <c r="F19" s="516"/>
    </row>
    <row r="20" ht="15.15" spans="1:6">
      <c r="A20" s="503" t="s">
        <v>241</v>
      </c>
      <c r="B20" s="510" t="s">
        <v>2374</v>
      </c>
      <c r="C20" s="508">
        <v>0.098</v>
      </c>
      <c r="D20" s="508">
        <v>0.085</v>
      </c>
      <c r="E20" s="508">
        <v>0.082</v>
      </c>
      <c r="F20" s="516"/>
    </row>
    <row r="21" ht="15.15" spans="1:6">
      <c r="A21" s="503" t="s">
        <v>241</v>
      </c>
      <c r="B21" s="510" t="s">
        <v>2384</v>
      </c>
      <c r="C21" s="508">
        <v>0.066</v>
      </c>
      <c r="D21" s="508">
        <v>0.064</v>
      </c>
      <c r="E21" s="508">
        <v>0.065</v>
      </c>
      <c r="F21" s="516"/>
    </row>
    <row r="22" ht="15.15" spans="1:6">
      <c r="A22" s="503" t="s">
        <v>241</v>
      </c>
      <c r="B22" s="510" t="s">
        <v>2394</v>
      </c>
      <c r="C22" s="508">
        <v>0.08</v>
      </c>
      <c r="D22" s="508">
        <v>0.098</v>
      </c>
      <c r="E22" s="508">
        <v>0.098</v>
      </c>
      <c r="F22" s="516"/>
    </row>
    <row r="23" ht="15.15" spans="1:6">
      <c r="A23" s="503" t="s">
        <v>241</v>
      </c>
      <c r="B23" s="510" t="s">
        <v>2404</v>
      </c>
      <c r="C23" s="508">
        <v>0.099</v>
      </c>
      <c r="D23" s="508">
        <v>0.098</v>
      </c>
      <c r="E23" s="508">
        <v>0.091</v>
      </c>
      <c r="F23" s="516"/>
    </row>
    <row r="24" ht="15.15" spans="1:6">
      <c r="A24" s="503" t="s">
        <v>241</v>
      </c>
      <c r="B24" s="510" t="s">
        <v>2414</v>
      </c>
      <c r="C24" s="508">
        <v>0.089</v>
      </c>
      <c r="D24" s="508">
        <v>0.097</v>
      </c>
      <c r="E24" s="508">
        <v>0.07</v>
      </c>
      <c r="F24" s="516"/>
    </row>
    <row r="25" ht="15.15" spans="1:6">
      <c r="A25" s="503" t="s">
        <v>241</v>
      </c>
      <c r="B25" s="510" t="s">
        <v>2424</v>
      </c>
      <c r="C25" s="508">
        <v>0.089</v>
      </c>
      <c r="D25" s="508">
        <v>0.1</v>
      </c>
      <c r="E25" s="508">
        <v>0.081</v>
      </c>
      <c r="F25" s="516"/>
    </row>
    <row r="26" ht="15.15" spans="1:6">
      <c r="A26" s="503" t="s">
        <v>241</v>
      </c>
      <c r="B26" s="510" t="s">
        <v>2434</v>
      </c>
      <c r="C26" s="517"/>
      <c r="D26" s="508">
        <v>0.096</v>
      </c>
      <c r="E26" s="508">
        <v>0.093</v>
      </c>
      <c r="F26" s="516"/>
    </row>
    <row r="27" ht="15.15" spans="1:6">
      <c r="A27" s="503" t="s">
        <v>241</v>
      </c>
      <c r="B27" s="510" t="s">
        <v>2444</v>
      </c>
      <c r="C27" s="517"/>
      <c r="D27" s="508">
        <v>0.076</v>
      </c>
      <c r="E27" s="508">
        <v>0.092</v>
      </c>
      <c r="F27" s="516"/>
    </row>
    <row r="28" ht="15.15" spans="1:6">
      <c r="A28" s="511" t="s">
        <v>241</v>
      </c>
      <c r="B28" s="512" t="s">
        <v>2454</v>
      </c>
      <c r="C28" s="514"/>
      <c r="D28" s="513">
        <v>0.076</v>
      </c>
      <c r="E28" s="513">
        <v>0.092</v>
      </c>
      <c r="F28" s="515"/>
    </row>
    <row r="29" ht="15.15" spans="1:6">
      <c r="A29" s="503" t="s">
        <v>251</v>
      </c>
      <c r="B29" s="504" t="s">
        <v>2261</v>
      </c>
      <c r="C29" s="505">
        <v>0.064</v>
      </c>
      <c r="D29" s="505">
        <v>0.065</v>
      </c>
      <c r="E29" s="505">
        <v>0.069</v>
      </c>
      <c r="F29" s="506">
        <v>0.1</v>
      </c>
    </row>
    <row r="30" ht="15.15" spans="1:6">
      <c r="A30" s="503" t="s">
        <v>251</v>
      </c>
      <c r="B30" s="510" t="s">
        <v>2274</v>
      </c>
      <c r="C30" s="508">
        <v>0.064</v>
      </c>
      <c r="D30" s="508">
        <v>0.099</v>
      </c>
      <c r="E30" s="508">
        <v>0.1</v>
      </c>
      <c r="F30" s="509">
        <v>0.1</v>
      </c>
    </row>
    <row r="31" ht="15.15" spans="1:6">
      <c r="A31" s="503" t="s">
        <v>251</v>
      </c>
      <c r="B31" s="510" t="s">
        <v>2288</v>
      </c>
      <c r="C31" s="508">
        <v>0.1</v>
      </c>
      <c r="D31" s="508">
        <v>0.095</v>
      </c>
      <c r="E31" s="508">
        <v>0.089</v>
      </c>
      <c r="F31" s="509">
        <v>0.1</v>
      </c>
    </row>
    <row r="32" ht="15.15" spans="1:6">
      <c r="A32" s="503" t="s">
        <v>251</v>
      </c>
      <c r="B32" s="510" t="s">
        <v>2300</v>
      </c>
      <c r="C32" s="508">
        <v>0.05</v>
      </c>
      <c r="D32" s="508">
        <v>0.05</v>
      </c>
      <c r="E32" s="508">
        <v>0.088</v>
      </c>
      <c r="F32" s="509">
        <v>0.1</v>
      </c>
    </row>
    <row r="33" ht="15.15" spans="1:6">
      <c r="A33" s="503" t="s">
        <v>251</v>
      </c>
      <c r="B33" s="510" t="s">
        <v>2312</v>
      </c>
      <c r="C33" s="508">
        <v>0.075</v>
      </c>
      <c r="D33" s="508">
        <v>0.094</v>
      </c>
      <c r="E33" s="508">
        <v>0.097</v>
      </c>
      <c r="F33" s="509">
        <v>0.1</v>
      </c>
    </row>
    <row r="34" ht="15.15" spans="1:6">
      <c r="A34" s="503" t="s">
        <v>251</v>
      </c>
      <c r="B34" s="510" t="s">
        <v>2323</v>
      </c>
      <c r="C34" s="508">
        <v>0.098</v>
      </c>
      <c r="D34" s="508">
        <v>0.086</v>
      </c>
      <c r="E34" s="508">
        <v>0.097</v>
      </c>
      <c r="F34" s="509">
        <v>0.1</v>
      </c>
    </row>
    <row r="35" ht="15.15" spans="1:6">
      <c r="A35" s="503" t="s">
        <v>251</v>
      </c>
      <c r="B35" s="510" t="s">
        <v>2334</v>
      </c>
      <c r="C35" s="508">
        <v>0.059</v>
      </c>
      <c r="D35" s="508">
        <v>0.065</v>
      </c>
      <c r="E35" s="508">
        <v>0.07</v>
      </c>
      <c r="F35" s="509">
        <v>0.1</v>
      </c>
    </row>
    <row r="36" ht="15.15" spans="1:6">
      <c r="A36" s="503" t="s">
        <v>251</v>
      </c>
      <c r="B36" s="510" t="s">
        <v>2345</v>
      </c>
      <c r="C36" s="508">
        <v>0.063</v>
      </c>
      <c r="D36" s="508">
        <v>0.1</v>
      </c>
      <c r="E36" s="508">
        <v>0.1</v>
      </c>
      <c r="F36" s="509">
        <v>0.1</v>
      </c>
    </row>
    <row r="37" ht="15.15" spans="1:6">
      <c r="A37" s="503" t="s">
        <v>251</v>
      </c>
      <c r="B37" s="510" t="s">
        <v>2355</v>
      </c>
      <c r="C37" s="508">
        <v>0.074</v>
      </c>
      <c r="D37" s="508">
        <v>0.1</v>
      </c>
      <c r="E37" s="508">
        <v>0.1</v>
      </c>
      <c r="F37" s="509">
        <v>0.1</v>
      </c>
    </row>
    <row r="38" ht="15.15" spans="1:6">
      <c r="A38" s="503" t="s">
        <v>251</v>
      </c>
      <c r="B38" s="510" t="s">
        <v>2365</v>
      </c>
      <c r="C38" s="508">
        <v>0.1</v>
      </c>
      <c r="D38" s="508">
        <v>0.096</v>
      </c>
      <c r="E38" s="508">
        <v>0.096</v>
      </c>
      <c r="F38" s="516"/>
    </row>
    <row r="39" ht="15.15" spans="1:6">
      <c r="A39" s="503" t="s">
        <v>251</v>
      </c>
      <c r="B39" s="510" t="s">
        <v>2375</v>
      </c>
      <c r="C39" s="508">
        <v>0.1</v>
      </c>
      <c r="D39" s="508">
        <v>0.096</v>
      </c>
      <c r="E39" s="508">
        <v>0.096</v>
      </c>
      <c r="F39" s="516"/>
    </row>
    <row r="40" ht="15.15" spans="1:6">
      <c r="A40" s="503" t="s">
        <v>251</v>
      </c>
      <c r="B40" s="510" t="s">
        <v>2385</v>
      </c>
      <c r="C40" s="508">
        <v>0.096</v>
      </c>
      <c r="D40" s="508">
        <v>0.1</v>
      </c>
      <c r="E40" s="508">
        <v>0.099</v>
      </c>
      <c r="F40" s="516"/>
    </row>
    <row r="41" ht="15.15" spans="1:6">
      <c r="A41" s="503" t="s">
        <v>251</v>
      </c>
      <c r="B41" s="510" t="s">
        <v>2395</v>
      </c>
      <c r="C41" s="508">
        <v>0.096</v>
      </c>
      <c r="D41" s="508">
        <v>0.098</v>
      </c>
      <c r="E41" s="508">
        <v>0.098</v>
      </c>
      <c r="F41" s="516"/>
    </row>
    <row r="42" ht="15.15" spans="1:6">
      <c r="A42" s="503" t="s">
        <v>251</v>
      </c>
      <c r="B42" s="510" t="s">
        <v>2405</v>
      </c>
      <c r="C42" s="508">
        <v>0.1</v>
      </c>
      <c r="D42" s="508">
        <v>0.088</v>
      </c>
      <c r="E42" s="508">
        <v>0.1</v>
      </c>
      <c r="F42" s="516"/>
    </row>
    <row r="43" ht="15.15" spans="1:6">
      <c r="A43" s="503" t="s">
        <v>251</v>
      </c>
      <c r="B43" s="510" t="s">
        <v>2415</v>
      </c>
      <c r="C43" s="508">
        <v>0.098</v>
      </c>
      <c r="D43" s="508">
        <v>0.097</v>
      </c>
      <c r="E43" s="508">
        <v>0.096</v>
      </c>
      <c r="F43" s="516"/>
    </row>
    <row r="44" ht="15.15" spans="1:6">
      <c r="A44" s="503" t="s">
        <v>251</v>
      </c>
      <c r="B44" s="510" t="s">
        <v>2425</v>
      </c>
      <c r="C44" s="508">
        <v>0.086</v>
      </c>
      <c r="D44" s="508">
        <v>0.079</v>
      </c>
      <c r="E44" s="508">
        <v>0.071</v>
      </c>
      <c r="F44" s="516"/>
    </row>
    <row r="45" ht="15.15" spans="1:6">
      <c r="A45" s="503" t="s">
        <v>251</v>
      </c>
      <c r="B45" s="510" t="s">
        <v>2435</v>
      </c>
      <c r="C45" s="508">
        <v>0.098</v>
      </c>
      <c r="D45" s="508">
        <v>0.096</v>
      </c>
      <c r="E45" s="508">
        <v>0.096</v>
      </c>
      <c r="F45" s="516"/>
    </row>
    <row r="46" ht="15.15" spans="1:6">
      <c r="A46" s="503" t="s">
        <v>251</v>
      </c>
      <c r="B46" s="510" t="s">
        <v>2445</v>
      </c>
      <c r="C46" s="508">
        <v>0.086</v>
      </c>
      <c r="D46" s="508">
        <v>0.098</v>
      </c>
      <c r="E46" s="508">
        <v>0.088</v>
      </c>
      <c r="F46" s="516"/>
    </row>
    <row r="47" ht="15.15" spans="1:6">
      <c r="A47" s="503" t="s">
        <v>251</v>
      </c>
      <c r="B47" s="510" t="s">
        <v>2455</v>
      </c>
      <c r="C47" s="508">
        <v>0.096</v>
      </c>
      <c r="D47" s="517"/>
      <c r="E47" s="508">
        <v>0.069</v>
      </c>
      <c r="F47" s="516"/>
    </row>
    <row r="48" ht="15.15" spans="1:6">
      <c r="A48" s="511" t="s">
        <v>251</v>
      </c>
      <c r="B48" s="512" t="s">
        <v>2464</v>
      </c>
      <c r="C48" s="513">
        <v>0.098</v>
      </c>
      <c r="D48" s="514"/>
      <c r="E48" s="513">
        <v>0.095</v>
      </c>
      <c r="F48" s="515"/>
    </row>
    <row r="49" ht="15.15" spans="1:6">
      <c r="A49" s="503" t="s">
        <v>259</v>
      </c>
      <c r="B49" s="504" t="s">
        <v>2262</v>
      </c>
      <c r="C49" s="505">
        <v>0.097</v>
      </c>
      <c r="D49" s="505">
        <v>0.095</v>
      </c>
      <c r="E49" s="505">
        <v>0.097</v>
      </c>
      <c r="F49" s="506">
        <v>0.1</v>
      </c>
    </row>
    <row r="50" ht="15.15" spans="1:6">
      <c r="A50" s="503" t="s">
        <v>259</v>
      </c>
      <c r="B50" s="507" t="s">
        <v>2275</v>
      </c>
      <c r="C50" s="508">
        <v>0.075</v>
      </c>
      <c r="D50" s="508">
        <v>0.095</v>
      </c>
      <c r="E50" s="508">
        <v>0.1</v>
      </c>
      <c r="F50" s="509">
        <v>0.1</v>
      </c>
    </row>
    <row r="51" ht="15.15" spans="1:6">
      <c r="A51" s="503" t="s">
        <v>259</v>
      </c>
      <c r="B51" s="507" t="s">
        <v>2289</v>
      </c>
      <c r="C51" s="508">
        <v>0.098</v>
      </c>
      <c r="D51" s="508">
        <v>0.089</v>
      </c>
      <c r="E51" s="508">
        <v>0.1</v>
      </c>
      <c r="F51" s="509">
        <v>0.1</v>
      </c>
    </row>
    <row r="52" ht="15.15" spans="1:6">
      <c r="A52" s="503" t="s">
        <v>259</v>
      </c>
      <c r="B52" s="507" t="s">
        <v>2301</v>
      </c>
      <c r="C52" s="508">
        <v>0.098</v>
      </c>
      <c r="D52" s="508">
        <v>0.097</v>
      </c>
      <c r="E52" s="508">
        <v>0.081</v>
      </c>
      <c r="F52" s="509">
        <v>0.1</v>
      </c>
    </row>
    <row r="53" ht="15.15" spans="1:6">
      <c r="A53" s="503" t="s">
        <v>259</v>
      </c>
      <c r="B53" s="507" t="s">
        <v>2313</v>
      </c>
      <c r="C53" s="508">
        <v>0.097</v>
      </c>
      <c r="D53" s="508">
        <v>0.076</v>
      </c>
      <c r="E53" s="508">
        <v>0.071</v>
      </c>
      <c r="F53" s="509">
        <v>0.1</v>
      </c>
    </row>
    <row r="54" ht="15.15" spans="1:6">
      <c r="A54" s="503" t="s">
        <v>259</v>
      </c>
      <c r="B54" s="507" t="s">
        <v>2324</v>
      </c>
      <c r="C54" s="508">
        <v>0.076</v>
      </c>
      <c r="D54" s="508">
        <v>0.1</v>
      </c>
      <c r="E54" s="508">
        <v>0.099</v>
      </c>
      <c r="F54" s="509">
        <v>0.1</v>
      </c>
    </row>
    <row r="55" ht="15.15" spans="1:6">
      <c r="A55" s="503" t="s">
        <v>259</v>
      </c>
      <c r="B55" s="507" t="s">
        <v>2335</v>
      </c>
      <c r="C55" s="508">
        <v>0.1</v>
      </c>
      <c r="D55" s="508">
        <v>0.1</v>
      </c>
      <c r="E55" s="508">
        <v>0.096</v>
      </c>
      <c r="F55" s="509">
        <v>0.1</v>
      </c>
    </row>
    <row r="56" ht="15.15" spans="1:6">
      <c r="A56" s="503" t="s">
        <v>259</v>
      </c>
      <c r="B56" s="507" t="s">
        <v>2346</v>
      </c>
      <c r="C56" s="508">
        <v>0.1</v>
      </c>
      <c r="D56" s="508">
        <v>0.096</v>
      </c>
      <c r="E56" s="508">
        <v>0.052</v>
      </c>
      <c r="F56" s="509">
        <v>0.1</v>
      </c>
    </row>
    <row r="57" ht="15.15" spans="1:6">
      <c r="A57" s="503" t="s">
        <v>259</v>
      </c>
      <c r="B57" s="507" t="s">
        <v>2356</v>
      </c>
      <c r="C57" s="508">
        <v>0.097</v>
      </c>
      <c r="D57" s="508">
        <v>0.096</v>
      </c>
      <c r="E57" s="508">
        <v>0.096</v>
      </c>
      <c r="F57" s="509">
        <v>0.1</v>
      </c>
    </row>
    <row r="58" ht="15.15" spans="1:6">
      <c r="A58" s="503" t="s">
        <v>259</v>
      </c>
      <c r="B58" s="507" t="s">
        <v>2366</v>
      </c>
      <c r="C58" s="508">
        <v>0.096</v>
      </c>
      <c r="D58" s="508">
        <v>0.099</v>
      </c>
      <c r="E58" s="508">
        <v>0.096</v>
      </c>
      <c r="F58" s="509">
        <v>0.1</v>
      </c>
    </row>
    <row r="59" ht="15.15" spans="1:6">
      <c r="A59" s="503" t="s">
        <v>259</v>
      </c>
      <c r="B59" s="507" t="s">
        <v>2376</v>
      </c>
      <c r="C59" s="508">
        <v>0.072</v>
      </c>
      <c r="D59" s="508">
        <v>0.096</v>
      </c>
      <c r="E59" s="508">
        <v>0.071</v>
      </c>
      <c r="F59" s="509">
        <v>0.1</v>
      </c>
    </row>
    <row r="60" ht="15.15" spans="1:6">
      <c r="A60" s="503" t="s">
        <v>259</v>
      </c>
      <c r="B60" s="507" t="s">
        <v>2386</v>
      </c>
      <c r="C60" s="508">
        <v>0.096</v>
      </c>
      <c r="D60" s="508">
        <v>0.089</v>
      </c>
      <c r="E60" s="508">
        <v>0.096</v>
      </c>
      <c r="F60" s="509">
        <v>0.1</v>
      </c>
    </row>
    <row r="61" ht="15.15" spans="1:6">
      <c r="A61" s="503" t="s">
        <v>259</v>
      </c>
      <c r="B61" s="507" t="s">
        <v>2396</v>
      </c>
      <c r="C61" s="508">
        <v>0.089</v>
      </c>
      <c r="D61" s="508">
        <v>0.098</v>
      </c>
      <c r="E61" s="508">
        <v>0.088</v>
      </c>
      <c r="F61" s="516"/>
    </row>
    <row r="62" ht="15.15" spans="1:6">
      <c r="A62" s="503" t="s">
        <v>259</v>
      </c>
      <c r="B62" s="507" t="s">
        <v>2406</v>
      </c>
      <c r="C62" s="508">
        <v>0.098</v>
      </c>
      <c r="D62" s="508">
        <v>0.093</v>
      </c>
      <c r="E62" s="508">
        <v>0.097</v>
      </c>
      <c r="F62" s="516"/>
    </row>
    <row r="63" ht="15.15" spans="1:6">
      <c r="A63" s="503" t="s">
        <v>259</v>
      </c>
      <c r="B63" s="507" t="s">
        <v>2416</v>
      </c>
      <c r="C63" s="508">
        <v>0.096</v>
      </c>
      <c r="D63" s="508">
        <v>0.098</v>
      </c>
      <c r="E63" s="508">
        <v>0.09</v>
      </c>
      <c r="F63" s="516"/>
    </row>
    <row r="64" ht="15.15" spans="1:6">
      <c r="A64" s="503" t="s">
        <v>259</v>
      </c>
      <c r="B64" s="507" t="s">
        <v>2426</v>
      </c>
      <c r="C64" s="508">
        <v>0.099</v>
      </c>
      <c r="D64" s="508">
        <v>0.097</v>
      </c>
      <c r="E64" s="508">
        <v>0.099</v>
      </c>
      <c r="F64" s="516"/>
    </row>
    <row r="65" ht="15.15" spans="1:6">
      <c r="A65" s="503" t="s">
        <v>259</v>
      </c>
      <c r="B65" s="507" t="s">
        <v>2436</v>
      </c>
      <c r="C65" s="508">
        <v>0.098</v>
      </c>
      <c r="D65" s="508">
        <v>0.096</v>
      </c>
      <c r="E65" s="508">
        <v>0.096</v>
      </c>
      <c r="F65" s="516"/>
    </row>
    <row r="66" ht="15.15" spans="1:6">
      <c r="A66" s="503" t="s">
        <v>259</v>
      </c>
      <c r="B66" s="507" t="s">
        <v>2446</v>
      </c>
      <c r="C66" s="508">
        <v>0.096</v>
      </c>
      <c r="D66" s="508">
        <v>0.092</v>
      </c>
      <c r="E66" s="508">
        <v>0.096</v>
      </c>
      <c r="F66" s="516"/>
    </row>
    <row r="67" ht="15.15" spans="1:6">
      <c r="A67" s="503" t="s">
        <v>259</v>
      </c>
      <c r="B67" s="507" t="s">
        <v>2456</v>
      </c>
      <c r="C67" s="508">
        <v>0.094</v>
      </c>
      <c r="D67" s="508">
        <v>0.1</v>
      </c>
      <c r="E67" s="508">
        <v>0.088</v>
      </c>
      <c r="F67" s="516"/>
    </row>
    <row r="68" ht="15.15" spans="1:6">
      <c r="A68" s="503" t="s">
        <v>259</v>
      </c>
      <c r="B68" s="507" t="s">
        <v>2465</v>
      </c>
      <c r="C68" s="508">
        <v>0.1</v>
      </c>
      <c r="D68" s="508">
        <v>0.088</v>
      </c>
      <c r="E68" s="508">
        <v>0.097</v>
      </c>
      <c r="F68" s="516"/>
    </row>
    <row r="69" ht="15.15" spans="1:6">
      <c r="A69" s="503" t="s">
        <v>259</v>
      </c>
      <c r="B69" s="507" t="s">
        <v>2473</v>
      </c>
      <c r="C69" s="508">
        <v>0.064</v>
      </c>
      <c r="D69" s="508">
        <v>0.1</v>
      </c>
      <c r="E69" s="508">
        <v>0.1</v>
      </c>
      <c r="F69" s="516"/>
    </row>
    <row r="70" ht="15.15" spans="1:6">
      <c r="A70" s="503" t="s">
        <v>259</v>
      </c>
      <c r="B70" s="507" t="s">
        <v>2481</v>
      </c>
      <c r="C70" s="508">
        <v>0.091</v>
      </c>
      <c r="D70" s="517"/>
      <c r="E70" s="517"/>
      <c r="F70" s="516"/>
    </row>
    <row r="71" ht="15.15" spans="1:6">
      <c r="A71" s="503" t="s">
        <v>259</v>
      </c>
      <c r="B71" s="507" t="s">
        <v>2488</v>
      </c>
      <c r="C71" s="508">
        <v>0.1</v>
      </c>
      <c r="D71" s="517"/>
      <c r="E71" s="517"/>
      <c r="F71" s="516"/>
    </row>
    <row r="72" ht="24.75" spans="1:6">
      <c r="A72" s="503" t="s">
        <v>259</v>
      </c>
      <c r="B72" s="507" t="s">
        <v>2495</v>
      </c>
      <c r="C72" s="517"/>
      <c r="D72" s="517"/>
      <c r="E72" s="517"/>
      <c r="F72" s="509">
        <v>0.05</v>
      </c>
    </row>
    <row r="73" ht="24.75" spans="1:6">
      <c r="A73" s="503" t="s">
        <v>259</v>
      </c>
      <c r="B73" s="507" t="s">
        <v>2502</v>
      </c>
      <c r="C73" s="517"/>
      <c r="D73" s="517"/>
      <c r="E73" s="517"/>
      <c r="F73" s="509">
        <v>0.05</v>
      </c>
    </row>
    <row r="74" ht="24.75" spans="1:6">
      <c r="A74" s="503" t="s">
        <v>259</v>
      </c>
      <c r="B74" s="507" t="s">
        <v>2509</v>
      </c>
      <c r="C74" s="517"/>
      <c r="D74" s="517"/>
      <c r="E74" s="517"/>
      <c r="F74" s="509">
        <v>0.05</v>
      </c>
    </row>
    <row r="75" ht="24.75" spans="1:6">
      <c r="A75" s="511" t="s">
        <v>259</v>
      </c>
      <c r="B75" s="518" t="s">
        <v>2516</v>
      </c>
      <c r="C75" s="514"/>
      <c r="D75" s="514"/>
      <c r="E75" s="514"/>
      <c r="F75" s="519">
        <v>0.05</v>
      </c>
    </row>
    <row r="76" ht="15.15" spans="1:6">
      <c r="A76" s="503" t="s">
        <v>267</v>
      </c>
      <c r="B76" s="504" t="s">
        <v>2263</v>
      </c>
      <c r="C76" s="505">
        <v>0.1</v>
      </c>
      <c r="D76" s="505">
        <v>0.1</v>
      </c>
      <c r="E76" s="505">
        <v>0.1</v>
      </c>
      <c r="F76" s="506">
        <v>0.1</v>
      </c>
    </row>
    <row r="77" ht="15.15" spans="1:6">
      <c r="A77" s="503" t="s">
        <v>267</v>
      </c>
      <c r="B77" s="507" t="s">
        <v>2276</v>
      </c>
      <c r="C77" s="508">
        <v>0.088</v>
      </c>
      <c r="D77" s="508">
        <v>0.087</v>
      </c>
      <c r="E77" s="508">
        <v>0.079</v>
      </c>
      <c r="F77" s="509">
        <v>0.1</v>
      </c>
    </row>
    <row r="78" ht="15.15" spans="1:6">
      <c r="A78" s="503" t="s">
        <v>267</v>
      </c>
      <c r="B78" s="507" t="s">
        <v>2290</v>
      </c>
      <c r="C78" s="508">
        <v>0.087</v>
      </c>
      <c r="D78" s="508">
        <v>0.084</v>
      </c>
      <c r="E78" s="508">
        <v>0.096</v>
      </c>
      <c r="F78" s="509">
        <v>0.1</v>
      </c>
    </row>
    <row r="79" ht="15.15" spans="1:6">
      <c r="A79" s="503" t="s">
        <v>267</v>
      </c>
      <c r="B79" s="507" t="s">
        <v>2302</v>
      </c>
      <c r="C79" s="508">
        <v>0.098</v>
      </c>
      <c r="D79" s="508">
        <v>0.098</v>
      </c>
      <c r="E79" s="508">
        <v>0.091</v>
      </c>
      <c r="F79" s="509">
        <v>0.1</v>
      </c>
    </row>
    <row r="80" ht="15.15" spans="1:6">
      <c r="A80" s="503" t="s">
        <v>267</v>
      </c>
      <c r="B80" s="507" t="s">
        <v>2314</v>
      </c>
      <c r="C80" s="508">
        <v>0.096</v>
      </c>
      <c r="D80" s="508">
        <v>0.096</v>
      </c>
      <c r="E80" s="508">
        <v>0.1</v>
      </c>
      <c r="F80" s="509">
        <v>0.1</v>
      </c>
    </row>
    <row r="81" ht="15.15" spans="1:6">
      <c r="A81" s="503" t="s">
        <v>267</v>
      </c>
      <c r="B81" s="507" t="s">
        <v>2325</v>
      </c>
      <c r="C81" s="508">
        <v>0.099</v>
      </c>
      <c r="D81" s="508">
        <v>0.099</v>
      </c>
      <c r="E81" s="508">
        <v>0.098</v>
      </c>
      <c r="F81" s="509">
        <v>0.1</v>
      </c>
    </row>
    <row r="82" ht="15.15" spans="1:6">
      <c r="A82" s="503" t="s">
        <v>267</v>
      </c>
      <c r="B82" s="507" t="s">
        <v>2336</v>
      </c>
      <c r="C82" s="508">
        <v>0.099</v>
      </c>
      <c r="D82" s="508">
        <v>0.099</v>
      </c>
      <c r="E82" s="508">
        <v>0.097</v>
      </c>
      <c r="F82" s="509">
        <v>0.1</v>
      </c>
    </row>
    <row r="83" ht="15.15" spans="1:6">
      <c r="A83" s="503" t="s">
        <v>267</v>
      </c>
      <c r="B83" s="507" t="s">
        <v>2347</v>
      </c>
      <c r="C83" s="508">
        <v>0.098</v>
      </c>
      <c r="D83" s="508">
        <v>0.098</v>
      </c>
      <c r="E83" s="508">
        <v>0.098</v>
      </c>
      <c r="F83" s="509">
        <v>0.1</v>
      </c>
    </row>
    <row r="84" ht="15.15" spans="1:6">
      <c r="A84" s="503" t="s">
        <v>267</v>
      </c>
      <c r="B84" s="507" t="s">
        <v>2357</v>
      </c>
      <c r="C84" s="508">
        <v>0.099</v>
      </c>
      <c r="D84" s="508">
        <v>0.099</v>
      </c>
      <c r="E84" s="508">
        <v>0.099</v>
      </c>
      <c r="F84" s="509">
        <v>0.1</v>
      </c>
    </row>
    <row r="85" ht="15.15" spans="1:6">
      <c r="A85" s="503" t="s">
        <v>267</v>
      </c>
      <c r="B85" s="507" t="s">
        <v>2367</v>
      </c>
      <c r="C85" s="508">
        <v>0.099</v>
      </c>
      <c r="D85" s="508">
        <v>0.099</v>
      </c>
      <c r="E85" s="508">
        <v>0.099</v>
      </c>
      <c r="F85" s="509">
        <v>0.1</v>
      </c>
    </row>
    <row r="86" ht="15.15" spans="1:6">
      <c r="A86" s="503" t="s">
        <v>267</v>
      </c>
      <c r="B86" s="507" t="s">
        <v>2377</v>
      </c>
      <c r="C86" s="508">
        <v>0.1</v>
      </c>
      <c r="D86" s="508">
        <v>0.1</v>
      </c>
      <c r="E86" s="508">
        <v>0.077</v>
      </c>
      <c r="F86" s="509">
        <v>0.1</v>
      </c>
    </row>
    <row r="87" ht="15.15" spans="1:6">
      <c r="A87" s="503" t="s">
        <v>267</v>
      </c>
      <c r="B87" s="507" t="s">
        <v>2387</v>
      </c>
      <c r="C87" s="508">
        <v>0.1</v>
      </c>
      <c r="D87" s="508">
        <v>0.1</v>
      </c>
      <c r="E87" s="508">
        <v>0.098</v>
      </c>
      <c r="F87" s="516"/>
    </row>
    <row r="88" ht="15.15" spans="1:6">
      <c r="A88" s="503" t="s">
        <v>267</v>
      </c>
      <c r="B88" s="507" t="s">
        <v>2397</v>
      </c>
      <c r="C88" s="508">
        <v>0.092</v>
      </c>
      <c r="D88" s="508">
        <v>0.085</v>
      </c>
      <c r="E88" s="508">
        <v>0.096</v>
      </c>
      <c r="F88" s="516"/>
    </row>
    <row r="89" ht="15.15" spans="1:6">
      <c r="A89" s="503" t="s">
        <v>267</v>
      </c>
      <c r="B89" s="507" t="s">
        <v>2407</v>
      </c>
      <c r="C89" s="508">
        <v>0.1</v>
      </c>
      <c r="D89" s="508">
        <v>0.1</v>
      </c>
      <c r="E89" s="508">
        <v>0.097</v>
      </c>
      <c r="F89" s="516"/>
    </row>
    <row r="90" ht="15.15" spans="1:6">
      <c r="A90" s="503" t="s">
        <v>267</v>
      </c>
      <c r="B90" s="507" t="s">
        <v>2417</v>
      </c>
      <c r="C90" s="508">
        <v>0.098</v>
      </c>
      <c r="D90" s="508">
        <v>0.098</v>
      </c>
      <c r="E90" s="508">
        <v>0.088</v>
      </c>
      <c r="F90" s="516"/>
    </row>
    <row r="91" ht="15.15" spans="1:6">
      <c r="A91" s="503" t="s">
        <v>267</v>
      </c>
      <c r="B91" s="507" t="s">
        <v>2427</v>
      </c>
      <c r="C91" s="508">
        <v>0.099</v>
      </c>
      <c r="D91" s="508">
        <v>0.099</v>
      </c>
      <c r="E91" s="508">
        <v>0.091</v>
      </c>
      <c r="F91" s="516"/>
    </row>
    <row r="92" ht="15.15" spans="1:6">
      <c r="A92" s="503" t="s">
        <v>267</v>
      </c>
      <c r="B92" s="507" t="s">
        <v>2437</v>
      </c>
      <c r="C92" s="508">
        <v>0.096</v>
      </c>
      <c r="D92" s="508">
        <v>0.096</v>
      </c>
      <c r="E92" s="508">
        <v>0.073</v>
      </c>
      <c r="F92" s="516"/>
    </row>
    <row r="93" ht="15.15" spans="1:6">
      <c r="A93" s="503" t="s">
        <v>267</v>
      </c>
      <c r="B93" s="507" t="s">
        <v>2447</v>
      </c>
      <c r="C93" s="508">
        <v>0.096</v>
      </c>
      <c r="D93" s="508">
        <v>0.096</v>
      </c>
      <c r="E93" s="508">
        <v>0.099</v>
      </c>
      <c r="F93" s="516"/>
    </row>
    <row r="94" ht="15.15" spans="1:6">
      <c r="A94" s="503" t="s">
        <v>267</v>
      </c>
      <c r="B94" s="507" t="s">
        <v>2457</v>
      </c>
      <c r="C94" s="508">
        <v>0.076</v>
      </c>
      <c r="D94" s="508">
        <v>0.074</v>
      </c>
      <c r="E94" s="508">
        <v>0.097</v>
      </c>
      <c r="F94" s="516"/>
    </row>
    <row r="95" ht="15.15" spans="1:6">
      <c r="A95" s="503" t="s">
        <v>267</v>
      </c>
      <c r="B95" s="507" t="s">
        <v>2466</v>
      </c>
      <c r="C95" s="508">
        <v>0.099</v>
      </c>
      <c r="D95" s="508">
        <v>0.094</v>
      </c>
      <c r="E95" s="508">
        <v>0.096</v>
      </c>
      <c r="F95" s="516"/>
    </row>
    <row r="96" ht="15.15" spans="1:6">
      <c r="A96" s="503" t="s">
        <v>267</v>
      </c>
      <c r="B96" s="507" t="s">
        <v>2474</v>
      </c>
      <c r="C96" s="508">
        <v>0.099</v>
      </c>
      <c r="D96" s="508">
        <v>0.099</v>
      </c>
      <c r="E96" s="508">
        <v>0.099</v>
      </c>
      <c r="F96" s="516"/>
    </row>
    <row r="97" ht="15.15" spans="1:6">
      <c r="A97" s="503" t="s">
        <v>267</v>
      </c>
      <c r="B97" s="507" t="s">
        <v>2482</v>
      </c>
      <c r="C97" s="508">
        <v>0.098</v>
      </c>
      <c r="D97" s="508">
        <v>0.098</v>
      </c>
      <c r="E97" s="508">
        <v>0.097</v>
      </c>
      <c r="F97" s="516"/>
    </row>
    <row r="98" ht="15.15" spans="1:6">
      <c r="A98" s="503" t="s">
        <v>267</v>
      </c>
      <c r="B98" s="507" t="s">
        <v>2489</v>
      </c>
      <c r="C98" s="508">
        <v>0.1</v>
      </c>
      <c r="D98" s="508">
        <v>0.1</v>
      </c>
      <c r="E98" s="508">
        <v>0.097</v>
      </c>
      <c r="F98" s="516"/>
    </row>
    <row r="99" ht="15.15" spans="1:6">
      <c r="A99" s="503" t="s">
        <v>267</v>
      </c>
      <c r="B99" s="507" t="s">
        <v>2496</v>
      </c>
      <c r="C99" s="508">
        <v>0.1</v>
      </c>
      <c r="D99" s="508">
        <v>0.1</v>
      </c>
      <c r="E99" s="517"/>
      <c r="F99" s="516"/>
    </row>
    <row r="100" ht="15.15" spans="1:6">
      <c r="A100" s="503" t="s">
        <v>267</v>
      </c>
      <c r="B100" s="507" t="s">
        <v>2503</v>
      </c>
      <c r="C100" s="508">
        <v>0.09</v>
      </c>
      <c r="D100" s="508">
        <v>0.089</v>
      </c>
      <c r="E100" s="517"/>
      <c r="F100" s="516"/>
    </row>
    <row r="101" ht="15.15" spans="1:6">
      <c r="A101" s="503" t="s">
        <v>267</v>
      </c>
      <c r="B101" s="507" t="s">
        <v>2510</v>
      </c>
      <c r="C101" s="508">
        <v>0.098</v>
      </c>
      <c r="D101" s="508">
        <v>0.097</v>
      </c>
      <c r="E101" s="517"/>
      <c r="F101" s="516"/>
    </row>
    <row r="102" ht="24.75" spans="1:6">
      <c r="A102" s="503" t="s">
        <v>267</v>
      </c>
      <c r="B102" s="507" t="s">
        <v>2517</v>
      </c>
      <c r="C102" s="517"/>
      <c r="D102" s="517"/>
      <c r="E102" s="517"/>
      <c r="F102" s="509">
        <v>0.05</v>
      </c>
    </row>
    <row r="103" ht="24.75" spans="1:6">
      <c r="A103" s="503" t="s">
        <v>267</v>
      </c>
      <c r="B103" s="507" t="s">
        <v>2522</v>
      </c>
      <c r="C103" s="517"/>
      <c r="D103" s="517"/>
      <c r="E103" s="517"/>
      <c r="F103" s="509">
        <v>0.05</v>
      </c>
    </row>
    <row r="104" ht="15.15" spans="1:6">
      <c r="A104" s="503" t="s">
        <v>267</v>
      </c>
      <c r="B104" s="507" t="s">
        <v>2527</v>
      </c>
      <c r="C104" s="517"/>
      <c r="D104" s="517"/>
      <c r="E104" s="517"/>
      <c r="F104" s="509">
        <v>0.05</v>
      </c>
    </row>
    <row r="105" ht="24.75" spans="1:6">
      <c r="A105" s="503" t="s">
        <v>267</v>
      </c>
      <c r="B105" s="507" t="s">
        <v>2532</v>
      </c>
      <c r="C105" s="517"/>
      <c r="D105" s="517"/>
      <c r="E105" s="517"/>
      <c r="F105" s="509">
        <v>0.05</v>
      </c>
    </row>
    <row r="106" ht="24.75" spans="1:6">
      <c r="A106" s="503" t="s">
        <v>267</v>
      </c>
      <c r="B106" s="507" t="s">
        <v>2537</v>
      </c>
      <c r="C106" s="517"/>
      <c r="D106" s="517"/>
      <c r="E106" s="517"/>
      <c r="F106" s="509">
        <v>0.05</v>
      </c>
    </row>
    <row r="107" ht="24.75" spans="1:6">
      <c r="A107" s="503" t="s">
        <v>267</v>
      </c>
      <c r="B107" s="507" t="s">
        <v>2542</v>
      </c>
      <c r="C107" s="517"/>
      <c r="D107" s="517"/>
      <c r="E107" s="517"/>
      <c r="F107" s="509">
        <v>0.05</v>
      </c>
    </row>
    <row r="108" ht="24.75" spans="1:6">
      <c r="A108" s="503" t="s">
        <v>267</v>
      </c>
      <c r="B108" s="507" t="s">
        <v>2547</v>
      </c>
      <c r="C108" s="517"/>
      <c r="D108" s="517"/>
      <c r="E108" s="517"/>
      <c r="F108" s="509">
        <v>0.05</v>
      </c>
    </row>
    <row r="109" ht="24.75" spans="1:6">
      <c r="A109" s="511" t="s">
        <v>267</v>
      </c>
      <c r="B109" s="518" t="s">
        <v>2552</v>
      </c>
      <c r="C109" s="514"/>
      <c r="D109" s="514"/>
      <c r="E109" s="514"/>
      <c r="F109" s="519">
        <v>0.05</v>
      </c>
    </row>
    <row r="110" ht="15.15" spans="1:6">
      <c r="A110" s="503" t="s">
        <v>273</v>
      </c>
      <c r="B110" s="504" t="s">
        <v>2264</v>
      </c>
      <c r="C110" s="505">
        <v>0.129</v>
      </c>
      <c r="D110" s="505">
        <v>0.129</v>
      </c>
      <c r="E110" s="505">
        <v>0.126</v>
      </c>
      <c r="F110" s="506">
        <v>0.13</v>
      </c>
    </row>
    <row r="111" ht="15.15" spans="1:6">
      <c r="A111" s="503" t="s">
        <v>273</v>
      </c>
      <c r="B111" s="507" t="s">
        <v>2277</v>
      </c>
      <c r="C111" s="508">
        <v>0.11</v>
      </c>
      <c r="D111" s="508">
        <v>0.11</v>
      </c>
      <c r="E111" s="508">
        <v>0.099</v>
      </c>
      <c r="F111" s="509">
        <v>0.128</v>
      </c>
    </row>
    <row r="112" ht="15.15" spans="1:6">
      <c r="A112" s="503" t="s">
        <v>273</v>
      </c>
      <c r="B112" s="507" t="s">
        <v>2291</v>
      </c>
      <c r="C112" s="508">
        <v>0.125</v>
      </c>
      <c r="D112" s="508">
        <v>0.125</v>
      </c>
      <c r="E112" s="508">
        <v>0.12</v>
      </c>
      <c r="F112" s="509">
        <v>0.125</v>
      </c>
    </row>
    <row r="113" ht="15.15" spans="1:6">
      <c r="A113" s="503" t="s">
        <v>273</v>
      </c>
      <c r="B113" s="507" t="s">
        <v>2303</v>
      </c>
      <c r="C113" s="508">
        <v>0.13</v>
      </c>
      <c r="D113" s="508">
        <v>0.13</v>
      </c>
      <c r="E113" s="508">
        <v>0.13</v>
      </c>
      <c r="F113" s="509">
        <v>0.13</v>
      </c>
    </row>
    <row r="114" ht="15.15" spans="1:6">
      <c r="A114" s="503" t="s">
        <v>273</v>
      </c>
      <c r="B114" s="507" t="s">
        <v>2315</v>
      </c>
      <c r="C114" s="508">
        <v>0.123</v>
      </c>
      <c r="D114" s="508">
        <v>0.123</v>
      </c>
      <c r="E114" s="508">
        <v>0.12</v>
      </c>
      <c r="F114" s="509">
        <v>0.13</v>
      </c>
    </row>
    <row r="115" ht="15.15" spans="1:6">
      <c r="A115" s="503" t="s">
        <v>273</v>
      </c>
      <c r="B115" s="507" t="s">
        <v>2326</v>
      </c>
      <c r="C115" s="508">
        <v>0.125</v>
      </c>
      <c r="D115" s="508">
        <v>0.125</v>
      </c>
      <c r="E115" s="508">
        <v>0.117</v>
      </c>
      <c r="F115" s="509">
        <v>0.13</v>
      </c>
    </row>
    <row r="116" ht="15.15" spans="1:6">
      <c r="A116" s="503" t="s">
        <v>273</v>
      </c>
      <c r="B116" s="507" t="s">
        <v>2337</v>
      </c>
      <c r="C116" s="508">
        <v>0.117</v>
      </c>
      <c r="D116" s="508">
        <v>0.117</v>
      </c>
      <c r="E116" s="508">
        <v>0.088</v>
      </c>
      <c r="F116" s="509">
        <v>0.13</v>
      </c>
    </row>
    <row r="117" ht="15.15" spans="1:6">
      <c r="A117" s="503" t="s">
        <v>273</v>
      </c>
      <c r="B117" s="507" t="s">
        <v>2348</v>
      </c>
      <c r="C117" s="508">
        <v>0.13</v>
      </c>
      <c r="D117" s="508">
        <v>0.13</v>
      </c>
      <c r="E117" s="508">
        <v>0.129</v>
      </c>
      <c r="F117" s="509">
        <v>0.13</v>
      </c>
    </row>
    <row r="118" ht="15.15" spans="1:6">
      <c r="A118" s="503" t="s">
        <v>273</v>
      </c>
      <c r="B118" s="507" t="s">
        <v>2358</v>
      </c>
      <c r="C118" s="508">
        <v>0.123</v>
      </c>
      <c r="D118" s="508">
        <v>0.123</v>
      </c>
      <c r="E118" s="508">
        <v>0.116</v>
      </c>
      <c r="F118" s="509">
        <v>0.13</v>
      </c>
    </row>
    <row r="119" ht="15.15" spans="1:6">
      <c r="A119" s="503" t="s">
        <v>273</v>
      </c>
      <c r="B119" s="507" t="s">
        <v>2368</v>
      </c>
      <c r="C119" s="508">
        <v>0.127</v>
      </c>
      <c r="D119" s="508">
        <v>0.127</v>
      </c>
      <c r="E119" s="508">
        <v>0.124</v>
      </c>
      <c r="F119" s="509">
        <v>0.13</v>
      </c>
    </row>
    <row r="120" ht="15.15" spans="1:6">
      <c r="A120" s="503" t="s">
        <v>273</v>
      </c>
      <c r="B120" s="507" t="s">
        <v>2378</v>
      </c>
      <c r="C120" s="508">
        <v>0.125</v>
      </c>
      <c r="D120" s="508">
        <v>0.125</v>
      </c>
      <c r="E120" s="508">
        <v>0.122</v>
      </c>
      <c r="F120" s="509">
        <v>0.13</v>
      </c>
    </row>
    <row r="121" ht="15.15" spans="1:6">
      <c r="A121" s="503" t="s">
        <v>273</v>
      </c>
      <c r="B121" s="507" t="s">
        <v>2388</v>
      </c>
      <c r="C121" s="508">
        <v>0.13</v>
      </c>
      <c r="D121" s="508">
        <v>0.13</v>
      </c>
      <c r="E121" s="508">
        <v>0.13</v>
      </c>
      <c r="F121" s="509">
        <v>0.13</v>
      </c>
    </row>
    <row r="122" ht="15.15" spans="1:6">
      <c r="A122" s="503" t="s">
        <v>273</v>
      </c>
      <c r="B122" s="507" t="s">
        <v>2398</v>
      </c>
      <c r="C122" s="508">
        <v>0.13</v>
      </c>
      <c r="D122" s="508">
        <v>0.13</v>
      </c>
      <c r="E122" s="508">
        <v>0.125</v>
      </c>
      <c r="F122" s="509">
        <v>0.13</v>
      </c>
    </row>
    <row r="123" ht="15.15" spans="1:6">
      <c r="A123" s="503" t="s">
        <v>273</v>
      </c>
      <c r="B123" s="507" t="s">
        <v>2408</v>
      </c>
      <c r="C123" s="508">
        <v>0.129</v>
      </c>
      <c r="D123" s="508">
        <v>0.129</v>
      </c>
      <c r="E123" s="508">
        <v>0.123</v>
      </c>
      <c r="F123" s="509">
        <v>0.13</v>
      </c>
    </row>
    <row r="124" ht="15.15" spans="1:6">
      <c r="A124" s="503" t="s">
        <v>273</v>
      </c>
      <c r="B124" s="507" t="s">
        <v>2418</v>
      </c>
      <c r="C124" s="508">
        <v>0.102</v>
      </c>
      <c r="D124" s="508">
        <v>0.101</v>
      </c>
      <c r="E124" s="508">
        <v>0.08</v>
      </c>
      <c r="F124" s="516"/>
    </row>
    <row r="125" ht="15.15" spans="1:6">
      <c r="A125" s="503" t="s">
        <v>273</v>
      </c>
      <c r="B125" s="507" t="s">
        <v>2428</v>
      </c>
      <c r="C125" s="508">
        <v>0.13</v>
      </c>
      <c r="D125" s="508">
        <v>0.13</v>
      </c>
      <c r="E125" s="508">
        <v>0.129</v>
      </c>
      <c r="F125" s="516"/>
    </row>
    <row r="126" ht="15.15" spans="1:6">
      <c r="A126" s="503" t="s">
        <v>273</v>
      </c>
      <c r="B126" s="507" t="s">
        <v>2438</v>
      </c>
      <c r="C126" s="508">
        <v>0.13</v>
      </c>
      <c r="D126" s="508">
        <v>0.13</v>
      </c>
      <c r="E126" s="508">
        <v>0.126</v>
      </c>
      <c r="F126" s="516"/>
    </row>
    <row r="127" ht="15.15" spans="1:6">
      <c r="A127" s="503" t="s">
        <v>273</v>
      </c>
      <c r="B127" s="507" t="s">
        <v>2448</v>
      </c>
      <c r="C127" s="508">
        <v>0.125</v>
      </c>
      <c r="D127" s="508">
        <v>0.125</v>
      </c>
      <c r="E127" s="508">
        <v>0.121</v>
      </c>
      <c r="F127" s="516"/>
    </row>
    <row r="128" ht="15.15" spans="1:6">
      <c r="A128" s="503" t="s">
        <v>273</v>
      </c>
      <c r="B128" s="507" t="s">
        <v>2458</v>
      </c>
      <c r="C128" s="508">
        <v>0.12</v>
      </c>
      <c r="D128" s="508">
        <v>0.12</v>
      </c>
      <c r="E128" s="508">
        <v>0.105</v>
      </c>
      <c r="F128" s="516"/>
    </row>
    <row r="129" ht="15.15" spans="1:6">
      <c r="A129" s="503" t="s">
        <v>273</v>
      </c>
      <c r="B129" s="507" t="s">
        <v>2467</v>
      </c>
      <c r="C129" s="508">
        <v>0.13</v>
      </c>
      <c r="D129" s="508">
        <v>0.13</v>
      </c>
      <c r="E129" s="508">
        <v>0.126</v>
      </c>
      <c r="F129" s="516"/>
    </row>
    <row r="130" ht="15.15" spans="1:6">
      <c r="A130" s="503" t="s">
        <v>273</v>
      </c>
      <c r="B130" s="507" t="s">
        <v>2475</v>
      </c>
      <c r="C130" s="508">
        <v>0.125</v>
      </c>
      <c r="D130" s="508">
        <v>0.125</v>
      </c>
      <c r="E130" s="508">
        <v>0.122</v>
      </c>
      <c r="F130" s="516"/>
    </row>
    <row r="131" ht="15.15" spans="1:6">
      <c r="A131" s="503" t="s">
        <v>273</v>
      </c>
      <c r="B131" s="507" t="s">
        <v>2483</v>
      </c>
      <c r="C131" s="508">
        <v>0.127</v>
      </c>
      <c r="D131" s="508">
        <v>0.126</v>
      </c>
      <c r="E131" s="508">
        <v>0.123</v>
      </c>
      <c r="F131" s="516"/>
    </row>
    <row r="132" ht="15.15" spans="1:6">
      <c r="A132" s="503" t="s">
        <v>273</v>
      </c>
      <c r="B132" s="507" t="s">
        <v>2490</v>
      </c>
      <c r="C132" s="508">
        <v>0.091</v>
      </c>
      <c r="D132" s="508">
        <v>0.121</v>
      </c>
      <c r="E132" s="508">
        <v>0.099</v>
      </c>
      <c r="F132" s="516"/>
    </row>
    <row r="133" ht="15.15" spans="1:6">
      <c r="A133" s="503" t="s">
        <v>273</v>
      </c>
      <c r="B133" s="507" t="s">
        <v>2497</v>
      </c>
      <c r="C133" s="508">
        <v>0.13</v>
      </c>
      <c r="D133" s="508">
        <v>0.13</v>
      </c>
      <c r="E133" s="508">
        <v>0.129</v>
      </c>
      <c r="F133" s="516"/>
    </row>
    <row r="134" ht="15.15" spans="1:6">
      <c r="A134" s="503" t="s">
        <v>273</v>
      </c>
      <c r="B134" s="507" t="s">
        <v>2504</v>
      </c>
      <c r="C134" s="508">
        <v>0.068</v>
      </c>
      <c r="D134" s="508">
        <v>0.065</v>
      </c>
      <c r="E134" s="508">
        <v>0.065</v>
      </c>
      <c r="F134" s="509">
        <v>0.13</v>
      </c>
    </row>
    <row r="135" ht="15.15" spans="1:6">
      <c r="A135" s="503" t="s">
        <v>273</v>
      </c>
      <c r="B135" s="507" t="s">
        <v>2511</v>
      </c>
      <c r="C135" s="508">
        <v>0.123</v>
      </c>
      <c r="D135" s="508">
        <v>0.123</v>
      </c>
      <c r="E135" s="508">
        <v>0.11</v>
      </c>
      <c r="F135" s="516"/>
    </row>
    <row r="136" ht="15.15" spans="1:6">
      <c r="A136" s="503" t="s">
        <v>273</v>
      </c>
      <c r="B136" s="507" t="s">
        <v>2518</v>
      </c>
      <c r="C136" s="508">
        <v>0.13</v>
      </c>
      <c r="D136" s="508">
        <v>0.13</v>
      </c>
      <c r="E136" s="508">
        <v>0.125</v>
      </c>
      <c r="F136" s="516"/>
    </row>
    <row r="137" ht="15.15" spans="1:6">
      <c r="A137" s="503" t="s">
        <v>273</v>
      </c>
      <c r="B137" s="507" t="s">
        <v>2523</v>
      </c>
      <c r="C137" s="508">
        <v>0.121</v>
      </c>
      <c r="D137" s="508">
        <v>0.122</v>
      </c>
      <c r="E137" s="508">
        <v>0.115</v>
      </c>
      <c r="F137" s="516"/>
    </row>
    <row r="138" ht="15.15" spans="1:6">
      <c r="A138" s="503" t="s">
        <v>273</v>
      </c>
      <c r="B138" s="507" t="s">
        <v>2528</v>
      </c>
      <c r="C138" s="508">
        <v>0.105</v>
      </c>
      <c r="D138" s="508">
        <v>0.125</v>
      </c>
      <c r="E138" s="508">
        <v>0.112</v>
      </c>
      <c r="F138" s="516"/>
    </row>
    <row r="139" ht="15.15" spans="1:6">
      <c r="A139" s="503" t="s">
        <v>273</v>
      </c>
      <c r="B139" s="507" t="s">
        <v>2533</v>
      </c>
      <c r="C139" s="508">
        <v>0.127</v>
      </c>
      <c r="D139" s="508">
        <v>0.127</v>
      </c>
      <c r="E139" s="508">
        <v>0.122</v>
      </c>
      <c r="F139" s="509">
        <v>0.13</v>
      </c>
    </row>
    <row r="140" ht="15.15" spans="1:6">
      <c r="A140" s="503" t="s">
        <v>273</v>
      </c>
      <c r="B140" s="507" t="s">
        <v>2538</v>
      </c>
      <c r="C140" s="508">
        <v>0.125</v>
      </c>
      <c r="D140" s="508">
        <v>0.125</v>
      </c>
      <c r="E140" s="508">
        <v>0.119</v>
      </c>
      <c r="F140" s="509">
        <v>0.13</v>
      </c>
    </row>
    <row r="141" ht="15.15" spans="1:6">
      <c r="A141" s="503" t="s">
        <v>273</v>
      </c>
      <c r="B141" s="507" t="s">
        <v>2543</v>
      </c>
      <c r="C141" s="508">
        <v>0.125</v>
      </c>
      <c r="D141" s="508">
        <v>0.125</v>
      </c>
      <c r="E141" s="508">
        <v>0.117</v>
      </c>
      <c r="F141" s="516"/>
    </row>
    <row r="142" ht="15.15" spans="1:6">
      <c r="A142" s="503" t="s">
        <v>273</v>
      </c>
      <c r="B142" s="507" t="s">
        <v>2548</v>
      </c>
      <c r="C142" s="508">
        <v>0.125</v>
      </c>
      <c r="D142" s="508">
        <v>0.125</v>
      </c>
      <c r="E142" s="508">
        <v>0.115</v>
      </c>
      <c r="F142" s="516"/>
    </row>
    <row r="143" ht="15.15" spans="1:6">
      <c r="A143" s="503" t="s">
        <v>273</v>
      </c>
      <c r="B143" s="507" t="s">
        <v>2553</v>
      </c>
      <c r="C143" s="508">
        <v>0.121</v>
      </c>
      <c r="D143" s="508">
        <v>0.121</v>
      </c>
      <c r="E143" s="508">
        <v>0.108</v>
      </c>
      <c r="F143" s="516"/>
    </row>
    <row r="144" ht="15.15" spans="1:6">
      <c r="A144" s="503" t="s">
        <v>273</v>
      </c>
      <c r="B144" s="520" t="s">
        <v>2557</v>
      </c>
      <c r="C144" s="521">
        <v>0.126</v>
      </c>
      <c r="D144" s="521">
        <v>0.126</v>
      </c>
      <c r="E144" s="521">
        <v>0.121</v>
      </c>
      <c r="F144" s="516"/>
    </row>
    <row r="145" ht="15.15" spans="1:6">
      <c r="A145" s="511" t="s">
        <v>273</v>
      </c>
      <c r="B145" s="522" t="s">
        <v>2561</v>
      </c>
      <c r="C145" s="523"/>
      <c r="D145" s="523"/>
      <c r="E145" s="523"/>
      <c r="F145" s="524">
        <v>0.05</v>
      </c>
    </row>
    <row r="146" ht="24.75" spans="1:6">
      <c r="A146" s="525" t="s">
        <v>273</v>
      </c>
      <c r="B146" s="510" t="s">
        <v>2565</v>
      </c>
      <c r="C146" s="517"/>
      <c r="D146" s="517"/>
      <c r="E146" s="517"/>
      <c r="F146" s="526">
        <v>0.05</v>
      </c>
    </row>
    <row r="147" ht="24.75" spans="1:6">
      <c r="A147" s="503" t="s">
        <v>273</v>
      </c>
      <c r="B147" s="507" t="s">
        <v>2569</v>
      </c>
      <c r="C147" s="517"/>
      <c r="D147" s="517"/>
      <c r="E147" s="517"/>
      <c r="F147" s="509">
        <v>0.05</v>
      </c>
    </row>
    <row r="148" ht="24.75" spans="1:6">
      <c r="A148" s="503" t="s">
        <v>273</v>
      </c>
      <c r="B148" s="507" t="s">
        <v>2573</v>
      </c>
      <c r="C148" s="517"/>
      <c r="D148" s="517"/>
      <c r="E148" s="517"/>
      <c r="F148" s="509">
        <v>0.05</v>
      </c>
    </row>
    <row r="149" ht="24.75" spans="1:6">
      <c r="A149" s="503" t="s">
        <v>273</v>
      </c>
      <c r="B149" s="507" t="s">
        <v>2577</v>
      </c>
      <c r="C149" s="517"/>
      <c r="D149" s="517"/>
      <c r="E149" s="517"/>
      <c r="F149" s="509">
        <v>0.05</v>
      </c>
    </row>
    <row r="150" ht="24.75" spans="1:6">
      <c r="A150" s="503" t="s">
        <v>273</v>
      </c>
      <c r="B150" s="507" t="s">
        <v>2580</v>
      </c>
      <c r="C150" s="517"/>
      <c r="D150" s="517"/>
      <c r="E150" s="517"/>
      <c r="F150" s="509">
        <v>0.05</v>
      </c>
    </row>
    <row r="151" ht="24.75" spans="1:6">
      <c r="A151" s="503" t="s">
        <v>273</v>
      </c>
      <c r="B151" s="507" t="s">
        <v>2583</v>
      </c>
      <c r="C151" s="517"/>
      <c r="D151" s="517"/>
      <c r="E151" s="517"/>
      <c r="F151" s="509">
        <v>0.05</v>
      </c>
    </row>
    <row r="152" ht="24.75" spans="1:6">
      <c r="A152" s="503" t="s">
        <v>273</v>
      </c>
      <c r="B152" s="507" t="s">
        <v>2586</v>
      </c>
      <c r="C152" s="517"/>
      <c r="D152" s="517"/>
      <c r="E152" s="517"/>
      <c r="F152" s="509">
        <v>0.05</v>
      </c>
    </row>
    <row r="153" ht="15.15" spans="1:6">
      <c r="A153" s="503" t="s">
        <v>273</v>
      </c>
      <c r="B153" s="507" t="s">
        <v>404</v>
      </c>
      <c r="C153" s="517"/>
      <c r="D153" s="517"/>
      <c r="E153" s="517"/>
      <c r="F153" s="509">
        <v>0.05</v>
      </c>
    </row>
    <row r="154" ht="15.15" spans="1:6">
      <c r="A154" s="503" t="s">
        <v>273</v>
      </c>
      <c r="B154" s="507" t="s">
        <v>2591</v>
      </c>
      <c r="C154" s="517"/>
      <c r="D154" s="517"/>
      <c r="E154" s="517"/>
      <c r="F154" s="509">
        <v>0.05</v>
      </c>
    </row>
    <row r="155" ht="24.75" spans="1:6">
      <c r="A155" s="503" t="s">
        <v>273</v>
      </c>
      <c r="B155" s="507" t="s">
        <v>2594</v>
      </c>
      <c r="C155" s="517"/>
      <c r="D155" s="517"/>
      <c r="E155" s="517"/>
      <c r="F155" s="509">
        <v>0.05</v>
      </c>
    </row>
    <row r="156" ht="24.75" spans="1:6">
      <c r="A156" s="503" t="s">
        <v>273</v>
      </c>
      <c r="B156" s="507" t="s">
        <v>2596</v>
      </c>
      <c r="C156" s="517"/>
      <c r="D156" s="517"/>
      <c r="E156" s="517"/>
      <c r="F156" s="509">
        <v>0.05</v>
      </c>
    </row>
    <row r="157" ht="24.75" spans="1:6">
      <c r="A157" s="511" t="s">
        <v>273</v>
      </c>
      <c r="B157" s="518" t="s">
        <v>2598</v>
      </c>
      <c r="C157" s="514"/>
      <c r="D157" s="514"/>
      <c r="E157" s="514"/>
      <c r="F157" s="519">
        <v>0.05</v>
      </c>
    </row>
    <row r="158" ht="15.15" spans="1:6">
      <c r="A158" s="503" t="s">
        <v>278</v>
      </c>
      <c r="B158" s="504" t="s">
        <v>2265</v>
      </c>
      <c r="C158" s="505">
        <v>0.13</v>
      </c>
      <c r="D158" s="505">
        <v>0.13</v>
      </c>
      <c r="E158" s="505">
        <v>0.13</v>
      </c>
      <c r="F158" s="506">
        <v>0.13</v>
      </c>
    </row>
    <row r="159" ht="15.15" spans="1:6">
      <c r="A159" s="503" t="s">
        <v>278</v>
      </c>
      <c r="B159" s="507" t="s">
        <v>2278</v>
      </c>
      <c r="C159" s="508">
        <v>0.13</v>
      </c>
      <c r="D159" s="508">
        <v>0.13</v>
      </c>
      <c r="E159" s="508">
        <v>0.13</v>
      </c>
      <c r="F159" s="509">
        <v>0.13</v>
      </c>
    </row>
    <row r="160" ht="15.15" spans="1:6">
      <c r="A160" s="503" t="s">
        <v>278</v>
      </c>
      <c r="B160" s="507" t="s">
        <v>2292</v>
      </c>
      <c r="C160" s="508">
        <v>0.13</v>
      </c>
      <c r="D160" s="508">
        <v>0.13</v>
      </c>
      <c r="E160" s="508">
        <v>0.129</v>
      </c>
      <c r="F160" s="509">
        <v>0.13</v>
      </c>
    </row>
    <row r="161" ht="15.15" spans="1:6">
      <c r="A161" s="503" t="s">
        <v>278</v>
      </c>
      <c r="B161" s="507" t="s">
        <v>2304</v>
      </c>
      <c r="C161" s="508">
        <v>0.128</v>
      </c>
      <c r="D161" s="508">
        <v>0.128</v>
      </c>
      <c r="E161" s="508">
        <v>0.125</v>
      </c>
      <c r="F161" s="509">
        <v>0.13</v>
      </c>
    </row>
    <row r="162" ht="15.15" spans="1:6">
      <c r="A162" s="503" t="s">
        <v>278</v>
      </c>
      <c r="B162" s="507" t="s">
        <v>2316</v>
      </c>
      <c r="C162" s="508">
        <v>0.122</v>
      </c>
      <c r="D162" s="508">
        <v>0.122</v>
      </c>
      <c r="E162" s="508">
        <v>0.126</v>
      </c>
      <c r="F162" s="509">
        <v>0.122</v>
      </c>
    </row>
    <row r="163" ht="15.15" spans="1:6">
      <c r="A163" s="503" t="s">
        <v>278</v>
      </c>
      <c r="B163" s="507" t="s">
        <v>2327</v>
      </c>
      <c r="C163" s="508">
        <v>0.13</v>
      </c>
      <c r="D163" s="508">
        <v>0.13</v>
      </c>
      <c r="E163" s="508">
        <v>0.125</v>
      </c>
      <c r="F163" s="509">
        <v>0.13</v>
      </c>
    </row>
    <row r="164" ht="15.15" spans="1:6">
      <c r="A164" s="503" t="s">
        <v>278</v>
      </c>
      <c r="B164" s="507" t="s">
        <v>2338</v>
      </c>
      <c r="C164" s="508">
        <v>0.13</v>
      </c>
      <c r="D164" s="508">
        <v>0.13</v>
      </c>
      <c r="E164" s="508">
        <v>0.13</v>
      </c>
      <c r="F164" s="509">
        <v>0.13</v>
      </c>
    </row>
    <row r="165" ht="15.15" spans="1:6">
      <c r="A165" s="503" t="s">
        <v>278</v>
      </c>
      <c r="B165" s="507" t="s">
        <v>2349</v>
      </c>
      <c r="C165" s="508">
        <v>0.13</v>
      </c>
      <c r="D165" s="508">
        <v>0.13</v>
      </c>
      <c r="E165" s="508">
        <v>0.124</v>
      </c>
      <c r="F165" s="509">
        <v>0.13</v>
      </c>
    </row>
    <row r="166" ht="15.15" spans="1:6">
      <c r="A166" s="503" t="s">
        <v>278</v>
      </c>
      <c r="B166" s="507" t="s">
        <v>2359</v>
      </c>
      <c r="C166" s="508">
        <v>0.13</v>
      </c>
      <c r="D166" s="508">
        <v>0.13</v>
      </c>
      <c r="E166" s="508">
        <v>0.13</v>
      </c>
      <c r="F166" s="509">
        <v>0.13</v>
      </c>
    </row>
    <row r="167" ht="15.15" spans="1:6">
      <c r="A167" s="503" t="s">
        <v>278</v>
      </c>
      <c r="B167" s="507" t="s">
        <v>2369</v>
      </c>
      <c r="C167" s="508">
        <v>0.125</v>
      </c>
      <c r="D167" s="508">
        <v>0.125</v>
      </c>
      <c r="E167" s="508">
        <v>0.121</v>
      </c>
      <c r="F167" s="516"/>
    </row>
    <row r="168" ht="15.15" spans="1:6">
      <c r="A168" s="503" t="s">
        <v>278</v>
      </c>
      <c r="B168" s="507" t="s">
        <v>2379</v>
      </c>
      <c r="C168" s="508">
        <v>0.13</v>
      </c>
      <c r="D168" s="508">
        <v>0.13</v>
      </c>
      <c r="E168" s="508">
        <v>0.126</v>
      </c>
      <c r="F168" s="516"/>
    </row>
    <row r="169" ht="15.15" spans="1:6">
      <c r="A169" s="503" t="s">
        <v>278</v>
      </c>
      <c r="B169" s="507" t="s">
        <v>2389</v>
      </c>
      <c r="C169" s="508">
        <v>0.128</v>
      </c>
      <c r="D169" s="508">
        <v>0.129</v>
      </c>
      <c r="E169" s="508">
        <v>0.13</v>
      </c>
      <c r="F169" s="516"/>
    </row>
    <row r="170" ht="15.15" spans="1:6">
      <c r="A170" s="503" t="s">
        <v>278</v>
      </c>
      <c r="B170" s="507" t="s">
        <v>2399</v>
      </c>
      <c r="C170" s="508">
        <v>0.141</v>
      </c>
      <c r="D170" s="508">
        <v>0.13</v>
      </c>
      <c r="E170" s="508">
        <v>0.125</v>
      </c>
      <c r="F170" s="516"/>
    </row>
    <row r="171" ht="15.15" spans="1:6">
      <c r="A171" s="503" t="s">
        <v>278</v>
      </c>
      <c r="B171" s="507" t="s">
        <v>2409</v>
      </c>
      <c r="C171" s="508">
        <v>0.127</v>
      </c>
      <c r="D171" s="508">
        <v>0.126</v>
      </c>
      <c r="E171" s="508">
        <v>0.126</v>
      </c>
      <c r="F171" s="509">
        <v>0.118</v>
      </c>
    </row>
    <row r="172" ht="15.15" spans="1:6">
      <c r="A172" s="503" t="s">
        <v>278</v>
      </c>
      <c r="B172" s="507" t="s">
        <v>2419</v>
      </c>
      <c r="C172" s="508">
        <v>0.13</v>
      </c>
      <c r="D172" s="508">
        <v>0.13</v>
      </c>
      <c r="E172" s="508">
        <v>0.13</v>
      </c>
      <c r="F172" s="516"/>
    </row>
    <row r="173" ht="15.15" spans="1:6">
      <c r="A173" s="503" t="s">
        <v>278</v>
      </c>
      <c r="B173" s="507" t="s">
        <v>2429</v>
      </c>
      <c r="C173" s="508">
        <v>0.13</v>
      </c>
      <c r="D173" s="508">
        <v>0.13</v>
      </c>
      <c r="E173" s="508">
        <v>0.13</v>
      </c>
      <c r="F173" s="516"/>
    </row>
    <row r="174" ht="15.15" spans="1:6">
      <c r="A174" s="503" t="s">
        <v>278</v>
      </c>
      <c r="B174" s="507" t="s">
        <v>2439</v>
      </c>
      <c r="C174" s="508">
        <v>0.13</v>
      </c>
      <c r="D174" s="508">
        <v>0.13</v>
      </c>
      <c r="E174" s="508">
        <v>0.13</v>
      </c>
      <c r="F174" s="509">
        <v>0.13</v>
      </c>
    </row>
    <row r="175" ht="15.15" spans="1:6">
      <c r="A175" s="503" t="s">
        <v>278</v>
      </c>
      <c r="B175" s="507" t="s">
        <v>2449</v>
      </c>
      <c r="C175" s="508">
        <v>0.13</v>
      </c>
      <c r="D175" s="508">
        <v>0.13</v>
      </c>
      <c r="E175" s="508">
        <v>0.13</v>
      </c>
      <c r="F175" s="509">
        <v>0.13</v>
      </c>
    </row>
    <row r="176" ht="15.15" spans="1:6">
      <c r="A176" s="503" t="s">
        <v>278</v>
      </c>
      <c r="B176" s="507" t="s">
        <v>2459</v>
      </c>
      <c r="C176" s="508">
        <v>0.13</v>
      </c>
      <c r="D176" s="508">
        <v>0.13</v>
      </c>
      <c r="E176" s="508">
        <v>0.13</v>
      </c>
      <c r="F176" s="509">
        <v>0.13</v>
      </c>
    </row>
    <row r="177" ht="15.15" spans="1:6">
      <c r="A177" s="503" t="s">
        <v>278</v>
      </c>
      <c r="B177" s="507" t="s">
        <v>2468</v>
      </c>
      <c r="C177" s="508">
        <v>0.13</v>
      </c>
      <c r="D177" s="508">
        <v>0.13</v>
      </c>
      <c r="E177" s="508">
        <v>0.13</v>
      </c>
      <c r="F177" s="509">
        <v>0.13</v>
      </c>
    </row>
    <row r="178" ht="15.15" spans="1:6">
      <c r="A178" s="503" t="s">
        <v>278</v>
      </c>
      <c r="B178" s="507" t="s">
        <v>2476</v>
      </c>
      <c r="C178" s="508">
        <v>0.13</v>
      </c>
      <c r="D178" s="508">
        <v>0.13</v>
      </c>
      <c r="E178" s="508">
        <v>0.13</v>
      </c>
      <c r="F178" s="509">
        <v>0.127</v>
      </c>
    </row>
    <row r="179" ht="15.15" spans="1:6">
      <c r="A179" s="503" t="s">
        <v>278</v>
      </c>
      <c r="B179" s="507" t="s">
        <v>2484</v>
      </c>
      <c r="C179" s="508">
        <v>0.13</v>
      </c>
      <c r="D179" s="508">
        <v>0.13</v>
      </c>
      <c r="E179" s="508">
        <v>0.13</v>
      </c>
      <c r="F179" s="516"/>
    </row>
    <row r="180" ht="15.15" spans="1:6">
      <c r="A180" s="503" t="s">
        <v>278</v>
      </c>
      <c r="B180" s="507" t="s">
        <v>2491</v>
      </c>
      <c r="C180" s="508">
        <v>0.13</v>
      </c>
      <c r="D180" s="508">
        <v>0.13</v>
      </c>
      <c r="E180" s="508">
        <v>0.125</v>
      </c>
      <c r="F180" s="509">
        <v>0.13</v>
      </c>
    </row>
    <row r="181" ht="15.15" spans="1:6">
      <c r="A181" s="503" t="s">
        <v>278</v>
      </c>
      <c r="B181" s="507" t="s">
        <v>2498</v>
      </c>
      <c r="C181" s="508">
        <v>0.122</v>
      </c>
      <c r="D181" s="508">
        <v>0.123</v>
      </c>
      <c r="E181" s="508">
        <v>0.126</v>
      </c>
      <c r="F181" s="509">
        <v>0.121</v>
      </c>
    </row>
    <row r="182" ht="15.15" spans="1:6">
      <c r="A182" s="503" t="s">
        <v>278</v>
      </c>
      <c r="B182" s="507" t="s">
        <v>2505</v>
      </c>
      <c r="C182" s="508">
        <v>0.125</v>
      </c>
      <c r="D182" s="508">
        <v>0.125</v>
      </c>
      <c r="E182" s="508">
        <v>0.117</v>
      </c>
      <c r="F182" s="509">
        <v>0.13</v>
      </c>
    </row>
    <row r="183" ht="15.15" spans="1:6">
      <c r="A183" s="503" t="s">
        <v>278</v>
      </c>
      <c r="B183" s="507" t="s">
        <v>2512</v>
      </c>
      <c r="C183" s="508">
        <v>0.127</v>
      </c>
      <c r="D183" s="508">
        <v>0.127</v>
      </c>
      <c r="E183" s="508">
        <v>0.128</v>
      </c>
      <c r="F183" s="516"/>
    </row>
    <row r="184" ht="15.15" spans="1:6">
      <c r="A184" s="503" t="s">
        <v>278</v>
      </c>
      <c r="B184" s="507" t="s">
        <v>2519</v>
      </c>
      <c r="C184" s="508">
        <v>0.125</v>
      </c>
      <c r="D184" s="508">
        <v>0.125</v>
      </c>
      <c r="E184" s="508">
        <v>0.127</v>
      </c>
      <c r="F184" s="516"/>
    </row>
    <row r="185" ht="15.15" spans="1:6">
      <c r="A185" s="503" t="s">
        <v>278</v>
      </c>
      <c r="B185" s="507" t="s">
        <v>2524</v>
      </c>
      <c r="C185" s="508">
        <v>0.127</v>
      </c>
      <c r="D185" s="508">
        <v>0.127</v>
      </c>
      <c r="E185" s="508">
        <v>0.128</v>
      </c>
      <c r="F185" s="509">
        <v>0.13</v>
      </c>
    </row>
    <row r="186" ht="24.75" spans="1:6">
      <c r="A186" s="503" t="s">
        <v>278</v>
      </c>
      <c r="B186" s="507" t="s">
        <v>2529</v>
      </c>
      <c r="C186" s="517"/>
      <c r="D186" s="517"/>
      <c r="E186" s="517"/>
      <c r="F186" s="509">
        <v>0.05</v>
      </c>
    </row>
    <row r="187" ht="15.15" spans="1:6">
      <c r="A187" s="503" t="s">
        <v>278</v>
      </c>
      <c r="B187" s="507" t="s">
        <v>2534</v>
      </c>
      <c r="C187" s="517"/>
      <c r="D187" s="517"/>
      <c r="E187" s="517"/>
      <c r="F187" s="509">
        <v>0.05</v>
      </c>
    </row>
    <row r="188" ht="24.75" spans="1:6">
      <c r="A188" s="503" t="s">
        <v>278</v>
      </c>
      <c r="B188" s="507" t="s">
        <v>2539</v>
      </c>
      <c r="C188" s="517"/>
      <c r="D188" s="517"/>
      <c r="E188" s="517"/>
      <c r="F188" s="509">
        <v>0.05</v>
      </c>
    </row>
    <row r="189" ht="24.75" spans="1:6">
      <c r="A189" s="503" t="s">
        <v>278</v>
      </c>
      <c r="B189" s="507" t="s">
        <v>2544</v>
      </c>
      <c r="C189" s="517"/>
      <c r="D189" s="517"/>
      <c r="E189" s="517"/>
      <c r="F189" s="509">
        <v>0.05</v>
      </c>
    </row>
    <row r="190" ht="24.75" spans="1:6">
      <c r="A190" s="503" t="s">
        <v>278</v>
      </c>
      <c r="B190" s="507" t="s">
        <v>2549</v>
      </c>
      <c r="C190" s="517"/>
      <c r="D190" s="517"/>
      <c r="E190" s="517"/>
      <c r="F190" s="509">
        <v>0.05</v>
      </c>
    </row>
    <row r="191" ht="24.75" spans="1:6">
      <c r="A191" s="503" t="s">
        <v>278</v>
      </c>
      <c r="B191" s="507" t="s">
        <v>2554</v>
      </c>
      <c r="C191" s="517"/>
      <c r="D191" s="517"/>
      <c r="E191" s="517"/>
      <c r="F191" s="509">
        <v>0.05</v>
      </c>
    </row>
    <row r="192" ht="24.75" spans="1:6">
      <c r="A192" s="503" t="s">
        <v>278</v>
      </c>
      <c r="B192" s="507" t="s">
        <v>2558</v>
      </c>
      <c r="C192" s="517"/>
      <c r="D192" s="517"/>
      <c r="E192" s="517"/>
      <c r="F192" s="509">
        <v>0.05</v>
      </c>
    </row>
    <row r="193" ht="24.75" spans="1:6">
      <c r="A193" s="503" t="s">
        <v>278</v>
      </c>
      <c r="B193" s="507" t="s">
        <v>2562</v>
      </c>
      <c r="C193" s="517"/>
      <c r="D193" s="517"/>
      <c r="E193" s="517"/>
      <c r="F193" s="509">
        <v>0.05</v>
      </c>
    </row>
    <row r="194" ht="24.75" spans="1:6">
      <c r="A194" s="503" t="s">
        <v>278</v>
      </c>
      <c r="B194" s="507" t="s">
        <v>2566</v>
      </c>
      <c r="C194" s="517"/>
      <c r="D194" s="517"/>
      <c r="E194" s="517"/>
      <c r="F194" s="509">
        <v>0.05</v>
      </c>
    </row>
    <row r="195" ht="15.15" spans="1:6">
      <c r="A195" s="503" t="s">
        <v>278</v>
      </c>
      <c r="B195" s="507" t="s">
        <v>2570</v>
      </c>
      <c r="C195" s="517"/>
      <c r="D195" s="517"/>
      <c r="E195" s="517"/>
      <c r="F195" s="509">
        <v>0.05</v>
      </c>
    </row>
    <row r="196" ht="24.75" spans="1:6">
      <c r="A196" s="503" t="s">
        <v>278</v>
      </c>
      <c r="B196" s="507" t="s">
        <v>2574</v>
      </c>
      <c r="C196" s="517"/>
      <c r="D196" s="517"/>
      <c r="E196" s="517"/>
      <c r="F196" s="509">
        <v>0.05</v>
      </c>
    </row>
    <row r="197" ht="24.75" spans="1:6">
      <c r="A197" s="503" t="s">
        <v>278</v>
      </c>
      <c r="B197" s="507" t="s">
        <v>2578</v>
      </c>
      <c r="C197" s="517"/>
      <c r="D197" s="517"/>
      <c r="E197" s="517"/>
      <c r="F197" s="509">
        <v>0.05</v>
      </c>
    </row>
    <row r="198" ht="24.75" spans="1:6">
      <c r="A198" s="503" t="s">
        <v>278</v>
      </c>
      <c r="B198" s="507" t="s">
        <v>2581</v>
      </c>
      <c r="C198" s="517"/>
      <c r="D198" s="517"/>
      <c r="E198" s="517"/>
      <c r="F198" s="509">
        <v>0.05</v>
      </c>
    </row>
    <row r="199" ht="24.75" spans="1:6">
      <c r="A199" s="503" t="s">
        <v>278</v>
      </c>
      <c r="B199" s="507" t="s">
        <v>2584</v>
      </c>
      <c r="C199" s="517"/>
      <c r="D199" s="517"/>
      <c r="E199" s="517"/>
      <c r="F199" s="509">
        <v>0.05</v>
      </c>
    </row>
    <row r="200" ht="24.75" spans="1:6">
      <c r="A200" s="503" t="s">
        <v>278</v>
      </c>
      <c r="B200" s="507" t="s">
        <v>2587</v>
      </c>
      <c r="C200" s="517"/>
      <c r="D200" s="517"/>
      <c r="E200" s="517"/>
      <c r="F200" s="509">
        <v>0.05</v>
      </c>
    </row>
    <row r="201" ht="24.75" spans="1:6">
      <c r="A201" s="503" t="s">
        <v>278</v>
      </c>
      <c r="B201" s="507" t="s">
        <v>2589</v>
      </c>
      <c r="C201" s="517"/>
      <c r="D201" s="517"/>
      <c r="E201" s="517"/>
      <c r="F201" s="509">
        <v>0.05</v>
      </c>
    </row>
    <row r="202" ht="24.75" spans="1:6">
      <c r="A202" s="503" t="s">
        <v>278</v>
      </c>
      <c r="B202" s="507" t="s">
        <v>2592</v>
      </c>
      <c r="C202" s="517"/>
      <c r="D202" s="517"/>
      <c r="E202" s="517"/>
      <c r="F202" s="509">
        <v>0.05</v>
      </c>
    </row>
    <row r="203" ht="24.75" spans="1:6">
      <c r="A203" s="503" t="s">
        <v>278</v>
      </c>
      <c r="B203" s="507" t="s">
        <v>2595</v>
      </c>
      <c r="C203" s="517"/>
      <c r="D203" s="517"/>
      <c r="E203" s="517"/>
      <c r="F203" s="509">
        <v>0.05</v>
      </c>
    </row>
    <row r="204" ht="15.15" spans="1:6">
      <c r="A204" s="503" t="s">
        <v>278</v>
      </c>
      <c r="B204" s="507" t="s">
        <v>2597</v>
      </c>
      <c r="C204" s="517"/>
      <c r="D204" s="517"/>
      <c r="E204" s="517"/>
      <c r="F204" s="509">
        <v>0.05</v>
      </c>
    </row>
    <row r="205" ht="15.15" spans="1:6">
      <c r="A205" s="511" t="s">
        <v>278</v>
      </c>
      <c r="B205" s="518" t="s">
        <v>2599</v>
      </c>
      <c r="C205" s="514"/>
      <c r="D205" s="514"/>
      <c r="E205" s="514"/>
      <c r="F205" s="519">
        <v>0.05</v>
      </c>
    </row>
    <row r="206" ht="15.15" spans="1:6">
      <c r="A206" s="503" t="s">
        <v>283</v>
      </c>
      <c r="B206" s="504" t="s">
        <v>2266</v>
      </c>
      <c r="C206" s="505">
        <v>0.15</v>
      </c>
      <c r="D206" s="505">
        <v>0.15</v>
      </c>
      <c r="E206" s="505">
        <v>0.15</v>
      </c>
      <c r="F206" s="506">
        <v>0.15</v>
      </c>
    </row>
    <row r="207" ht="15.15" spans="1:6">
      <c r="A207" s="503" t="s">
        <v>283</v>
      </c>
      <c r="B207" s="507" t="s">
        <v>2279</v>
      </c>
      <c r="C207" s="508">
        <v>0.15</v>
      </c>
      <c r="D207" s="508">
        <v>0.15</v>
      </c>
      <c r="E207" s="508">
        <v>0.15</v>
      </c>
      <c r="F207" s="509">
        <v>0.144</v>
      </c>
    </row>
    <row r="208" ht="15.15" spans="1:6">
      <c r="A208" s="503" t="s">
        <v>283</v>
      </c>
      <c r="B208" s="507" t="s">
        <v>2293</v>
      </c>
      <c r="C208" s="508">
        <v>0.15</v>
      </c>
      <c r="D208" s="508">
        <v>0.15</v>
      </c>
      <c r="E208" s="508">
        <v>0.15</v>
      </c>
      <c r="F208" s="509">
        <v>0.15</v>
      </c>
    </row>
    <row r="209" ht="15.15" spans="1:6">
      <c r="A209" s="503" t="s">
        <v>283</v>
      </c>
      <c r="B209" s="507" t="s">
        <v>2305</v>
      </c>
      <c r="C209" s="508">
        <v>0.137</v>
      </c>
      <c r="D209" s="508">
        <v>0.137</v>
      </c>
      <c r="E209" s="508">
        <v>0.14</v>
      </c>
      <c r="F209" s="509">
        <v>0.117</v>
      </c>
    </row>
    <row r="210" ht="15.15" spans="1:6">
      <c r="A210" s="503" t="s">
        <v>283</v>
      </c>
      <c r="B210" s="507" t="s">
        <v>2317</v>
      </c>
      <c r="C210" s="508">
        <v>0.15</v>
      </c>
      <c r="D210" s="508">
        <v>0.15</v>
      </c>
      <c r="E210" s="508">
        <v>0.15</v>
      </c>
      <c r="F210" s="509">
        <v>0.138</v>
      </c>
    </row>
    <row r="211" ht="15.15" spans="1:6">
      <c r="A211" s="503" t="s">
        <v>283</v>
      </c>
      <c r="B211" s="507" t="s">
        <v>2328</v>
      </c>
      <c r="C211" s="508">
        <v>0.137</v>
      </c>
      <c r="D211" s="508">
        <v>0.135</v>
      </c>
      <c r="E211" s="508">
        <v>0.136</v>
      </c>
      <c r="F211" s="509">
        <v>0.1</v>
      </c>
    </row>
    <row r="212" ht="15.15" spans="1:6">
      <c r="A212" s="503" t="s">
        <v>283</v>
      </c>
      <c r="B212" s="507" t="s">
        <v>2339</v>
      </c>
      <c r="C212" s="508">
        <v>0.15</v>
      </c>
      <c r="D212" s="508">
        <v>0.15</v>
      </c>
      <c r="E212" s="508">
        <v>0.148</v>
      </c>
      <c r="F212" s="509">
        <v>0.136</v>
      </c>
    </row>
    <row r="213" ht="15.15" spans="1:6">
      <c r="A213" s="503" t="s">
        <v>283</v>
      </c>
      <c r="B213" s="507" t="s">
        <v>2350</v>
      </c>
      <c r="C213" s="508">
        <v>0.15</v>
      </c>
      <c r="D213" s="508">
        <v>0.15</v>
      </c>
      <c r="E213" s="508">
        <v>0.15</v>
      </c>
      <c r="F213" s="509">
        <v>0.138</v>
      </c>
    </row>
    <row r="214" ht="15.15" spans="1:6">
      <c r="A214" s="503" t="s">
        <v>283</v>
      </c>
      <c r="B214" s="507" t="s">
        <v>2360</v>
      </c>
      <c r="C214" s="508">
        <v>0.091</v>
      </c>
      <c r="D214" s="508">
        <v>0.09</v>
      </c>
      <c r="E214" s="508">
        <v>0.092</v>
      </c>
      <c r="F214" s="516"/>
    </row>
    <row r="215" ht="15.15" spans="1:6">
      <c r="A215" s="503" t="s">
        <v>283</v>
      </c>
      <c r="B215" s="507" t="s">
        <v>2370</v>
      </c>
      <c r="C215" s="508">
        <v>0.15</v>
      </c>
      <c r="D215" s="508">
        <v>0.15</v>
      </c>
      <c r="E215" s="508">
        <v>0.15</v>
      </c>
      <c r="F215" s="509">
        <v>0.15</v>
      </c>
    </row>
    <row r="216" ht="15.15" spans="1:6">
      <c r="A216" s="503" t="s">
        <v>283</v>
      </c>
      <c r="B216" s="507" t="s">
        <v>2380</v>
      </c>
      <c r="C216" s="508">
        <v>0.147</v>
      </c>
      <c r="D216" s="508">
        <v>0.147</v>
      </c>
      <c r="E216" s="508">
        <v>0.15</v>
      </c>
      <c r="F216" s="509">
        <v>0.14</v>
      </c>
    </row>
    <row r="217" ht="15.15" spans="1:6">
      <c r="A217" s="503" t="s">
        <v>283</v>
      </c>
      <c r="B217" s="507" t="s">
        <v>2390</v>
      </c>
      <c r="C217" s="508">
        <v>0.15</v>
      </c>
      <c r="D217" s="508">
        <v>0.15</v>
      </c>
      <c r="E217" s="508">
        <v>0.15</v>
      </c>
      <c r="F217" s="509">
        <v>0.15</v>
      </c>
    </row>
    <row r="218" ht="15.15" spans="1:6">
      <c r="A218" s="503" t="s">
        <v>283</v>
      </c>
      <c r="B218" s="507" t="s">
        <v>2400</v>
      </c>
      <c r="C218" s="508">
        <v>0.15</v>
      </c>
      <c r="D218" s="508">
        <v>0.15</v>
      </c>
      <c r="E218" s="508">
        <v>0.15</v>
      </c>
      <c r="F218" s="509">
        <v>0.15</v>
      </c>
    </row>
    <row r="219" ht="15.15" spans="1:6">
      <c r="A219" s="503" t="s">
        <v>283</v>
      </c>
      <c r="B219" s="507" t="s">
        <v>2410</v>
      </c>
      <c r="C219" s="508">
        <v>0.15</v>
      </c>
      <c r="D219" s="508">
        <v>0.15</v>
      </c>
      <c r="E219" s="508">
        <v>0.15</v>
      </c>
      <c r="F219" s="509">
        <v>0.148</v>
      </c>
    </row>
    <row r="220" ht="15.15" spans="1:6">
      <c r="A220" s="503" t="s">
        <v>283</v>
      </c>
      <c r="B220" s="507" t="s">
        <v>2420</v>
      </c>
      <c r="C220" s="508">
        <v>0.15</v>
      </c>
      <c r="D220" s="508">
        <v>0.15</v>
      </c>
      <c r="E220" s="508">
        <v>0.15</v>
      </c>
      <c r="F220" s="509">
        <v>0.15</v>
      </c>
    </row>
    <row r="221" ht="15.15" spans="1:6">
      <c r="A221" s="503" t="s">
        <v>283</v>
      </c>
      <c r="B221" s="507" t="s">
        <v>2430</v>
      </c>
      <c r="C221" s="508"/>
      <c r="D221" s="517"/>
      <c r="E221" s="517"/>
      <c r="F221" s="509">
        <v>0.148</v>
      </c>
    </row>
    <row r="222" ht="15.15" spans="1:6">
      <c r="A222" s="503" t="s">
        <v>283</v>
      </c>
      <c r="B222" s="507" t="s">
        <v>2440</v>
      </c>
      <c r="C222" s="508"/>
      <c r="D222" s="517"/>
      <c r="E222" s="517"/>
      <c r="F222" s="509">
        <v>0.1</v>
      </c>
    </row>
    <row r="223" ht="15.15" spans="1:6">
      <c r="A223" s="503" t="s">
        <v>283</v>
      </c>
      <c r="B223" s="507" t="s">
        <v>2450</v>
      </c>
      <c r="C223" s="508"/>
      <c r="D223" s="517"/>
      <c r="E223" s="517"/>
      <c r="F223" s="509">
        <v>0.15</v>
      </c>
    </row>
    <row r="224" ht="15.15" spans="1:6">
      <c r="A224" s="503" t="s">
        <v>283</v>
      </c>
      <c r="B224" s="507" t="s">
        <v>2460</v>
      </c>
      <c r="C224" s="508"/>
      <c r="D224" s="517"/>
      <c r="E224" s="517"/>
      <c r="F224" s="509">
        <v>0.15</v>
      </c>
    </row>
    <row r="225" ht="15.15" spans="1:6">
      <c r="A225" s="503" t="s">
        <v>283</v>
      </c>
      <c r="B225" s="507" t="s">
        <v>2469</v>
      </c>
      <c r="C225" s="508">
        <v>0.15</v>
      </c>
      <c r="D225" s="508">
        <v>0.15</v>
      </c>
      <c r="E225" s="508">
        <v>0.15</v>
      </c>
      <c r="F225" s="509">
        <v>0.15</v>
      </c>
    </row>
    <row r="226" ht="15.15" spans="1:6">
      <c r="A226" s="503" t="s">
        <v>283</v>
      </c>
      <c r="B226" s="507" t="s">
        <v>2477</v>
      </c>
      <c r="C226" s="508">
        <v>0.15</v>
      </c>
      <c r="D226" s="508">
        <v>0.15</v>
      </c>
      <c r="E226" s="508">
        <v>0.15</v>
      </c>
      <c r="F226" s="509">
        <v>0.148</v>
      </c>
    </row>
    <row r="227" ht="15.15" spans="1:6">
      <c r="A227" s="503" t="s">
        <v>283</v>
      </c>
      <c r="B227" s="507" t="s">
        <v>2485</v>
      </c>
      <c r="C227" s="508">
        <v>0.15</v>
      </c>
      <c r="D227" s="508">
        <v>0.15</v>
      </c>
      <c r="E227" s="508">
        <v>0.15</v>
      </c>
      <c r="F227" s="509">
        <v>0.15</v>
      </c>
    </row>
    <row r="228" ht="15.15" spans="1:6">
      <c r="A228" s="503" t="s">
        <v>283</v>
      </c>
      <c r="B228" s="507" t="s">
        <v>2492</v>
      </c>
      <c r="C228" s="508">
        <v>0.15</v>
      </c>
      <c r="D228" s="508">
        <v>0.15</v>
      </c>
      <c r="E228" s="508">
        <v>0.15</v>
      </c>
      <c r="F228" s="509">
        <v>0.15</v>
      </c>
    </row>
    <row r="229" ht="15.15" spans="1:6">
      <c r="A229" s="503" t="s">
        <v>283</v>
      </c>
      <c r="B229" s="507" t="s">
        <v>2499</v>
      </c>
      <c r="C229" s="508">
        <v>0.15</v>
      </c>
      <c r="D229" s="508">
        <v>0.15</v>
      </c>
      <c r="E229" s="508">
        <v>0.15</v>
      </c>
      <c r="F229" s="516"/>
    </row>
    <row r="230" ht="15.15" spans="1:6">
      <c r="A230" s="503" t="s">
        <v>283</v>
      </c>
      <c r="B230" s="507" t="s">
        <v>2506</v>
      </c>
      <c r="C230" s="508">
        <v>0.145</v>
      </c>
      <c r="D230" s="508">
        <v>0.145</v>
      </c>
      <c r="E230" s="508">
        <v>0.144</v>
      </c>
      <c r="F230" s="516"/>
    </row>
    <row r="231" ht="15.15" spans="1:6">
      <c r="A231" s="503" t="s">
        <v>283</v>
      </c>
      <c r="B231" s="507" t="s">
        <v>2513</v>
      </c>
      <c r="C231" s="508">
        <v>0.128</v>
      </c>
      <c r="D231" s="508">
        <v>0.125</v>
      </c>
      <c r="E231" s="508">
        <v>0.132</v>
      </c>
      <c r="F231" s="516"/>
    </row>
    <row r="232" ht="15.15" spans="1:6">
      <c r="A232" s="503" t="s">
        <v>283</v>
      </c>
      <c r="B232" s="507" t="s">
        <v>2520</v>
      </c>
      <c r="C232" s="508">
        <v>0.145</v>
      </c>
      <c r="D232" s="508">
        <v>0.144</v>
      </c>
      <c r="E232" s="508">
        <v>0.146</v>
      </c>
      <c r="F232" s="509">
        <v>0.138</v>
      </c>
    </row>
    <row r="233" ht="15.15" spans="1:6">
      <c r="A233" s="503" t="s">
        <v>283</v>
      </c>
      <c r="B233" s="507" t="s">
        <v>2525</v>
      </c>
      <c r="C233" s="508">
        <v>0.145</v>
      </c>
      <c r="D233" s="508">
        <v>0.143</v>
      </c>
      <c r="E233" s="508">
        <v>0.142</v>
      </c>
      <c r="F233" s="516"/>
    </row>
    <row r="234" ht="15.15" spans="1:6">
      <c r="A234" s="503" t="s">
        <v>283</v>
      </c>
      <c r="B234" s="507" t="s">
        <v>2602</v>
      </c>
      <c r="C234" s="508">
        <v>0.14</v>
      </c>
      <c r="D234" s="508">
        <v>0.14</v>
      </c>
      <c r="E234" s="508">
        <v>0.144</v>
      </c>
      <c r="F234" s="516"/>
    </row>
    <row r="235" ht="15.15" spans="1:6">
      <c r="A235" s="503" t="s">
        <v>283</v>
      </c>
      <c r="B235" s="507" t="s">
        <v>2535</v>
      </c>
      <c r="C235" s="508">
        <v>0.141</v>
      </c>
      <c r="D235" s="508">
        <v>0.142</v>
      </c>
      <c r="E235" s="508">
        <v>0.145</v>
      </c>
      <c r="F235" s="509">
        <v>0.15</v>
      </c>
    </row>
    <row r="236" ht="15.15" spans="1:6">
      <c r="A236" s="503" t="s">
        <v>283</v>
      </c>
      <c r="B236" s="507" t="s">
        <v>2540</v>
      </c>
      <c r="C236" s="517"/>
      <c r="D236" s="517"/>
      <c r="E236" s="517"/>
      <c r="F236" s="509">
        <v>0.143</v>
      </c>
    </row>
    <row r="237" ht="24.75" spans="1:6">
      <c r="A237" s="503" t="s">
        <v>283</v>
      </c>
      <c r="B237" s="507" t="s">
        <v>2545</v>
      </c>
      <c r="C237" s="517"/>
      <c r="D237" s="517"/>
      <c r="E237" s="517"/>
      <c r="F237" s="509">
        <v>0.05</v>
      </c>
    </row>
    <row r="238" ht="24.75" spans="1:6">
      <c r="A238" s="503" t="s">
        <v>283</v>
      </c>
      <c r="B238" s="507" t="s">
        <v>2550</v>
      </c>
      <c r="C238" s="517"/>
      <c r="D238" s="517"/>
      <c r="E238" s="517"/>
      <c r="F238" s="509">
        <v>0.05</v>
      </c>
    </row>
    <row r="239" ht="24.75" spans="1:6">
      <c r="A239" s="503" t="s">
        <v>283</v>
      </c>
      <c r="B239" s="507" t="s">
        <v>2555</v>
      </c>
      <c r="C239" s="517"/>
      <c r="D239" s="517"/>
      <c r="E239" s="517"/>
      <c r="F239" s="509">
        <v>0.05</v>
      </c>
    </row>
    <row r="240" ht="24.75" spans="1:6">
      <c r="A240" s="503" t="s">
        <v>283</v>
      </c>
      <c r="B240" s="507" t="s">
        <v>2559</v>
      </c>
      <c r="C240" s="517"/>
      <c r="D240" s="517"/>
      <c r="E240" s="517"/>
      <c r="F240" s="509">
        <v>0.05</v>
      </c>
    </row>
    <row r="241" ht="24.75" spans="1:6">
      <c r="A241" s="503" t="s">
        <v>283</v>
      </c>
      <c r="B241" s="507" t="s">
        <v>2563</v>
      </c>
      <c r="C241" s="517"/>
      <c r="D241" s="517"/>
      <c r="E241" s="517"/>
      <c r="F241" s="509">
        <v>0.05</v>
      </c>
    </row>
    <row r="242" ht="24.75" spans="1:6">
      <c r="A242" s="503" t="s">
        <v>283</v>
      </c>
      <c r="B242" s="507" t="s">
        <v>2567</v>
      </c>
      <c r="C242" s="517"/>
      <c r="D242" s="517"/>
      <c r="E242" s="517"/>
      <c r="F242" s="509">
        <v>0.05</v>
      </c>
    </row>
    <row r="243" ht="24.75" spans="1:6">
      <c r="A243" s="503" t="s">
        <v>283</v>
      </c>
      <c r="B243" s="507" t="s">
        <v>2571</v>
      </c>
      <c r="C243" s="517"/>
      <c r="D243" s="517"/>
      <c r="E243" s="517"/>
      <c r="F243" s="509">
        <v>0.05</v>
      </c>
    </row>
    <row r="244" ht="24.75" spans="1:6">
      <c r="A244" s="511" t="s">
        <v>283</v>
      </c>
      <c r="B244" s="518" t="s">
        <v>2575</v>
      </c>
      <c r="C244" s="514"/>
      <c r="D244" s="514"/>
      <c r="E244" s="514"/>
      <c r="F244" s="519">
        <v>0.05</v>
      </c>
    </row>
    <row r="245" ht="15.15" spans="1:6">
      <c r="A245" s="503" t="s">
        <v>286</v>
      </c>
      <c r="B245" s="504" t="s">
        <v>2267</v>
      </c>
      <c r="C245" s="505">
        <v>0.15</v>
      </c>
      <c r="D245" s="505">
        <v>0.15</v>
      </c>
      <c r="E245" s="505">
        <v>0.15</v>
      </c>
      <c r="F245" s="506">
        <v>0.143</v>
      </c>
    </row>
    <row r="246" ht="15.15" spans="1:6">
      <c r="A246" s="503" t="s">
        <v>286</v>
      </c>
      <c r="B246" s="507" t="s">
        <v>2280</v>
      </c>
      <c r="C246" s="508">
        <v>0.15</v>
      </c>
      <c r="D246" s="508">
        <v>0.15</v>
      </c>
      <c r="E246" s="508">
        <v>0.15</v>
      </c>
      <c r="F246" s="509">
        <v>0.114</v>
      </c>
    </row>
    <row r="247" ht="15.15" spans="1:6">
      <c r="A247" s="503" t="s">
        <v>286</v>
      </c>
      <c r="B247" s="507" t="s">
        <v>2294</v>
      </c>
      <c r="C247" s="508">
        <v>0.15</v>
      </c>
      <c r="D247" s="508">
        <v>0.15</v>
      </c>
      <c r="E247" s="508">
        <v>0.15</v>
      </c>
      <c r="F247" s="509">
        <v>0.15</v>
      </c>
    </row>
    <row r="248" ht="15.15" spans="1:6">
      <c r="A248" s="503" t="s">
        <v>286</v>
      </c>
      <c r="B248" s="507" t="s">
        <v>2306</v>
      </c>
      <c r="C248" s="508">
        <v>0.15</v>
      </c>
      <c r="D248" s="508">
        <v>0.15</v>
      </c>
      <c r="E248" s="508">
        <v>0.15</v>
      </c>
      <c r="F248" s="509">
        <v>0.14</v>
      </c>
    </row>
    <row r="249" ht="15.15" spans="1:6">
      <c r="A249" s="503" t="s">
        <v>286</v>
      </c>
      <c r="B249" s="507" t="s">
        <v>2318</v>
      </c>
      <c r="C249" s="508">
        <v>0.15</v>
      </c>
      <c r="D249" s="508">
        <v>0.149</v>
      </c>
      <c r="E249" s="508">
        <v>0.15</v>
      </c>
      <c r="F249" s="509">
        <v>0.1</v>
      </c>
    </row>
    <row r="250" ht="15.15" spans="1:6">
      <c r="A250" s="503" t="s">
        <v>286</v>
      </c>
      <c r="B250" s="507" t="s">
        <v>2329</v>
      </c>
      <c r="C250" s="508">
        <v>0.15</v>
      </c>
      <c r="D250" s="508">
        <v>0.15</v>
      </c>
      <c r="E250" s="508">
        <v>0.15</v>
      </c>
      <c r="F250" s="509">
        <v>0.144</v>
      </c>
    </row>
    <row r="251" ht="15.15" spans="1:6">
      <c r="A251" s="503" t="s">
        <v>286</v>
      </c>
      <c r="B251" s="507" t="s">
        <v>2340</v>
      </c>
      <c r="C251" s="508">
        <v>0.15</v>
      </c>
      <c r="D251" s="508">
        <v>0.15</v>
      </c>
      <c r="E251" s="508">
        <v>0.15</v>
      </c>
      <c r="F251" s="509">
        <v>0.143</v>
      </c>
    </row>
    <row r="252" ht="15.15" spans="1:6">
      <c r="A252" s="503" t="s">
        <v>286</v>
      </c>
      <c r="B252" s="507" t="s">
        <v>2351</v>
      </c>
      <c r="C252" s="508">
        <v>0.15</v>
      </c>
      <c r="D252" s="508">
        <v>0.15</v>
      </c>
      <c r="E252" s="508">
        <v>0.15</v>
      </c>
      <c r="F252" s="509">
        <v>0.1</v>
      </c>
    </row>
    <row r="253" ht="15.15" spans="1:6">
      <c r="A253" s="503" t="s">
        <v>286</v>
      </c>
      <c r="B253" s="507" t="s">
        <v>2361</v>
      </c>
      <c r="C253" s="508">
        <v>0.15</v>
      </c>
      <c r="D253" s="508">
        <v>0.15</v>
      </c>
      <c r="E253" s="508">
        <v>0.15</v>
      </c>
      <c r="F253" s="509">
        <v>0.1</v>
      </c>
    </row>
    <row r="254" ht="15.15" spans="1:6">
      <c r="A254" s="503" t="s">
        <v>286</v>
      </c>
      <c r="B254" s="507" t="s">
        <v>2371</v>
      </c>
      <c r="C254" s="517"/>
      <c r="D254" s="517"/>
      <c r="E254" s="517"/>
      <c r="F254" s="509">
        <v>0.15</v>
      </c>
    </row>
    <row r="255" ht="15.15" spans="1:6">
      <c r="A255" s="503" t="s">
        <v>286</v>
      </c>
      <c r="B255" s="507" t="s">
        <v>2381</v>
      </c>
      <c r="C255" s="517"/>
      <c r="D255" s="517"/>
      <c r="E255" s="517"/>
      <c r="F255" s="509">
        <v>0.143</v>
      </c>
    </row>
    <row r="256" ht="15.15" spans="1:6">
      <c r="A256" s="503" t="s">
        <v>286</v>
      </c>
      <c r="B256" s="507" t="s">
        <v>2391</v>
      </c>
      <c r="C256" s="508">
        <v>0.146</v>
      </c>
      <c r="D256" s="508">
        <v>0.147</v>
      </c>
      <c r="E256" s="508">
        <v>0.15</v>
      </c>
      <c r="F256" s="509">
        <v>0.132</v>
      </c>
    </row>
    <row r="257" ht="15.15" spans="1:6">
      <c r="A257" s="503" t="s">
        <v>286</v>
      </c>
      <c r="B257" s="507" t="s">
        <v>2401</v>
      </c>
      <c r="C257" s="508">
        <v>0.15</v>
      </c>
      <c r="D257" s="508">
        <v>0.15</v>
      </c>
      <c r="E257" s="508">
        <v>0.15</v>
      </c>
      <c r="F257" s="509">
        <v>0.139</v>
      </c>
    </row>
    <row r="258" ht="15.15" spans="1:6">
      <c r="A258" s="503" t="s">
        <v>286</v>
      </c>
      <c r="B258" s="507" t="s">
        <v>2411</v>
      </c>
      <c r="C258" s="508">
        <v>0.15</v>
      </c>
      <c r="D258" s="508">
        <v>0.15</v>
      </c>
      <c r="E258" s="508">
        <v>0.15</v>
      </c>
      <c r="F258" s="509">
        <v>0.13</v>
      </c>
    </row>
    <row r="259" ht="15.15" spans="1:6">
      <c r="A259" s="503" t="s">
        <v>286</v>
      </c>
      <c r="B259" s="507" t="s">
        <v>2421</v>
      </c>
      <c r="C259" s="508">
        <v>0.148</v>
      </c>
      <c r="D259" s="508">
        <v>0.149</v>
      </c>
      <c r="E259" s="508">
        <v>0.15</v>
      </c>
      <c r="F259" s="509">
        <v>0.137</v>
      </c>
    </row>
    <row r="260" ht="15.15" spans="1:6">
      <c r="A260" s="503" t="s">
        <v>286</v>
      </c>
      <c r="B260" s="507" t="s">
        <v>2431</v>
      </c>
      <c r="C260" s="508">
        <v>0.15</v>
      </c>
      <c r="D260" s="508">
        <v>0.15</v>
      </c>
      <c r="E260" s="508">
        <v>0.15</v>
      </c>
      <c r="F260" s="509">
        <v>0.142</v>
      </c>
    </row>
    <row r="261" ht="15.15" spans="1:6">
      <c r="A261" s="503" t="s">
        <v>286</v>
      </c>
      <c r="B261" s="507" t="s">
        <v>2441</v>
      </c>
      <c r="C261" s="508">
        <v>0.15</v>
      </c>
      <c r="D261" s="508">
        <v>0.15</v>
      </c>
      <c r="E261" s="508">
        <v>0.149</v>
      </c>
      <c r="F261" s="509">
        <v>0.148</v>
      </c>
    </row>
    <row r="262" ht="15.15" spans="1:6">
      <c r="A262" s="503" t="s">
        <v>286</v>
      </c>
      <c r="B262" s="507" t="s">
        <v>2451</v>
      </c>
      <c r="C262" s="508">
        <v>0.15</v>
      </c>
      <c r="D262" s="508">
        <v>0.15</v>
      </c>
      <c r="E262" s="508">
        <v>0.15</v>
      </c>
      <c r="F262" s="516"/>
    </row>
    <row r="263" ht="15.15" spans="1:6">
      <c r="A263" s="503" t="s">
        <v>286</v>
      </c>
      <c r="B263" s="507" t="s">
        <v>2461</v>
      </c>
      <c r="C263" s="508">
        <v>0.149</v>
      </c>
      <c r="D263" s="508">
        <v>0.149</v>
      </c>
      <c r="E263" s="508">
        <v>0.15</v>
      </c>
      <c r="F263" s="509">
        <v>0.13</v>
      </c>
    </row>
    <row r="264" ht="15.15" spans="1:6">
      <c r="A264" s="503" t="s">
        <v>286</v>
      </c>
      <c r="B264" s="507" t="s">
        <v>2470</v>
      </c>
      <c r="C264" s="508">
        <v>0.148</v>
      </c>
      <c r="D264" s="508">
        <v>0.147</v>
      </c>
      <c r="E264" s="508">
        <v>0.15</v>
      </c>
      <c r="F264" s="509">
        <v>0.078</v>
      </c>
    </row>
    <row r="265" ht="15.15" spans="1:6">
      <c r="A265" s="503" t="s">
        <v>286</v>
      </c>
      <c r="B265" s="507" t="s">
        <v>2478</v>
      </c>
      <c r="C265" s="508">
        <v>0.15</v>
      </c>
      <c r="D265" s="508">
        <v>0.15</v>
      </c>
      <c r="E265" s="508">
        <v>0.15</v>
      </c>
      <c r="F265" s="509">
        <v>0.074</v>
      </c>
    </row>
    <row r="266" ht="15.15" spans="1:6">
      <c r="A266" s="503" t="s">
        <v>286</v>
      </c>
      <c r="B266" s="507" t="s">
        <v>2486</v>
      </c>
      <c r="C266" s="508">
        <v>0.147</v>
      </c>
      <c r="D266" s="508">
        <v>0.147</v>
      </c>
      <c r="E266" s="508">
        <v>0.15</v>
      </c>
      <c r="F266" s="509">
        <v>0.143</v>
      </c>
    </row>
    <row r="267" ht="15.15" spans="1:6">
      <c r="A267" s="503" t="s">
        <v>286</v>
      </c>
      <c r="B267" s="507" t="s">
        <v>2493</v>
      </c>
      <c r="C267" s="508">
        <v>0.142</v>
      </c>
      <c r="D267" s="508">
        <v>0.143</v>
      </c>
      <c r="E267" s="508">
        <v>0.15</v>
      </c>
      <c r="F267" s="516"/>
    </row>
    <row r="268" ht="15.15" spans="1:6">
      <c r="A268" s="503" t="s">
        <v>286</v>
      </c>
      <c r="B268" s="507" t="s">
        <v>2500</v>
      </c>
      <c r="C268" s="508">
        <v>0.15</v>
      </c>
      <c r="D268" s="508">
        <v>0.15</v>
      </c>
      <c r="E268" s="508">
        <v>0.15</v>
      </c>
      <c r="F268" s="509">
        <v>0.13</v>
      </c>
    </row>
    <row r="269" ht="15.15" spans="1:6">
      <c r="A269" s="503" t="s">
        <v>286</v>
      </c>
      <c r="B269" s="507" t="s">
        <v>2507</v>
      </c>
      <c r="C269" s="508">
        <v>0.15</v>
      </c>
      <c r="D269" s="508">
        <v>0.15</v>
      </c>
      <c r="E269" s="508">
        <v>0.15</v>
      </c>
      <c r="F269" s="509">
        <v>0.143</v>
      </c>
    </row>
    <row r="270" ht="15.15" spans="1:6">
      <c r="A270" s="503" t="s">
        <v>286</v>
      </c>
      <c r="B270" s="507" t="s">
        <v>2514</v>
      </c>
      <c r="C270" s="508">
        <v>0.145</v>
      </c>
      <c r="D270" s="508">
        <v>0.145</v>
      </c>
      <c r="E270" s="508">
        <v>0.15</v>
      </c>
      <c r="F270" s="509">
        <v>0.147</v>
      </c>
    </row>
    <row r="271" ht="15.15" spans="1:6">
      <c r="A271" s="503" t="s">
        <v>286</v>
      </c>
      <c r="B271" s="507" t="s">
        <v>2521</v>
      </c>
      <c r="C271" s="508">
        <v>0.15</v>
      </c>
      <c r="D271" s="508">
        <v>0.15</v>
      </c>
      <c r="E271" s="508">
        <v>0.15</v>
      </c>
      <c r="F271" s="509">
        <v>0.138</v>
      </c>
    </row>
    <row r="272" ht="15.15" spans="1:6">
      <c r="A272" s="503" t="s">
        <v>286</v>
      </c>
      <c r="B272" s="507" t="s">
        <v>2526</v>
      </c>
      <c r="C272" s="517"/>
      <c r="D272" s="517"/>
      <c r="E272" s="517"/>
      <c r="F272" s="509">
        <v>0.14</v>
      </c>
    </row>
    <row r="273" ht="15.15" spans="1:6">
      <c r="A273" s="503" t="s">
        <v>286</v>
      </c>
      <c r="B273" s="507" t="s">
        <v>2531</v>
      </c>
      <c r="C273" s="508">
        <v>0.142</v>
      </c>
      <c r="D273" s="508">
        <v>0.143</v>
      </c>
      <c r="E273" s="508">
        <v>0.15</v>
      </c>
      <c r="F273" s="509">
        <v>0.1</v>
      </c>
    </row>
    <row r="274" ht="15.15" spans="1:6">
      <c r="A274" s="503" t="s">
        <v>286</v>
      </c>
      <c r="B274" s="507" t="s">
        <v>2536</v>
      </c>
      <c r="C274" s="508">
        <v>0.148</v>
      </c>
      <c r="D274" s="508">
        <v>0.148</v>
      </c>
      <c r="E274" s="508">
        <v>0.15</v>
      </c>
      <c r="F274" s="509">
        <v>0.067</v>
      </c>
    </row>
    <row r="275" ht="15.15" spans="1:6">
      <c r="A275" s="503" t="s">
        <v>286</v>
      </c>
      <c r="B275" s="507" t="s">
        <v>2541</v>
      </c>
      <c r="C275" s="508">
        <v>0.15</v>
      </c>
      <c r="D275" s="508">
        <v>0.15</v>
      </c>
      <c r="E275" s="508">
        <v>0.15</v>
      </c>
      <c r="F275" s="509">
        <v>0.15</v>
      </c>
    </row>
    <row r="276" ht="15.15" spans="1:6">
      <c r="A276" s="503" t="s">
        <v>286</v>
      </c>
      <c r="B276" s="507" t="s">
        <v>2546</v>
      </c>
      <c r="C276" s="508">
        <v>0.145</v>
      </c>
      <c r="D276" s="508">
        <v>0.143</v>
      </c>
      <c r="E276" s="508">
        <v>0.15</v>
      </c>
      <c r="F276" s="509">
        <v>0.059</v>
      </c>
    </row>
    <row r="277" ht="15.15" spans="1:6">
      <c r="A277" s="503" t="s">
        <v>286</v>
      </c>
      <c r="B277" s="507" t="s">
        <v>2551</v>
      </c>
      <c r="C277" s="508">
        <v>0.15</v>
      </c>
      <c r="D277" s="508">
        <v>0.15</v>
      </c>
      <c r="E277" s="508">
        <v>0.15</v>
      </c>
      <c r="F277" s="509">
        <v>0.121</v>
      </c>
    </row>
    <row r="278" ht="15.15" spans="1:6">
      <c r="A278" s="503" t="s">
        <v>286</v>
      </c>
      <c r="B278" s="507" t="s">
        <v>2556</v>
      </c>
      <c r="C278" s="508">
        <v>0.15</v>
      </c>
      <c r="D278" s="508">
        <v>0.15</v>
      </c>
      <c r="E278" s="508">
        <v>0.15</v>
      </c>
      <c r="F278" s="509">
        <v>0.138</v>
      </c>
    </row>
    <row r="279" ht="24.75" spans="1:6">
      <c r="A279" s="503" t="s">
        <v>286</v>
      </c>
      <c r="B279" s="507" t="s">
        <v>2560</v>
      </c>
      <c r="C279" s="517"/>
      <c r="D279" s="517"/>
      <c r="E279" s="517"/>
      <c r="F279" s="509">
        <v>0.05</v>
      </c>
    </row>
    <row r="280" ht="24.75" spans="1:6">
      <c r="A280" s="503" t="s">
        <v>286</v>
      </c>
      <c r="B280" s="507" t="s">
        <v>2564</v>
      </c>
      <c r="C280" s="517"/>
      <c r="D280" s="517"/>
      <c r="E280" s="517"/>
      <c r="F280" s="509">
        <v>0.05</v>
      </c>
    </row>
    <row r="281" ht="24.75" spans="1:6">
      <c r="A281" s="503" t="s">
        <v>286</v>
      </c>
      <c r="B281" s="507" t="s">
        <v>2568</v>
      </c>
      <c r="C281" s="517"/>
      <c r="D281" s="517"/>
      <c r="E281" s="517"/>
      <c r="F281" s="509">
        <v>0.05</v>
      </c>
    </row>
    <row r="282" ht="24.75" spans="1:6">
      <c r="A282" s="503" t="s">
        <v>286</v>
      </c>
      <c r="B282" s="507" t="s">
        <v>2572</v>
      </c>
      <c r="C282" s="517"/>
      <c r="D282" s="517"/>
      <c r="E282" s="517"/>
      <c r="F282" s="509">
        <v>0.05</v>
      </c>
    </row>
    <row r="283" ht="24.75" spans="1:6">
      <c r="A283" s="503" t="s">
        <v>286</v>
      </c>
      <c r="B283" s="507" t="s">
        <v>2576</v>
      </c>
      <c r="C283" s="517"/>
      <c r="D283" s="517"/>
      <c r="E283" s="517"/>
      <c r="F283" s="509">
        <v>0.05</v>
      </c>
    </row>
    <row r="284" ht="24.75" spans="1:6">
      <c r="A284" s="503" t="s">
        <v>286</v>
      </c>
      <c r="B284" s="507" t="s">
        <v>2579</v>
      </c>
      <c r="C284" s="517"/>
      <c r="D284" s="517"/>
      <c r="E284" s="517"/>
      <c r="F284" s="509">
        <v>0.05</v>
      </c>
    </row>
    <row r="285" ht="24.75" spans="1:6">
      <c r="A285" s="503" t="s">
        <v>286</v>
      </c>
      <c r="B285" s="507" t="s">
        <v>2582</v>
      </c>
      <c r="C285" s="517"/>
      <c r="D285" s="517"/>
      <c r="E285" s="517"/>
      <c r="F285" s="509">
        <v>0.05</v>
      </c>
    </row>
    <row r="286" ht="24.75" spans="1:6">
      <c r="A286" s="503" t="s">
        <v>286</v>
      </c>
      <c r="B286" s="507" t="s">
        <v>2585</v>
      </c>
      <c r="C286" s="517"/>
      <c r="D286" s="517"/>
      <c r="E286" s="517"/>
      <c r="F286" s="509">
        <v>0.05</v>
      </c>
    </row>
    <row r="287" ht="24.75" spans="1:6">
      <c r="A287" s="503" t="s">
        <v>286</v>
      </c>
      <c r="B287" s="507" t="s">
        <v>2588</v>
      </c>
      <c r="C287" s="517"/>
      <c r="D287" s="517"/>
      <c r="E287" s="517"/>
      <c r="F287" s="509">
        <v>0.05</v>
      </c>
    </row>
    <row r="288" ht="24.75" spans="1:6">
      <c r="A288" s="503" t="s">
        <v>286</v>
      </c>
      <c r="B288" s="507" t="s">
        <v>2590</v>
      </c>
      <c r="C288" s="517"/>
      <c r="D288" s="517"/>
      <c r="E288" s="517"/>
      <c r="F288" s="509">
        <v>0.05</v>
      </c>
    </row>
    <row r="289" ht="24.75" spans="1:6">
      <c r="A289" s="511" t="s">
        <v>286</v>
      </c>
      <c r="B289" s="518" t="s">
        <v>2593</v>
      </c>
      <c r="C289" s="514"/>
      <c r="D289" s="514"/>
      <c r="E289" s="514"/>
      <c r="F289" s="519">
        <v>0.05</v>
      </c>
    </row>
    <row r="290" ht="15.15" spans="1:6">
      <c r="A290" s="503" t="s">
        <v>289</v>
      </c>
      <c r="B290" s="504" t="s">
        <v>2268</v>
      </c>
      <c r="C290" s="505">
        <v>0.15</v>
      </c>
      <c r="D290" s="505">
        <v>0.15</v>
      </c>
      <c r="E290" s="505">
        <v>0.15</v>
      </c>
      <c r="F290" s="527"/>
    </row>
    <row r="291" ht="15.15" spans="1:6">
      <c r="A291" s="503" t="s">
        <v>289</v>
      </c>
      <c r="B291" s="507" t="s">
        <v>2281</v>
      </c>
      <c r="C291" s="508">
        <v>0.15</v>
      </c>
      <c r="D291" s="508">
        <v>0.15</v>
      </c>
      <c r="E291" s="508">
        <v>0.15</v>
      </c>
      <c r="F291" s="516"/>
    </row>
    <row r="292" ht="15.15" spans="1:6">
      <c r="A292" s="503" t="s">
        <v>289</v>
      </c>
      <c r="B292" s="507" t="s">
        <v>2295</v>
      </c>
      <c r="C292" s="508">
        <v>0.15</v>
      </c>
      <c r="D292" s="508">
        <v>0.15</v>
      </c>
      <c r="E292" s="508">
        <v>0.15</v>
      </c>
      <c r="F292" s="509">
        <v>0.147</v>
      </c>
    </row>
    <row r="293" ht="15.15" spans="1:6">
      <c r="A293" s="503" t="s">
        <v>289</v>
      </c>
      <c r="B293" s="507" t="s">
        <v>2600</v>
      </c>
      <c r="C293" s="517"/>
      <c r="D293" s="517"/>
      <c r="E293" s="517"/>
      <c r="F293" s="509">
        <v>0.1</v>
      </c>
    </row>
    <row r="294" ht="15.15" spans="1:6">
      <c r="A294" s="503" t="s">
        <v>289</v>
      </c>
      <c r="B294" s="507" t="s">
        <v>2307</v>
      </c>
      <c r="C294" s="508">
        <v>0.15</v>
      </c>
      <c r="D294" s="508">
        <v>0.15</v>
      </c>
      <c r="E294" s="508">
        <v>0.15</v>
      </c>
      <c r="F294" s="509">
        <v>0.15</v>
      </c>
    </row>
    <row r="295" ht="15.15" spans="1:6">
      <c r="A295" s="503" t="s">
        <v>289</v>
      </c>
      <c r="B295" s="507" t="s">
        <v>2319</v>
      </c>
      <c r="C295" s="508">
        <v>0.15</v>
      </c>
      <c r="D295" s="508">
        <v>0.15</v>
      </c>
      <c r="E295" s="508">
        <v>0.15</v>
      </c>
      <c r="F295" s="509">
        <v>0.15</v>
      </c>
    </row>
    <row r="296" ht="15.15" spans="1:6">
      <c r="A296" s="503" t="s">
        <v>289</v>
      </c>
      <c r="B296" s="507" t="s">
        <v>2330</v>
      </c>
      <c r="C296" s="508">
        <v>0.15</v>
      </c>
      <c r="D296" s="508">
        <v>0.15</v>
      </c>
      <c r="E296" s="508">
        <v>0.15</v>
      </c>
      <c r="F296" s="509">
        <v>0.15</v>
      </c>
    </row>
    <row r="297" ht="15.15" spans="1:6">
      <c r="A297" s="503" t="s">
        <v>289</v>
      </c>
      <c r="B297" s="507" t="s">
        <v>2341</v>
      </c>
      <c r="C297" s="508">
        <v>0.148</v>
      </c>
      <c r="D297" s="508">
        <v>0.149</v>
      </c>
      <c r="E297" s="508">
        <v>0.15</v>
      </c>
      <c r="F297" s="509">
        <v>0.137</v>
      </c>
    </row>
    <row r="298" ht="15.15" spans="1:6">
      <c r="A298" s="503" t="s">
        <v>289</v>
      </c>
      <c r="B298" s="507" t="s">
        <v>2352</v>
      </c>
      <c r="C298" s="508">
        <v>0.134</v>
      </c>
      <c r="D298" s="508">
        <v>0.134</v>
      </c>
      <c r="E298" s="508">
        <v>0.145</v>
      </c>
      <c r="F298" s="509">
        <v>0.148</v>
      </c>
    </row>
    <row r="299" ht="15.15" spans="1:6">
      <c r="A299" s="503" t="s">
        <v>289</v>
      </c>
      <c r="B299" s="507" t="s">
        <v>2362</v>
      </c>
      <c r="C299" s="508">
        <v>0.15</v>
      </c>
      <c r="D299" s="508">
        <v>0.15</v>
      </c>
      <c r="E299" s="508">
        <v>0.15</v>
      </c>
      <c r="F299" s="516"/>
    </row>
    <row r="300" ht="15.15" spans="1:6">
      <c r="A300" s="503" t="s">
        <v>289</v>
      </c>
      <c r="B300" s="507" t="s">
        <v>2372</v>
      </c>
      <c r="C300" s="508">
        <v>0.15</v>
      </c>
      <c r="D300" s="508">
        <v>0.15</v>
      </c>
      <c r="E300" s="508">
        <v>0.15</v>
      </c>
      <c r="F300" s="509">
        <v>0.15</v>
      </c>
    </row>
    <row r="301" ht="15.15" spans="1:6">
      <c r="A301" s="503" t="s">
        <v>289</v>
      </c>
      <c r="B301" s="507" t="s">
        <v>2382</v>
      </c>
      <c r="C301" s="508">
        <v>0.15</v>
      </c>
      <c r="D301" s="508">
        <v>0.15</v>
      </c>
      <c r="E301" s="508">
        <v>0.15</v>
      </c>
      <c r="F301" s="516"/>
    </row>
    <row r="302" ht="15.15" spans="1:6">
      <c r="A302" s="503" t="s">
        <v>289</v>
      </c>
      <c r="B302" s="507" t="s">
        <v>2392</v>
      </c>
      <c r="C302" s="508">
        <v>0.15</v>
      </c>
      <c r="D302" s="508">
        <v>0.15</v>
      </c>
      <c r="E302" s="508">
        <v>0.15</v>
      </c>
      <c r="F302" s="509">
        <v>0.15</v>
      </c>
    </row>
    <row r="303" ht="15.15" spans="1:6">
      <c r="A303" s="503" t="s">
        <v>289</v>
      </c>
      <c r="B303" s="507" t="s">
        <v>2402</v>
      </c>
      <c r="C303" s="508">
        <v>0.15</v>
      </c>
      <c r="D303" s="508">
        <v>0.15</v>
      </c>
      <c r="E303" s="508">
        <v>0.15</v>
      </c>
      <c r="F303" s="509">
        <v>0.15</v>
      </c>
    </row>
    <row r="304" ht="15.15" spans="1:6">
      <c r="A304" s="503" t="s">
        <v>289</v>
      </c>
      <c r="B304" s="507" t="s">
        <v>2412</v>
      </c>
      <c r="C304" s="508">
        <v>0.15</v>
      </c>
      <c r="D304" s="508">
        <v>0.15</v>
      </c>
      <c r="E304" s="508">
        <v>0.15</v>
      </c>
      <c r="F304" s="516"/>
    </row>
    <row r="305" ht="15.15" spans="1:6">
      <c r="A305" s="503" t="s">
        <v>289</v>
      </c>
      <c r="B305" s="507" t="s">
        <v>2422</v>
      </c>
      <c r="C305" s="508">
        <v>0.15</v>
      </c>
      <c r="D305" s="508">
        <v>0.15</v>
      </c>
      <c r="E305" s="508">
        <v>0.15</v>
      </c>
      <c r="F305" s="509">
        <v>0.14</v>
      </c>
    </row>
    <row r="306" ht="15.15" spans="1:6">
      <c r="A306" s="503" t="s">
        <v>289</v>
      </c>
      <c r="B306" s="507" t="s">
        <v>2432</v>
      </c>
      <c r="C306" s="508">
        <v>0.15</v>
      </c>
      <c r="D306" s="508">
        <v>0.15</v>
      </c>
      <c r="E306" s="508">
        <v>0.15</v>
      </c>
      <c r="F306" s="516"/>
    </row>
    <row r="307" ht="15.15" spans="1:6">
      <c r="A307" s="503" t="s">
        <v>289</v>
      </c>
      <c r="B307" s="507" t="s">
        <v>2442</v>
      </c>
      <c r="C307" s="508">
        <v>0.15</v>
      </c>
      <c r="D307" s="508">
        <v>0.15</v>
      </c>
      <c r="E307" s="508">
        <v>0.15</v>
      </c>
      <c r="F307" s="509">
        <v>0.143</v>
      </c>
    </row>
    <row r="308" ht="15.15" spans="1:6">
      <c r="A308" s="503" t="s">
        <v>289</v>
      </c>
      <c r="B308" s="507" t="s">
        <v>2452</v>
      </c>
      <c r="C308" s="508">
        <v>0.15</v>
      </c>
      <c r="D308" s="508">
        <v>0.15</v>
      </c>
      <c r="E308" s="508">
        <v>0.15</v>
      </c>
      <c r="F308" s="509">
        <v>0.15</v>
      </c>
    </row>
    <row r="309" ht="15.15" spans="1:6">
      <c r="A309" s="503" t="s">
        <v>289</v>
      </c>
      <c r="B309" s="507" t="s">
        <v>2462</v>
      </c>
      <c r="C309" s="508">
        <v>0.15</v>
      </c>
      <c r="D309" s="508">
        <v>0.15</v>
      </c>
      <c r="E309" s="508">
        <v>0.15</v>
      </c>
      <c r="F309" s="516"/>
    </row>
    <row r="310" ht="15.15" spans="1:6">
      <c r="A310" s="503" t="s">
        <v>289</v>
      </c>
      <c r="B310" s="507" t="s">
        <v>2471</v>
      </c>
      <c r="C310" s="508">
        <v>0.15</v>
      </c>
      <c r="D310" s="508">
        <v>0.15</v>
      </c>
      <c r="E310" s="508">
        <v>0.15</v>
      </c>
      <c r="F310" s="509">
        <v>0.137</v>
      </c>
    </row>
    <row r="311" ht="15.15" spans="1:6">
      <c r="A311" s="503" t="s">
        <v>289</v>
      </c>
      <c r="B311" s="507" t="s">
        <v>2479</v>
      </c>
      <c r="C311" s="508">
        <v>0.15</v>
      </c>
      <c r="D311" s="508">
        <v>0.15</v>
      </c>
      <c r="E311" s="508">
        <v>0.15</v>
      </c>
      <c r="F311" s="509">
        <v>0.15</v>
      </c>
    </row>
    <row r="312" ht="15.15" spans="1:6">
      <c r="A312" s="503" t="s">
        <v>289</v>
      </c>
      <c r="B312" s="507" t="s">
        <v>2487</v>
      </c>
      <c r="C312" s="508">
        <v>0.15</v>
      </c>
      <c r="D312" s="508">
        <v>0.15</v>
      </c>
      <c r="E312" s="508">
        <v>0.15</v>
      </c>
      <c r="F312" s="509">
        <v>0.1</v>
      </c>
    </row>
    <row r="313" ht="15.15" spans="1:6">
      <c r="A313" s="503" t="s">
        <v>289</v>
      </c>
      <c r="B313" s="507" t="s">
        <v>2494</v>
      </c>
      <c r="C313" s="508">
        <v>0.15</v>
      </c>
      <c r="D313" s="508">
        <v>0.15</v>
      </c>
      <c r="E313" s="508">
        <v>0.15</v>
      </c>
      <c r="F313" s="509">
        <v>0.15</v>
      </c>
    </row>
    <row r="314" ht="24.75" spans="1:6">
      <c r="A314" s="503" t="s">
        <v>289</v>
      </c>
      <c r="B314" s="507" t="s">
        <v>2501</v>
      </c>
      <c r="C314" s="517"/>
      <c r="D314" s="517"/>
      <c r="E314" s="517"/>
      <c r="F314" s="509">
        <v>0.05</v>
      </c>
    </row>
    <row r="315" ht="24.75" spans="1:6">
      <c r="A315" s="503" t="s">
        <v>289</v>
      </c>
      <c r="B315" s="507" t="s">
        <v>2508</v>
      </c>
      <c r="C315" s="517"/>
      <c r="D315" s="517"/>
      <c r="E315" s="517"/>
      <c r="F315" s="509">
        <v>0.05</v>
      </c>
    </row>
    <row r="316" ht="24.75" spans="1:6">
      <c r="A316" s="511" t="s">
        <v>289</v>
      </c>
      <c r="B316" s="518" t="s">
        <v>2515</v>
      </c>
      <c r="C316" s="514"/>
      <c r="D316" s="514"/>
      <c r="E316" s="514"/>
      <c r="F316" s="519">
        <v>0.05</v>
      </c>
    </row>
    <row r="317" ht="15.15" spans="1:6">
      <c r="A317" s="503" t="s">
        <v>292</v>
      </c>
      <c r="B317" s="504" t="s">
        <v>2269</v>
      </c>
      <c r="C317" s="505">
        <v>0.15</v>
      </c>
      <c r="D317" s="505">
        <v>0.15</v>
      </c>
      <c r="E317" s="505">
        <v>0.15</v>
      </c>
      <c r="F317" s="506">
        <v>0.15</v>
      </c>
    </row>
    <row r="318" ht="15.15" spans="1:6">
      <c r="A318" s="503" t="s">
        <v>292</v>
      </c>
      <c r="B318" s="507" t="s">
        <v>2282</v>
      </c>
      <c r="C318" s="508">
        <v>0.107</v>
      </c>
      <c r="D318" s="508">
        <v>0.11</v>
      </c>
      <c r="E318" s="508">
        <v>0.112</v>
      </c>
      <c r="F318" s="516"/>
    </row>
    <row r="319" ht="15.15" spans="1:6">
      <c r="A319" s="503" t="s">
        <v>292</v>
      </c>
      <c r="B319" s="507" t="s">
        <v>2296</v>
      </c>
      <c r="C319" s="508">
        <v>0.15</v>
      </c>
      <c r="D319" s="508">
        <v>0.15</v>
      </c>
      <c r="E319" s="508">
        <v>0.15</v>
      </c>
      <c r="F319" s="509">
        <v>0.15</v>
      </c>
    </row>
    <row r="320" ht="15.15" spans="1:6">
      <c r="A320" s="503" t="s">
        <v>292</v>
      </c>
      <c r="B320" s="507" t="s">
        <v>2308</v>
      </c>
      <c r="C320" s="508">
        <v>0.15</v>
      </c>
      <c r="D320" s="508">
        <v>0.15</v>
      </c>
      <c r="E320" s="508">
        <v>0.15</v>
      </c>
      <c r="F320" s="516"/>
    </row>
    <row r="321" ht="15.15" spans="1:6">
      <c r="A321" s="503" t="s">
        <v>292</v>
      </c>
      <c r="B321" s="507" t="s">
        <v>2320</v>
      </c>
      <c r="C321" s="508">
        <v>0.15</v>
      </c>
      <c r="D321" s="508">
        <v>0.15</v>
      </c>
      <c r="E321" s="508">
        <v>0.15</v>
      </c>
      <c r="F321" s="516"/>
    </row>
    <row r="322" ht="15.15" spans="1:6">
      <c r="A322" s="503" t="s">
        <v>292</v>
      </c>
      <c r="B322" s="507" t="s">
        <v>2331</v>
      </c>
      <c r="C322" s="508">
        <v>0.15</v>
      </c>
      <c r="D322" s="508">
        <v>0.15</v>
      </c>
      <c r="E322" s="508">
        <v>0.15</v>
      </c>
      <c r="F322" s="509">
        <v>0.15</v>
      </c>
    </row>
    <row r="323" ht="15.15" spans="1:6">
      <c r="A323" s="503" t="s">
        <v>292</v>
      </c>
      <c r="B323" s="507" t="s">
        <v>2342</v>
      </c>
      <c r="C323" s="508">
        <v>0.15</v>
      </c>
      <c r="D323" s="508">
        <v>0.15</v>
      </c>
      <c r="E323" s="508">
        <v>0.15</v>
      </c>
      <c r="F323" s="516"/>
    </row>
    <row r="324" ht="15.15" spans="1:6">
      <c r="A324" s="503" t="s">
        <v>292</v>
      </c>
      <c r="B324" s="507" t="s">
        <v>2353</v>
      </c>
      <c r="C324" s="508">
        <v>0.15</v>
      </c>
      <c r="D324" s="508">
        <v>0.15</v>
      </c>
      <c r="E324" s="508">
        <v>0.15</v>
      </c>
      <c r="F324" s="516"/>
    </row>
    <row r="325" ht="15.15" spans="1:6">
      <c r="A325" s="503" t="s">
        <v>292</v>
      </c>
      <c r="B325" s="507" t="s">
        <v>2363</v>
      </c>
      <c r="C325" s="508">
        <v>0.15</v>
      </c>
      <c r="D325" s="508">
        <v>0.15</v>
      </c>
      <c r="E325" s="508">
        <v>0.15</v>
      </c>
      <c r="F325" s="509">
        <v>0.147</v>
      </c>
    </row>
    <row r="326" ht="15.15" spans="1:6">
      <c r="A326" s="503" t="s">
        <v>292</v>
      </c>
      <c r="B326" s="507" t="s">
        <v>2373</v>
      </c>
      <c r="C326" s="508">
        <v>0.15</v>
      </c>
      <c r="D326" s="508">
        <v>0.15</v>
      </c>
      <c r="E326" s="508">
        <v>0.15</v>
      </c>
      <c r="F326" s="516"/>
    </row>
    <row r="327" ht="15.15" spans="1:6">
      <c r="A327" s="503" t="s">
        <v>292</v>
      </c>
      <c r="B327" s="507" t="s">
        <v>2383</v>
      </c>
      <c r="C327" s="508">
        <v>0.15</v>
      </c>
      <c r="D327" s="508">
        <v>0.15</v>
      </c>
      <c r="E327" s="508">
        <v>0.15</v>
      </c>
      <c r="F327" s="509">
        <v>0.15</v>
      </c>
    </row>
    <row r="328" ht="15.15" spans="1:6">
      <c r="A328" s="503" t="s">
        <v>292</v>
      </c>
      <c r="B328" s="507" t="s">
        <v>2393</v>
      </c>
      <c r="C328" s="508">
        <v>0.15</v>
      </c>
      <c r="D328" s="508">
        <v>0.15</v>
      </c>
      <c r="E328" s="508">
        <v>0.15</v>
      </c>
      <c r="F328" s="509">
        <v>0.141</v>
      </c>
    </row>
    <row r="329" ht="15.15" spans="1:6">
      <c r="A329" s="503" t="s">
        <v>292</v>
      </c>
      <c r="B329" s="507" t="s">
        <v>2403</v>
      </c>
      <c r="C329" s="508">
        <v>0.15</v>
      </c>
      <c r="D329" s="508">
        <v>0.15</v>
      </c>
      <c r="E329" s="508">
        <v>0.15</v>
      </c>
      <c r="F329" s="509">
        <v>0.15</v>
      </c>
    </row>
    <row r="330" ht="15.15" spans="1:6">
      <c r="A330" s="503" t="s">
        <v>292</v>
      </c>
      <c r="B330" s="507" t="s">
        <v>2413</v>
      </c>
      <c r="C330" s="508">
        <v>0.15</v>
      </c>
      <c r="D330" s="508">
        <v>0.15</v>
      </c>
      <c r="E330" s="508">
        <v>0.15</v>
      </c>
      <c r="F330" s="516"/>
    </row>
    <row r="331" ht="15.15" spans="1:6">
      <c r="A331" s="503" t="s">
        <v>292</v>
      </c>
      <c r="B331" s="507" t="s">
        <v>2423</v>
      </c>
      <c r="C331" s="508">
        <v>0.15</v>
      </c>
      <c r="D331" s="508">
        <v>0.15</v>
      </c>
      <c r="E331" s="508">
        <v>0.15</v>
      </c>
      <c r="F331" s="509">
        <v>0.15</v>
      </c>
    </row>
    <row r="332" ht="15.15" spans="1:6">
      <c r="A332" s="503" t="s">
        <v>292</v>
      </c>
      <c r="B332" s="507" t="s">
        <v>2433</v>
      </c>
      <c r="C332" s="508">
        <v>0.15</v>
      </c>
      <c r="D332" s="508">
        <v>0.15</v>
      </c>
      <c r="E332" s="508">
        <v>0.15</v>
      </c>
      <c r="F332" s="509">
        <v>0.15</v>
      </c>
    </row>
    <row r="333" ht="15.15" spans="1:6">
      <c r="A333" s="503" t="s">
        <v>292</v>
      </c>
      <c r="B333" s="507" t="s">
        <v>2443</v>
      </c>
      <c r="C333" s="508">
        <v>0.15</v>
      </c>
      <c r="D333" s="508">
        <v>0.15</v>
      </c>
      <c r="E333" s="508">
        <v>0.15</v>
      </c>
      <c r="F333" s="509">
        <v>0.141</v>
      </c>
    </row>
    <row r="334" ht="15.15" spans="1:6">
      <c r="A334" s="503" t="s">
        <v>292</v>
      </c>
      <c r="B334" s="507" t="s">
        <v>2453</v>
      </c>
      <c r="C334" s="508">
        <v>0.15</v>
      </c>
      <c r="D334" s="508">
        <v>0.15</v>
      </c>
      <c r="E334" s="508">
        <v>0.15</v>
      </c>
      <c r="F334" s="509">
        <v>0.15</v>
      </c>
    </row>
    <row r="335" ht="15.15" spans="1:6">
      <c r="A335" s="503" t="s">
        <v>292</v>
      </c>
      <c r="B335" s="507" t="s">
        <v>2463</v>
      </c>
      <c r="C335" s="508">
        <v>0.15</v>
      </c>
      <c r="D335" s="508">
        <v>0.15</v>
      </c>
      <c r="E335" s="508">
        <v>0.15</v>
      </c>
      <c r="F335" s="516"/>
    </row>
    <row r="336" ht="15.15" spans="1:6">
      <c r="A336" s="503" t="s">
        <v>292</v>
      </c>
      <c r="B336" s="507" t="s">
        <v>2472</v>
      </c>
      <c r="C336" s="508">
        <v>0.15</v>
      </c>
      <c r="D336" s="508">
        <v>0.15</v>
      </c>
      <c r="E336" s="508">
        <v>0.15</v>
      </c>
      <c r="F336" s="509">
        <v>0.118</v>
      </c>
    </row>
    <row r="337" ht="15.15" spans="1:6">
      <c r="A337" s="511" t="s">
        <v>292</v>
      </c>
      <c r="B337" s="518" t="s">
        <v>2480</v>
      </c>
      <c r="C337" s="514"/>
      <c r="D337" s="514"/>
      <c r="E337" s="514"/>
      <c r="F337" s="519">
        <v>0.143</v>
      </c>
    </row>
    <row r="338" ht="15.15" spans="1:6">
      <c r="A338" s="503" t="s">
        <v>295</v>
      </c>
      <c r="B338" s="504" t="s">
        <v>2270</v>
      </c>
      <c r="C338" s="505">
        <v>0.15</v>
      </c>
      <c r="D338" s="505">
        <v>0.15</v>
      </c>
      <c r="E338" s="505">
        <v>0.15</v>
      </c>
      <c r="F338" s="527"/>
    </row>
    <row r="339" ht="15.15" spans="1:6">
      <c r="A339" s="503" t="s">
        <v>295</v>
      </c>
      <c r="B339" s="507" t="s">
        <v>2283</v>
      </c>
      <c r="C339" s="508">
        <v>0.15</v>
      </c>
      <c r="D339" s="508">
        <v>0.15</v>
      </c>
      <c r="E339" s="508">
        <v>0.15</v>
      </c>
      <c r="F339" s="516"/>
    </row>
    <row r="340" ht="15.15" spans="1:6">
      <c r="A340" s="503" t="s">
        <v>295</v>
      </c>
      <c r="B340" s="507" t="s">
        <v>2297</v>
      </c>
      <c r="C340" s="508">
        <v>0.15</v>
      </c>
      <c r="D340" s="508">
        <v>0.15</v>
      </c>
      <c r="E340" s="508">
        <v>0.15</v>
      </c>
      <c r="F340" s="516"/>
    </row>
    <row r="341" ht="15.15" spans="1:6">
      <c r="A341" s="503" t="s">
        <v>295</v>
      </c>
      <c r="B341" s="507" t="s">
        <v>2309</v>
      </c>
      <c r="C341" s="508">
        <v>0.15</v>
      </c>
      <c r="D341" s="508">
        <v>0.15</v>
      </c>
      <c r="E341" s="508">
        <v>0.15</v>
      </c>
      <c r="F341" s="509">
        <v>0.15</v>
      </c>
    </row>
    <row r="342" ht="15.15" spans="1:6">
      <c r="A342" s="503" t="s">
        <v>295</v>
      </c>
      <c r="B342" s="507" t="s">
        <v>2321</v>
      </c>
      <c r="C342" s="508">
        <v>0.15</v>
      </c>
      <c r="D342" s="508">
        <v>0.15</v>
      </c>
      <c r="E342" s="508">
        <v>0.15</v>
      </c>
      <c r="F342" s="509">
        <v>0.15</v>
      </c>
    </row>
    <row r="343" ht="15.15" spans="1:6">
      <c r="A343" s="503" t="s">
        <v>295</v>
      </c>
      <c r="B343" s="507" t="s">
        <v>2332</v>
      </c>
      <c r="C343" s="508">
        <v>0.15</v>
      </c>
      <c r="D343" s="508">
        <v>0.15</v>
      </c>
      <c r="E343" s="508">
        <v>0.15</v>
      </c>
      <c r="F343" s="509">
        <v>0.15</v>
      </c>
    </row>
    <row r="344" ht="15.15" spans="1:6">
      <c r="A344" s="511" t="s">
        <v>295</v>
      </c>
      <c r="B344" s="518" t="s">
        <v>2343</v>
      </c>
      <c r="C344" s="513">
        <v>0.15</v>
      </c>
      <c r="D344" s="513">
        <v>0.15</v>
      </c>
      <c r="E344" s="513">
        <v>0.15</v>
      </c>
      <c r="F344" s="519">
        <v>0.15</v>
      </c>
    </row>
  </sheetData>
  <sheetProtection password="C66D" sheet="1" objects="1" scenarios="1"/>
  <mergeCells count="1">
    <mergeCell ref="A1:B1"/>
  </mergeCells>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2"/>
  <sheetViews>
    <sheetView workbookViewId="0">
      <selection activeCell="D13" sqref="D13"/>
    </sheetView>
  </sheetViews>
  <sheetFormatPr defaultColWidth="9" defaultRowHeight="14.4"/>
  <cols>
    <col min="1" max="1" width="4.88888888888889" style="426" customWidth="1"/>
    <col min="2" max="2" width="13.2222222222222" style="427" customWidth="1"/>
    <col min="3" max="3" width="15.6666666666667" style="427" customWidth="1"/>
    <col min="4" max="4" width="9.33333333333333" style="427" customWidth="1"/>
    <col min="5" max="5" width="13.4444444444444" style="427" customWidth="1"/>
    <col min="6" max="6" width="9" style="427"/>
    <col min="7" max="7" width="9.33333333333333" style="427" customWidth="1"/>
    <col min="8" max="8" width="12.2222222222222" style="427" customWidth="1"/>
    <col min="9" max="9" width="9" style="427"/>
    <col min="10" max="10" width="9.33333333333333" style="427" customWidth="1"/>
    <col min="11" max="11" width="4" style="426" customWidth="1"/>
    <col min="12" max="12" width="5.11111111111111" style="427" customWidth="1"/>
    <col min="13" max="13" width="13.7777777777778" style="427" customWidth="1"/>
    <col min="14" max="256" width="9" style="427"/>
    <col min="257" max="257" width="4.88888888888889" style="428" customWidth="1"/>
    <col min="258" max="258" width="13.2222222222222" style="428" customWidth="1"/>
    <col min="259" max="259" width="15.6666666666667" style="428" customWidth="1"/>
    <col min="260" max="260" width="9.33333333333333" style="428" customWidth="1"/>
    <col min="261" max="261" width="13.4444444444444" style="428" customWidth="1"/>
    <col min="262" max="262" width="9" style="428"/>
    <col min="263" max="263" width="9.33333333333333" style="428" customWidth="1"/>
    <col min="264" max="265" width="9" style="428"/>
    <col min="266" max="266" width="9.33333333333333" style="428" customWidth="1"/>
    <col min="267" max="267" width="4" style="428" customWidth="1"/>
    <col min="268" max="268" width="5.11111111111111" style="428" customWidth="1"/>
    <col min="269" max="269" width="13.7777777777778" style="428" customWidth="1"/>
    <col min="270" max="512" width="9" style="428"/>
    <col min="513" max="513" width="4.88888888888889" style="428" customWidth="1"/>
    <col min="514" max="514" width="13.2222222222222" style="428" customWidth="1"/>
    <col min="515" max="515" width="15.6666666666667" style="428" customWidth="1"/>
    <col min="516" max="516" width="9.33333333333333" style="428" customWidth="1"/>
    <col min="517" max="517" width="13.4444444444444" style="428" customWidth="1"/>
    <col min="518" max="518" width="9" style="428"/>
    <col min="519" max="519" width="9.33333333333333" style="428" customWidth="1"/>
    <col min="520" max="521" width="9" style="428"/>
    <col min="522" max="522" width="9.33333333333333" style="428" customWidth="1"/>
    <col min="523" max="523" width="4" style="428" customWidth="1"/>
    <col min="524" max="524" width="5.11111111111111" style="428" customWidth="1"/>
    <col min="525" max="525" width="13.7777777777778" style="428" customWidth="1"/>
    <col min="526" max="768" width="9" style="428"/>
    <col min="769" max="769" width="4.88888888888889" style="428" customWidth="1"/>
    <col min="770" max="770" width="13.2222222222222" style="428" customWidth="1"/>
    <col min="771" max="771" width="15.6666666666667" style="428" customWidth="1"/>
    <col min="772" max="772" width="9.33333333333333" style="428" customWidth="1"/>
    <col min="773" max="773" width="13.4444444444444" style="428" customWidth="1"/>
    <col min="774" max="774" width="9" style="428"/>
    <col min="775" max="775" width="9.33333333333333" style="428" customWidth="1"/>
    <col min="776" max="777" width="9" style="428"/>
    <col min="778" max="778" width="9.33333333333333" style="428" customWidth="1"/>
    <col min="779" max="779" width="4" style="428" customWidth="1"/>
    <col min="780" max="780" width="5.11111111111111" style="428" customWidth="1"/>
    <col min="781" max="781" width="13.7777777777778" style="428" customWidth="1"/>
    <col min="782" max="1024" width="9" style="428"/>
    <col min="1025" max="1025" width="4.88888888888889" style="428" customWidth="1"/>
    <col min="1026" max="1026" width="13.2222222222222" style="428" customWidth="1"/>
    <col min="1027" max="1027" width="15.6666666666667" style="428" customWidth="1"/>
    <col min="1028" max="1028" width="9.33333333333333" style="428" customWidth="1"/>
    <col min="1029" max="1029" width="13.4444444444444" style="428" customWidth="1"/>
    <col min="1030" max="1030" width="9" style="428"/>
    <col min="1031" max="1031" width="9.33333333333333" style="428" customWidth="1"/>
    <col min="1032" max="1033" width="9" style="428"/>
    <col min="1034" max="1034" width="9.33333333333333" style="428" customWidth="1"/>
    <col min="1035" max="1035" width="4" style="428" customWidth="1"/>
    <col min="1036" max="1036" width="5.11111111111111" style="428" customWidth="1"/>
    <col min="1037" max="1037" width="13.7777777777778" style="428" customWidth="1"/>
    <col min="1038" max="1280" width="9" style="428"/>
    <col min="1281" max="1281" width="4.88888888888889" style="428" customWidth="1"/>
    <col min="1282" max="1282" width="13.2222222222222" style="428" customWidth="1"/>
    <col min="1283" max="1283" width="15.6666666666667" style="428" customWidth="1"/>
    <col min="1284" max="1284" width="9.33333333333333" style="428" customWidth="1"/>
    <col min="1285" max="1285" width="13.4444444444444" style="428" customWidth="1"/>
    <col min="1286" max="1286" width="9" style="428"/>
    <col min="1287" max="1287" width="9.33333333333333" style="428" customWidth="1"/>
    <col min="1288" max="1289" width="9" style="428"/>
    <col min="1290" max="1290" width="9.33333333333333" style="428" customWidth="1"/>
    <col min="1291" max="1291" width="4" style="428" customWidth="1"/>
    <col min="1292" max="1292" width="5.11111111111111" style="428" customWidth="1"/>
    <col min="1293" max="1293" width="13.7777777777778" style="428" customWidth="1"/>
    <col min="1294" max="1536" width="9" style="428"/>
    <col min="1537" max="1537" width="4.88888888888889" style="428" customWidth="1"/>
    <col min="1538" max="1538" width="13.2222222222222" style="428" customWidth="1"/>
    <col min="1539" max="1539" width="15.6666666666667" style="428" customWidth="1"/>
    <col min="1540" max="1540" width="9.33333333333333" style="428" customWidth="1"/>
    <col min="1541" max="1541" width="13.4444444444444" style="428" customWidth="1"/>
    <col min="1542" max="1542" width="9" style="428"/>
    <col min="1543" max="1543" width="9.33333333333333" style="428" customWidth="1"/>
    <col min="1544" max="1545" width="9" style="428"/>
    <col min="1546" max="1546" width="9.33333333333333" style="428" customWidth="1"/>
    <col min="1547" max="1547" width="4" style="428" customWidth="1"/>
    <col min="1548" max="1548" width="5.11111111111111" style="428" customWidth="1"/>
    <col min="1549" max="1549" width="13.7777777777778" style="428" customWidth="1"/>
    <col min="1550" max="1792" width="9" style="428"/>
    <col min="1793" max="1793" width="4.88888888888889" style="428" customWidth="1"/>
    <col min="1794" max="1794" width="13.2222222222222" style="428" customWidth="1"/>
    <col min="1795" max="1795" width="15.6666666666667" style="428" customWidth="1"/>
    <col min="1796" max="1796" width="9.33333333333333" style="428" customWidth="1"/>
    <col min="1797" max="1797" width="13.4444444444444" style="428" customWidth="1"/>
    <col min="1798" max="1798" width="9" style="428"/>
    <col min="1799" max="1799" width="9.33333333333333" style="428" customWidth="1"/>
    <col min="1800" max="1801" width="9" style="428"/>
    <col min="1802" max="1802" width="9.33333333333333" style="428" customWidth="1"/>
    <col min="1803" max="1803" width="4" style="428" customWidth="1"/>
    <col min="1804" max="1804" width="5.11111111111111" style="428" customWidth="1"/>
    <col min="1805" max="1805" width="13.7777777777778" style="428" customWidth="1"/>
    <col min="1806" max="2048" width="9" style="428"/>
    <col min="2049" max="2049" width="4.88888888888889" style="428" customWidth="1"/>
    <col min="2050" max="2050" width="13.2222222222222" style="428" customWidth="1"/>
    <col min="2051" max="2051" width="15.6666666666667" style="428" customWidth="1"/>
    <col min="2052" max="2052" width="9.33333333333333" style="428" customWidth="1"/>
    <col min="2053" max="2053" width="13.4444444444444" style="428" customWidth="1"/>
    <col min="2054" max="2054" width="9" style="428"/>
    <col min="2055" max="2055" width="9.33333333333333" style="428" customWidth="1"/>
    <col min="2056" max="2057" width="9" style="428"/>
    <col min="2058" max="2058" width="9.33333333333333" style="428" customWidth="1"/>
    <col min="2059" max="2059" width="4" style="428" customWidth="1"/>
    <col min="2060" max="2060" width="5.11111111111111" style="428" customWidth="1"/>
    <col min="2061" max="2061" width="13.7777777777778" style="428" customWidth="1"/>
    <col min="2062" max="2304" width="9" style="428"/>
    <col min="2305" max="2305" width="4.88888888888889" style="428" customWidth="1"/>
    <col min="2306" max="2306" width="13.2222222222222" style="428" customWidth="1"/>
    <col min="2307" max="2307" width="15.6666666666667" style="428" customWidth="1"/>
    <col min="2308" max="2308" width="9.33333333333333" style="428" customWidth="1"/>
    <col min="2309" max="2309" width="13.4444444444444" style="428" customWidth="1"/>
    <col min="2310" max="2310" width="9" style="428"/>
    <col min="2311" max="2311" width="9.33333333333333" style="428" customWidth="1"/>
    <col min="2312" max="2313" width="9" style="428"/>
    <col min="2314" max="2314" width="9.33333333333333" style="428" customWidth="1"/>
    <col min="2315" max="2315" width="4" style="428" customWidth="1"/>
    <col min="2316" max="2316" width="5.11111111111111" style="428" customWidth="1"/>
    <col min="2317" max="2317" width="13.7777777777778" style="428" customWidth="1"/>
    <col min="2318" max="2560" width="9" style="428"/>
    <col min="2561" max="2561" width="4.88888888888889" style="428" customWidth="1"/>
    <col min="2562" max="2562" width="13.2222222222222" style="428" customWidth="1"/>
    <col min="2563" max="2563" width="15.6666666666667" style="428" customWidth="1"/>
    <col min="2564" max="2564" width="9.33333333333333" style="428" customWidth="1"/>
    <col min="2565" max="2565" width="13.4444444444444" style="428" customWidth="1"/>
    <col min="2566" max="2566" width="9" style="428"/>
    <col min="2567" max="2567" width="9.33333333333333" style="428" customWidth="1"/>
    <col min="2568" max="2569" width="9" style="428"/>
    <col min="2570" max="2570" width="9.33333333333333" style="428" customWidth="1"/>
    <col min="2571" max="2571" width="4" style="428" customWidth="1"/>
    <col min="2572" max="2572" width="5.11111111111111" style="428" customWidth="1"/>
    <col min="2573" max="2573" width="13.7777777777778" style="428" customWidth="1"/>
    <col min="2574" max="2816" width="9" style="428"/>
    <col min="2817" max="2817" width="4.88888888888889" style="428" customWidth="1"/>
    <col min="2818" max="2818" width="13.2222222222222" style="428" customWidth="1"/>
    <col min="2819" max="2819" width="15.6666666666667" style="428" customWidth="1"/>
    <col min="2820" max="2820" width="9.33333333333333" style="428" customWidth="1"/>
    <col min="2821" max="2821" width="13.4444444444444" style="428" customWidth="1"/>
    <col min="2822" max="2822" width="9" style="428"/>
    <col min="2823" max="2823" width="9.33333333333333" style="428" customWidth="1"/>
    <col min="2824" max="2825" width="9" style="428"/>
    <col min="2826" max="2826" width="9.33333333333333" style="428" customWidth="1"/>
    <col min="2827" max="2827" width="4" style="428" customWidth="1"/>
    <col min="2828" max="2828" width="5.11111111111111" style="428" customWidth="1"/>
    <col min="2829" max="2829" width="13.7777777777778" style="428" customWidth="1"/>
    <col min="2830" max="3072" width="9" style="428"/>
    <col min="3073" max="3073" width="4.88888888888889" style="428" customWidth="1"/>
    <col min="3074" max="3074" width="13.2222222222222" style="428" customWidth="1"/>
    <col min="3075" max="3075" width="15.6666666666667" style="428" customWidth="1"/>
    <col min="3076" max="3076" width="9.33333333333333" style="428" customWidth="1"/>
    <col min="3077" max="3077" width="13.4444444444444" style="428" customWidth="1"/>
    <col min="3078" max="3078" width="9" style="428"/>
    <col min="3079" max="3079" width="9.33333333333333" style="428" customWidth="1"/>
    <col min="3080" max="3081" width="9" style="428"/>
    <col min="3082" max="3082" width="9.33333333333333" style="428" customWidth="1"/>
    <col min="3083" max="3083" width="4" style="428" customWidth="1"/>
    <col min="3084" max="3084" width="5.11111111111111" style="428" customWidth="1"/>
    <col min="3085" max="3085" width="13.7777777777778" style="428" customWidth="1"/>
    <col min="3086" max="3328" width="9" style="428"/>
    <col min="3329" max="3329" width="4.88888888888889" style="428" customWidth="1"/>
    <col min="3330" max="3330" width="13.2222222222222" style="428" customWidth="1"/>
    <col min="3331" max="3331" width="15.6666666666667" style="428" customWidth="1"/>
    <col min="3332" max="3332" width="9.33333333333333" style="428" customWidth="1"/>
    <col min="3333" max="3333" width="13.4444444444444" style="428" customWidth="1"/>
    <col min="3334" max="3334" width="9" style="428"/>
    <col min="3335" max="3335" width="9.33333333333333" style="428" customWidth="1"/>
    <col min="3336" max="3337" width="9" style="428"/>
    <col min="3338" max="3338" width="9.33333333333333" style="428" customWidth="1"/>
    <col min="3339" max="3339" width="4" style="428" customWidth="1"/>
    <col min="3340" max="3340" width="5.11111111111111" style="428" customWidth="1"/>
    <col min="3341" max="3341" width="13.7777777777778" style="428" customWidth="1"/>
    <col min="3342" max="3584" width="9" style="428"/>
    <col min="3585" max="3585" width="4.88888888888889" style="428" customWidth="1"/>
    <col min="3586" max="3586" width="13.2222222222222" style="428" customWidth="1"/>
    <col min="3587" max="3587" width="15.6666666666667" style="428" customWidth="1"/>
    <col min="3588" max="3588" width="9.33333333333333" style="428" customWidth="1"/>
    <col min="3589" max="3589" width="13.4444444444444" style="428" customWidth="1"/>
    <col min="3590" max="3590" width="9" style="428"/>
    <col min="3591" max="3591" width="9.33333333333333" style="428" customWidth="1"/>
    <col min="3592" max="3593" width="9" style="428"/>
    <col min="3594" max="3594" width="9.33333333333333" style="428" customWidth="1"/>
    <col min="3595" max="3595" width="4" style="428" customWidth="1"/>
    <col min="3596" max="3596" width="5.11111111111111" style="428" customWidth="1"/>
    <col min="3597" max="3597" width="13.7777777777778" style="428" customWidth="1"/>
    <col min="3598" max="3840" width="9" style="428"/>
    <col min="3841" max="3841" width="4.88888888888889" style="428" customWidth="1"/>
    <col min="3842" max="3842" width="13.2222222222222" style="428" customWidth="1"/>
    <col min="3843" max="3843" width="15.6666666666667" style="428" customWidth="1"/>
    <col min="3844" max="3844" width="9.33333333333333" style="428" customWidth="1"/>
    <col min="3845" max="3845" width="13.4444444444444" style="428" customWidth="1"/>
    <col min="3846" max="3846" width="9" style="428"/>
    <col min="3847" max="3847" width="9.33333333333333" style="428" customWidth="1"/>
    <col min="3848" max="3849" width="9" style="428"/>
    <col min="3850" max="3850" width="9.33333333333333" style="428" customWidth="1"/>
    <col min="3851" max="3851" width="4" style="428" customWidth="1"/>
    <col min="3852" max="3852" width="5.11111111111111" style="428" customWidth="1"/>
    <col min="3853" max="3853" width="13.7777777777778" style="428" customWidth="1"/>
    <col min="3854" max="4096" width="9" style="428"/>
    <col min="4097" max="4097" width="4.88888888888889" style="428" customWidth="1"/>
    <col min="4098" max="4098" width="13.2222222222222" style="428" customWidth="1"/>
    <col min="4099" max="4099" width="15.6666666666667" style="428" customWidth="1"/>
    <col min="4100" max="4100" width="9.33333333333333" style="428" customWidth="1"/>
    <col min="4101" max="4101" width="13.4444444444444" style="428" customWidth="1"/>
    <col min="4102" max="4102" width="9" style="428"/>
    <col min="4103" max="4103" width="9.33333333333333" style="428" customWidth="1"/>
    <col min="4104" max="4105" width="9" style="428"/>
    <col min="4106" max="4106" width="9.33333333333333" style="428" customWidth="1"/>
    <col min="4107" max="4107" width="4" style="428" customWidth="1"/>
    <col min="4108" max="4108" width="5.11111111111111" style="428" customWidth="1"/>
    <col min="4109" max="4109" width="13.7777777777778" style="428" customWidth="1"/>
    <col min="4110" max="4352" width="9" style="428"/>
    <col min="4353" max="4353" width="4.88888888888889" style="428" customWidth="1"/>
    <col min="4354" max="4354" width="13.2222222222222" style="428" customWidth="1"/>
    <col min="4355" max="4355" width="15.6666666666667" style="428" customWidth="1"/>
    <col min="4356" max="4356" width="9.33333333333333" style="428" customWidth="1"/>
    <col min="4357" max="4357" width="13.4444444444444" style="428" customWidth="1"/>
    <col min="4358" max="4358" width="9" style="428"/>
    <col min="4359" max="4359" width="9.33333333333333" style="428" customWidth="1"/>
    <col min="4360" max="4361" width="9" style="428"/>
    <col min="4362" max="4362" width="9.33333333333333" style="428" customWidth="1"/>
    <col min="4363" max="4363" width="4" style="428" customWidth="1"/>
    <col min="4364" max="4364" width="5.11111111111111" style="428" customWidth="1"/>
    <col min="4365" max="4365" width="13.7777777777778" style="428" customWidth="1"/>
    <col min="4366" max="4608" width="9" style="428"/>
    <col min="4609" max="4609" width="4.88888888888889" style="428" customWidth="1"/>
    <col min="4610" max="4610" width="13.2222222222222" style="428" customWidth="1"/>
    <col min="4611" max="4611" width="15.6666666666667" style="428" customWidth="1"/>
    <col min="4612" max="4612" width="9.33333333333333" style="428" customWidth="1"/>
    <col min="4613" max="4613" width="13.4444444444444" style="428" customWidth="1"/>
    <col min="4614" max="4614" width="9" style="428"/>
    <col min="4615" max="4615" width="9.33333333333333" style="428" customWidth="1"/>
    <col min="4616" max="4617" width="9" style="428"/>
    <col min="4618" max="4618" width="9.33333333333333" style="428" customWidth="1"/>
    <col min="4619" max="4619" width="4" style="428" customWidth="1"/>
    <col min="4620" max="4620" width="5.11111111111111" style="428" customWidth="1"/>
    <col min="4621" max="4621" width="13.7777777777778" style="428" customWidth="1"/>
    <col min="4622" max="4864" width="9" style="428"/>
    <col min="4865" max="4865" width="4.88888888888889" style="428" customWidth="1"/>
    <col min="4866" max="4866" width="13.2222222222222" style="428" customWidth="1"/>
    <col min="4867" max="4867" width="15.6666666666667" style="428" customWidth="1"/>
    <col min="4868" max="4868" width="9.33333333333333" style="428" customWidth="1"/>
    <col min="4869" max="4869" width="13.4444444444444" style="428" customWidth="1"/>
    <col min="4870" max="4870" width="9" style="428"/>
    <col min="4871" max="4871" width="9.33333333333333" style="428" customWidth="1"/>
    <col min="4872" max="4873" width="9" style="428"/>
    <col min="4874" max="4874" width="9.33333333333333" style="428" customWidth="1"/>
    <col min="4875" max="4875" width="4" style="428" customWidth="1"/>
    <col min="4876" max="4876" width="5.11111111111111" style="428" customWidth="1"/>
    <col min="4877" max="4877" width="13.7777777777778" style="428" customWidth="1"/>
    <col min="4878" max="5120" width="9" style="428"/>
    <col min="5121" max="5121" width="4.88888888888889" style="428" customWidth="1"/>
    <col min="5122" max="5122" width="13.2222222222222" style="428" customWidth="1"/>
    <col min="5123" max="5123" width="15.6666666666667" style="428" customWidth="1"/>
    <col min="5124" max="5124" width="9.33333333333333" style="428" customWidth="1"/>
    <col min="5125" max="5125" width="13.4444444444444" style="428" customWidth="1"/>
    <col min="5126" max="5126" width="9" style="428"/>
    <col min="5127" max="5127" width="9.33333333333333" style="428" customWidth="1"/>
    <col min="5128" max="5129" width="9" style="428"/>
    <col min="5130" max="5130" width="9.33333333333333" style="428" customWidth="1"/>
    <col min="5131" max="5131" width="4" style="428" customWidth="1"/>
    <col min="5132" max="5132" width="5.11111111111111" style="428" customWidth="1"/>
    <col min="5133" max="5133" width="13.7777777777778" style="428" customWidth="1"/>
    <col min="5134" max="5376" width="9" style="428"/>
    <col min="5377" max="5377" width="4.88888888888889" style="428" customWidth="1"/>
    <col min="5378" max="5378" width="13.2222222222222" style="428" customWidth="1"/>
    <col min="5379" max="5379" width="15.6666666666667" style="428" customWidth="1"/>
    <col min="5380" max="5380" width="9.33333333333333" style="428" customWidth="1"/>
    <col min="5381" max="5381" width="13.4444444444444" style="428" customWidth="1"/>
    <col min="5382" max="5382" width="9" style="428"/>
    <col min="5383" max="5383" width="9.33333333333333" style="428" customWidth="1"/>
    <col min="5384" max="5385" width="9" style="428"/>
    <col min="5386" max="5386" width="9.33333333333333" style="428" customWidth="1"/>
    <col min="5387" max="5387" width="4" style="428" customWidth="1"/>
    <col min="5388" max="5388" width="5.11111111111111" style="428" customWidth="1"/>
    <col min="5389" max="5389" width="13.7777777777778" style="428" customWidth="1"/>
    <col min="5390" max="5632" width="9" style="428"/>
    <col min="5633" max="5633" width="4.88888888888889" style="428" customWidth="1"/>
    <col min="5634" max="5634" width="13.2222222222222" style="428" customWidth="1"/>
    <col min="5635" max="5635" width="15.6666666666667" style="428" customWidth="1"/>
    <col min="5636" max="5636" width="9.33333333333333" style="428" customWidth="1"/>
    <col min="5637" max="5637" width="13.4444444444444" style="428" customWidth="1"/>
    <col min="5638" max="5638" width="9" style="428"/>
    <col min="5639" max="5639" width="9.33333333333333" style="428" customWidth="1"/>
    <col min="5640" max="5641" width="9" style="428"/>
    <col min="5642" max="5642" width="9.33333333333333" style="428" customWidth="1"/>
    <col min="5643" max="5643" width="4" style="428" customWidth="1"/>
    <col min="5644" max="5644" width="5.11111111111111" style="428" customWidth="1"/>
    <col min="5645" max="5645" width="13.7777777777778" style="428" customWidth="1"/>
    <col min="5646" max="5888" width="9" style="428"/>
    <col min="5889" max="5889" width="4.88888888888889" style="428" customWidth="1"/>
    <col min="5890" max="5890" width="13.2222222222222" style="428" customWidth="1"/>
    <col min="5891" max="5891" width="15.6666666666667" style="428" customWidth="1"/>
    <col min="5892" max="5892" width="9.33333333333333" style="428" customWidth="1"/>
    <col min="5893" max="5893" width="13.4444444444444" style="428" customWidth="1"/>
    <col min="5894" max="5894" width="9" style="428"/>
    <col min="5895" max="5895" width="9.33333333333333" style="428" customWidth="1"/>
    <col min="5896" max="5897" width="9" style="428"/>
    <col min="5898" max="5898" width="9.33333333333333" style="428" customWidth="1"/>
    <col min="5899" max="5899" width="4" style="428" customWidth="1"/>
    <col min="5900" max="5900" width="5.11111111111111" style="428" customWidth="1"/>
    <col min="5901" max="5901" width="13.7777777777778" style="428" customWidth="1"/>
    <col min="5902" max="6144" width="9" style="428"/>
    <col min="6145" max="6145" width="4.88888888888889" style="428" customWidth="1"/>
    <col min="6146" max="6146" width="13.2222222222222" style="428" customWidth="1"/>
    <col min="6147" max="6147" width="15.6666666666667" style="428" customWidth="1"/>
    <col min="6148" max="6148" width="9.33333333333333" style="428" customWidth="1"/>
    <col min="6149" max="6149" width="13.4444444444444" style="428" customWidth="1"/>
    <col min="6150" max="6150" width="9" style="428"/>
    <col min="6151" max="6151" width="9.33333333333333" style="428" customWidth="1"/>
    <col min="6152" max="6153" width="9" style="428"/>
    <col min="6154" max="6154" width="9.33333333333333" style="428" customWidth="1"/>
    <col min="6155" max="6155" width="4" style="428" customWidth="1"/>
    <col min="6156" max="6156" width="5.11111111111111" style="428" customWidth="1"/>
    <col min="6157" max="6157" width="13.7777777777778" style="428" customWidth="1"/>
    <col min="6158" max="6400" width="9" style="428"/>
    <col min="6401" max="6401" width="4.88888888888889" style="428" customWidth="1"/>
    <col min="6402" max="6402" width="13.2222222222222" style="428" customWidth="1"/>
    <col min="6403" max="6403" width="15.6666666666667" style="428" customWidth="1"/>
    <col min="6404" max="6404" width="9.33333333333333" style="428" customWidth="1"/>
    <col min="6405" max="6405" width="13.4444444444444" style="428" customWidth="1"/>
    <col min="6406" max="6406" width="9" style="428"/>
    <col min="6407" max="6407" width="9.33333333333333" style="428" customWidth="1"/>
    <col min="6408" max="6409" width="9" style="428"/>
    <col min="6410" max="6410" width="9.33333333333333" style="428" customWidth="1"/>
    <col min="6411" max="6411" width="4" style="428" customWidth="1"/>
    <col min="6412" max="6412" width="5.11111111111111" style="428" customWidth="1"/>
    <col min="6413" max="6413" width="13.7777777777778" style="428" customWidth="1"/>
    <col min="6414" max="6656" width="9" style="428"/>
    <col min="6657" max="6657" width="4.88888888888889" style="428" customWidth="1"/>
    <col min="6658" max="6658" width="13.2222222222222" style="428" customWidth="1"/>
    <col min="6659" max="6659" width="15.6666666666667" style="428" customWidth="1"/>
    <col min="6660" max="6660" width="9.33333333333333" style="428" customWidth="1"/>
    <col min="6661" max="6661" width="13.4444444444444" style="428" customWidth="1"/>
    <col min="6662" max="6662" width="9" style="428"/>
    <col min="6663" max="6663" width="9.33333333333333" style="428" customWidth="1"/>
    <col min="6664" max="6665" width="9" style="428"/>
    <col min="6666" max="6666" width="9.33333333333333" style="428" customWidth="1"/>
    <col min="6667" max="6667" width="4" style="428" customWidth="1"/>
    <col min="6668" max="6668" width="5.11111111111111" style="428" customWidth="1"/>
    <col min="6669" max="6669" width="13.7777777777778" style="428" customWidth="1"/>
    <col min="6670" max="6912" width="9" style="428"/>
    <col min="6913" max="6913" width="4.88888888888889" style="428" customWidth="1"/>
    <col min="6914" max="6914" width="13.2222222222222" style="428" customWidth="1"/>
    <col min="6915" max="6915" width="15.6666666666667" style="428" customWidth="1"/>
    <col min="6916" max="6916" width="9.33333333333333" style="428" customWidth="1"/>
    <col min="6917" max="6917" width="13.4444444444444" style="428" customWidth="1"/>
    <col min="6918" max="6918" width="9" style="428"/>
    <col min="6919" max="6919" width="9.33333333333333" style="428" customWidth="1"/>
    <col min="6920" max="6921" width="9" style="428"/>
    <col min="6922" max="6922" width="9.33333333333333" style="428" customWidth="1"/>
    <col min="6923" max="6923" width="4" style="428" customWidth="1"/>
    <col min="6924" max="6924" width="5.11111111111111" style="428" customWidth="1"/>
    <col min="6925" max="6925" width="13.7777777777778" style="428" customWidth="1"/>
    <col min="6926" max="7168" width="9" style="428"/>
    <col min="7169" max="7169" width="4.88888888888889" style="428" customWidth="1"/>
    <col min="7170" max="7170" width="13.2222222222222" style="428" customWidth="1"/>
    <col min="7171" max="7171" width="15.6666666666667" style="428" customWidth="1"/>
    <col min="7172" max="7172" width="9.33333333333333" style="428" customWidth="1"/>
    <col min="7173" max="7173" width="13.4444444444444" style="428" customWidth="1"/>
    <col min="7174" max="7174" width="9" style="428"/>
    <col min="7175" max="7175" width="9.33333333333333" style="428" customWidth="1"/>
    <col min="7176" max="7177" width="9" style="428"/>
    <col min="7178" max="7178" width="9.33333333333333" style="428" customWidth="1"/>
    <col min="7179" max="7179" width="4" style="428" customWidth="1"/>
    <col min="7180" max="7180" width="5.11111111111111" style="428" customWidth="1"/>
    <col min="7181" max="7181" width="13.7777777777778" style="428" customWidth="1"/>
    <col min="7182" max="7424" width="9" style="428"/>
    <col min="7425" max="7425" width="4.88888888888889" style="428" customWidth="1"/>
    <col min="7426" max="7426" width="13.2222222222222" style="428" customWidth="1"/>
    <col min="7427" max="7427" width="15.6666666666667" style="428" customWidth="1"/>
    <col min="7428" max="7428" width="9.33333333333333" style="428" customWidth="1"/>
    <col min="7429" max="7429" width="13.4444444444444" style="428" customWidth="1"/>
    <col min="7430" max="7430" width="9" style="428"/>
    <col min="7431" max="7431" width="9.33333333333333" style="428" customWidth="1"/>
    <col min="7432" max="7433" width="9" style="428"/>
    <col min="7434" max="7434" width="9.33333333333333" style="428" customWidth="1"/>
    <col min="7435" max="7435" width="4" style="428" customWidth="1"/>
    <col min="7436" max="7436" width="5.11111111111111" style="428" customWidth="1"/>
    <col min="7437" max="7437" width="13.7777777777778" style="428" customWidth="1"/>
    <col min="7438" max="7680" width="9" style="428"/>
    <col min="7681" max="7681" width="4.88888888888889" style="428" customWidth="1"/>
    <col min="7682" max="7682" width="13.2222222222222" style="428" customWidth="1"/>
    <col min="7683" max="7683" width="15.6666666666667" style="428" customWidth="1"/>
    <col min="7684" max="7684" width="9.33333333333333" style="428" customWidth="1"/>
    <col min="7685" max="7685" width="13.4444444444444" style="428" customWidth="1"/>
    <col min="7686" max="7686" width="9" style="428"/>
    <col min="7687" max="7687" width="9.33333333333333" style="428" customWidth="1"/>
    <col min="7688" max="7689" width="9" style="428"/>
    <col min="7690" max="7690" width="9.33333333333333" style="428" customWidth="1"/>
    <col min="7691" max="7691" width="4" style="428" customWidth="1"/>
    <col min="7692" max="7692" width="5.11111111111111" style="428" customWidth="1"/>
    <col min="7693" max="7693" width="13.7777777777778" style="428" customWidth="1"/>
    <col min="7694" max="7936" width="9" style="428"/>
    <col min="7937" max="7937" width="4.88888888888889" style="428" customWidth="1"/>
    <col min="7938" max="7938" width="13.2222222222222" style="428" customWidth="1"/>
    <col min="7939" max="7939" width="15.6666666666667" style="428" customWidth="1"/>
    <col min="7940" max="7940" width="9.33333333333333" style="428" customWidth="1"/>
    <col min="7941" max="7941" width="13.4444444444444" style="428" customWidth="1"/>
    <col min="7942" max="7942" width="9" style="428"/>
    <col min="7943" max="7943" width="9.33333333333333" style="428" customWidth="1"/>
    <col min="7944" max="7945" width="9" style="428"/>
    <col min="7946" max="7946" width="9.33333333333333" style="428" customWidth="1"/>
    <col min="7947" max="7947" width="4" style="428" customWidth="1"/>
    <col min="7948" max="7948" width="5.11111111111111" style="428" customWidth="1"/>
    <col min="7949" max="7949" width="13.7777777777778" style="428" customWidth="1"/>
    <col min="7950" max="8192" width="9" style="428"/>
    <col min="8193" max="8193" width="4.88888888888889" style="428" customWidth="1"/>
    <col min="8194" max="8194" width="13.2222222222222" style="428" customWidth="1"/>
    <col min="8195" max="8195" width="15.6666666666667" style="428" customWidth="1"/>
    <col min="8196" max="8196" width="9.33333333333333" style="428" customWidth="1"/>
    <col min="8197" max="8197" width="13.4444444444444" style="428" customWidth="1"/>
    <col min="8198" max="8198" width="9" style="428"/>
    <col min="8199" max="8199" width="9.33333333333333" style="428" customWidth="1"/>
    <col min="8200" max="8201" width="9" style="428"/>
    <col min="8202" max="8202" width="9.33333333333333" style="428" customWidth="1"/>
    <col min="8203" max="8203" width="4" style="428" customWidth="1"/>
    <col min="8204" max="8204" width="5.11111111111111" style="428" customWidth="1"/>
    <col min="8205" max="8205" width="13.7777777777778" style="428" customWidth="1"/>
    <col min="8206" max="8448" width="9" style="428"/>
    <col min="8449" max="8449" width="4.88888888888889" style="428" customWidth="1"/>
    <col min="8450" max="8450" width="13.2222222222222" style="428" customWidth="1"/>
    <col min="8451" max="8451" width="15.6666666666667" style="428" customWidth="1"/>
    <col min="8452" max="8452" width="9.33333333333333" style="428" customWidth="1"/>
    <col min="8453" max="8453" width="13.4444444444444" style="428" customWidth="1"/>
    <col min="8454" max="8454" width="9" style="428"/>
    <col min="8455" max="8455" width="9.33333333333333" style="428" customWidth="1"/>
    <col min="8456" max="8457" width="9" style="428"/>
    <col min="8458" max="8458" width="9.33333333333333" style="428" customWidth="1"/>
    <col min="8459" max="8459" width="4" style="428" customWidth="1"/>
    <col min="8460" max="8460" width="5.11111111111111" style="428" customWidth="1"/>
    <col min="8461" max="8461" width="13.7777777777778" style="428" customWidth="1"/>
    <col min="8462" max="8704" width="9" style="428"/>
    <col min="8705" max="8705" width="4.88888888888889" style="428" customWidth="1"/>
    <col min="8706" max="8706" width="13.2222222222222" style="428" customWidth="1"/>
    <col min="8707" max="8707" width="15.6666666666667" style="428" customWidth="1"/>
    <col min="8708" max="8708" width="9.33333333333333" style="428" customWidth="1"/>
    <col min="8709" max="8709" width="13.4444444444444" style="428" customWidth="1"/>
    <col min="8710" max="8710" width="9" style="428"/>
    <col min="8711" max="8711" width="9.33333333333333" style="428" customWidth="1"/>
    <col min="8712" max="8713" width="9" style="428"/>
    <col min="8714" max="8714" width="9.33333333333333" style="428" customWidth="1"/>
    <col min="8715" max="8715" width="4" style="428" customWidth="1"/>
    <col min="8716" max="8716" width="5.11111111111111" style="428" customWidth="1"/>
    <col min="8717" max="8717" width="13.7777777777778" style="428" customWidth="1"/>
    <col min="8718" max="8960" width="9" style="428"/>
    <col min="8961" max="8961" width="4.88888888888889" style="428" customWidth="1"/>
    <col min="8962" max="8962" width="13.2222222222222" style="428" customWidth="1"/>
    <col min="8963" max="8963" width="15.6666666666667" style="428" customWidth="1"/>
    <col min="8964" max="8964" width="9.33333333333333" style="428" customWidth="1"/>
    <col min="8965" max="8965" width="13.4444444444444" style="428" customWidth="1"/>
    <col min="8966" max="8966" width="9" style="428"/>
    <col min="8967" max="8967" width="9.33333333333333" style="428" customWidth="1"/>
    <col min="8968" max="8969" width="9" style="428"/>
    <col min="8970" max="8970" width="9.33333333333333" style="428" customWidth="1"/>
    <col min="8971" max="8971" width="4" style="428" customWidth="1"/>
    <col min="8972" max="8972" width="5.11111111111111" style="428" customWidth="1"/>
    <col min="8973" max="8973" width="13.7777777777778" style="428" customWidth="1"/>
    <col min="8974" max="9216" width="9" style="428"/>
    <col min="9217" max="9217" width="4.88888888888889" style="428" customWidth="1"/>
    <col min="9218" max="9218" width="13.2222222222222" style="428" customWidth="1"/>
    <col min="9219" max="9219" width="15.6666666666667" style="428" customWidth="1"/>
    <col min="9220" max="9220" width="9.33333333333333" style="428" customWidth="1"/>
    <col min="9221" max="9221" width="13.4444444444444" style="428" customWidth="1"/>
    <col min="9222" max="9222" width="9" style="428"/>
    <col min="9223" max="9223" width="9.33333333333333" style="428" customWidth="1"/>
    <col min="9224" max="9225" width="9" style="428"/>
    <col min="9226" max="9226" width="9.33333333333333" style="428" customWidth="1"/>
    <col min="9227" max="9227" width="4" style="428" customWidth="1"/>
    <col min="9228" max="9228" width="5.11111111111111" style="428" customWidth="1"/>
    <col min="9229" max="9229" width="13.7777777777778" style="428" customWidth="1"/>
    <col min="9230" max="9472" width="9" style="428"/>
    <col min="9473" max="9473" width="4.88888888888889" style="428" customWidth="1"/>
    <col min="9474" max="9474" width="13.2222222222222" style="428" customWidth="1"/>
    <col min="9475" max="9475" width="15.6666666666667" style="428" customWidth="1"/>
    <col min="9476" max="9476" width="9.33333333333333" style="428" customWidth="1"/>
    <col min="9477" max="9477" width="13.4444444444444" style="428" customWidth="1"/>
    <col min="9478" max="9478" width="9" style="428"/>
    <col min="9479" max="9479" width="9.33333333333333" style="428" customWidth="1"/>
    <col min="9480" max="9481" width="9" style="428"/>
    <col min="9482" max="9482" width="9.33333333333333" style="428" customWidth="1"/>
    <col min="9483" max="9483" width="4" style="428" customWidth="1"/>
    <col min="9484" max="9484" width="5.11111111111111" style="428" customWidth="1"/>
    <col min="9485" max="9485" width="13.7777777777778" style="428" customWidth="1"/>
    <col min="9486" max="9728" width="9" style="428"/>
    <col min="9729" max="9729" width="4.88888888888889" style="428" customWidth="1"/>
    <col min="9730" max="9730" width="13.2222222222222" style="428" customWidth="1"/>
    <col min="9731" max="9731" width="15.6666666666667" style="428" customWidth="1"/>
    <col min="9732" max="9732" width="9.33333333333333" style="428" customWidth="1"/>
    <col min="9733" max="9733" width="13.4444444444444" style="428" customWidth="1"/>
    <col min="9734" max="9734" width="9" style="428"/>
    <col min="9735" max="9735" width="9.33333333333333" style="428" customWidth="1"/>
    <col min="9736" max="9737" width="9" style="428"/>
    <col min="9738" max="9738" width="9.33333333333333" style="428" customWidth="1"/>
    <col min="9739" max="9739" width="4" style="428" customWidth="1"/>
    <col min="9740" max="9740" width="5.11111111111111" style="428" customWidth="1"/>
    <col min="9741" max="9741" width="13.7777777777778" style="428" customWidth="1"/>
    <col min="9742" max="9984" width="9" style="428"/>
    <col min="9985" max="9985" width="4.88888888888889" style="428" customWidth="1"/>
    <col min="9986" max="9986" width="13.2222222222222" style="428" customWidth="1"/>
    <col min="9987" max="9987" width="15.6666666666667" style="428" customWidth="1"/>
    <col min="9988" max="9988" width="9.33333333333333" style="428" customWidth="1"/>
    <col min="9989" max="9989" width="13.4444444444444" style="428" customWidth="1"/>
    <col min="9990" max="9990" width="9" style="428"/>
    <col min="9991" max="9991" width="9.33333333333333" style="428" customWidth="1"/>
    <col min="9992" max="9993" width="9" style="428"/>
    <col min="9994" max="9994" width="9.33333333333333" style="428" customWidth="1"/>
    <col min="9995" max="9995" width="4" style="428" customWidth="1"/>
    <col min="9996" max="9996" width="5.11111111111111" style="428" customWidth="1"/>
    <col min="9997" max="9997" width="13.7777777777778" style="428" customWidth="1"/>
    <col min="9998" max="10240" width="9" style="428"/>
    <col min="10241" max="10241" width="4.88888888888889" style="428" customWidth="1"/>
    <col min="10242" max="10242" width="13.2222222222222" style="428" customWidth="1"/>
    <col min="10243" max="10243" width="15.6666666666667" style="428" customWidth="1"/>
    <col min="10244" max="10244" width="9.33333333333333" style="428" customWidth="1"/>
    <col min="10245" max="10245" width="13.4444444444444" style="428" customWidth="1"/>
    <col min="10246" max="10246" width="9" style="428"/>
    <col min="10247" max="10247" width="9.33333333333333" style="428" customWidth="1"/>
    <col min="10248" max="10249" width="9" style="428"/>
    <col min="10250" max="10250" width="9.33333333333333" style="428" customWidth="1"/>
    <col min="10251" max="10251" width="4" style="428" customWidth="1"/>
    <col min="10252" max="10252" width="5.11111111111111" style="428" customWidth="1"/>
    <col min="10253" max="10253" width="13.7777777777778" style="428" customWidth="1"/>
    <col min="10254" max="10496" width="9" style="428"/>
    <col min="10497" max="10497" width="4.88888888888889" style="428" customWidth="1"/>
    <col min="10498" max="10498" width="13.2222222222222" style="428" customWidth="1"/>
    <col min="10499" max="10499" width="15.6666666666667" style="428" customWidth="1"/>
    <col min="10500" max="10500" width="9.33333333333333" style="428" customWidth="1"/>
    <col min="10501" max="10501" width="13.4444444444444" style="428" customWidth="1"/>
    <col min="10502" max="10502" width="9" style="428"/>
    <col min="10503" max="10503" width="9.33333333333333" style="428" customWidth="1"/>
    <col min="10504" max="10505" width="9" style="428"/>
    <col min="10506" max="10506" width="9.33333333333333" style="428" customWidth="1"/>
    <col min="10507" max="10507" width="4" style="428" customWidth="1"/>
    <col min="10508" max="10508" width="5.11111111111111" style="428" customWidth="1"/>
    <col min="10509" max="10509" width="13.7777777777778" style="428" customWidth="1"/>
    <col min="10510" max="10752" width="9" style="428"/>
    <col min="10753" max="10753" width="4.88888888888889" style="428" customWidth="1"/>
    <col min="10754" max="10754" width="13.2222222222222" style="428" customWidth="1"/>
    <col min="10755" max="10755" width="15.6666666666667" style="428" customWidth="1"/>
    <col min="10756" max="10756" width="9.33333333333333" style="428" customWidth="1"/>
    <col min="10757" max="10757" width="13.4444444444444" style="428" customWidth="1"/>
    <col min="10758" max="10758" width="9" style="428"/>
    <col min="10759" max="10759" width="9.33333333333333" style="428" customWidth="1"/>
    <col min="10760" max="10761" width="9" style="428"/>
    <col min="10762" max="10762" width="9.33333333333333" style="428" customWidth="1"/>
    <col min="10763" max="10763" width="4" style="428" customWidth="1"/>
    <col min="10764" max="10764" width="5.11111111111111" style="428" customWidth="1"/>
    <col min="10765" max="10765" width="13.7777777777778" style="428" customWidth="1"/>
    <col min="10766" max="11008" width="9" style="428"/>
    <col min="11009" max="11009" width="4.88888888888889" style="428" customWidth="1"/>
    <col min="11010" max="11010" width="13.2222222222222" style="428" customWidth="1"/>
    <col min="11011" max="11011" width="15.6666666666667" style="428" customWidth="1"/>
    <col min="11012" max="11012" width="9.33333333333333" style="428" customWidth="1"/>
    <col min="11013" max="11013" width="13.4444444444444" style="428" customWidth="1"/>
    <col min="11014" max="11014" width="9" style="428"/>
    <col min="11015" max="11015" width="9.33333333333333" style="428" customWidth="1"/>
    <col min="11016" max="11017" width="9" style="428"/>
    <col min="11018" max="11018" width="9.33333333333333" style="428" customWidth="1"/>
    <col min="11019" max="11019" width="4" style="428" customWidth="1"/>
    <col min="11020" max="11020" width="5.11111111111111" style="428" customWidth="1"/>
    <col min="11021" max="11021" width="13.7777777777778" style="428" customWidth="1"/>
    <col min="11022" max="11264" width="9" style="428"/>
    <col min="11265" max="11265" width="4.88888888888889" style="428" customWidth="1"/>
    <col min="11266" max="11266" width="13.2222222222222" style="428" customWidth="1"/>
    <col min="11267" max="11267" width="15.6666666666667" style="428" customWidth="1"/>
    <col min="11268" max="11268" width="9.33333333333333" style="428" customWidth="1"/>
    <col min="11269" max="11269" width="13.4444444444444" style="428" customWidth="1"/>
    <col min="11270" max="11270" width="9" style="428"/>
    <col min="11271" max="11271" width="9.33333333333333" style="428" customWidth="1"/>
    <col min="11272" max="11273" width="9" style="428"/>
    <col min="11274" max="11274" width="9.33333333333333" style="428" customWidth="1"/>
    <col min="11275" max="11275" width="4" style="428" customWidth="1"/>
    <col min="11276" max="11276" width="5.11111111111111" style="428" customWidth="1"/>
    <col min="11277" max="11277" width="13.7777777777778" style="428" customWidth="1"/>
    <col min="11278" max="11520" width="9" style="428"/>
    <col min="11521" max="11521" width="4.88888888888889" style="428" customWidth="1"/>
    <col min="11522" max="11522" width="13.2222222222222" style="428" customWidth="1"/>
    <col min="11523" max="11523" width="15.6666666666667" style="428" customWidth="1"/>
    <col min="11524" max="11524" width="9.33333333333333" style="428" customWidth="1"/>
    <col min="11525" max="11525" width="13.4444444444444" style="428" customWidth="1"/>
    <col min="11526" max="11526" width="9" style="428"/>
    <col min="11527" max="11527" width="9.33333333333333" style="428" customWidth="1"/>
    <col min="11528" max="11529" width="9" style="428"/>
    <col min="11530" max="11530" width="9.33333333333333" style="428" customWidth="1"/>
    <col min="11531" max="11531" width="4" style="428" customWidth="1"/>
    <col min="11532" max="11532" width="5.11111111111111" style="428" customWidth="1"/>
    <col min="11533" max="11533" width="13.7777777777778" style="428" customWidth="1"/>
    <col min="11534" max="11776" width="9" style="428"/>
    <col min="11777" max="11777" width="4.88888888888889" style="428" customWidth="1"/>
    <col min="11778" max="11778" width="13.2222222222222" style="428" customWidth="1"/>
    <col min="11779" max="11779" width="15.6666666666667" style="428" customWidth="1"/>
    <col min="11780" max="11780" width="9.33333333333333" style="428" customWidth="1"/>
    <col min="11781" max="11781" width="13.4444444444444" style="428" customWidth="1"/>
    <col min="11782" max="11782" width="9" style="428"/>
    <col min="11783" max="11783" width="9.33333333333333" style="428" customWidth="1"/>
    <col min="11784" max="11785" width="9" style="428"/>
    <col min="11786" max="11786" width="9.33333333333333" style="428" customWidth="1"/>
    <col min="11787" max="11787" width="4" style="428" customWidth="1"/>
    <col min="11788" max="11788" width="5.11111111111111" style="428" customWidth="1"/>
    <col min="11789" max="11789" width="13.7777777777778" style="428" customWidth="1"/>
    <col min="11790" max="12032" width="9" style="428"/>
    <col min="12033" max="12033" width="4.88888888888889" style="428" customWidth="1"/>
    <col min="12034" max="12034" width="13.2222222222222" style="428" customWidth="1"/>
    <col min="12035" max="12035" width="15.6666666666667" style="428" customWidth="1"/>
    <col min="12036" max="12036" width="9.33333333333333" style="428" customWidth="1"/>
    <col min="12037" max="12037" width="13.4444444444444" style="428" customWidth="1"/>
    <col min="12038" max="12038" width="9" style="428"/>
    <col min="12039" max="12039" width="9.33333333333333" style="428" customWidth="1"/>
    <col min="12040" max="12041" width="9" style="428"/>
    <col min="12042" max="12042" width="9.33333333333333" style="428" customWidth="1"/>
    <col min="12043" max="12043" width="4" style="428" customWidth="1"/>
    <col min="12044" max="12044" width="5.11111111111111" style="428" customWidth="1"/>
    <col min="12045" max="12045" width="13.7777777777778" style="428" customWidth="1"/>
    <col min="12046" max="12288" width="9" style="428"/>
    <col min="12289" max="12289" width="4.88888888888889" style="428" customWidth="1"/>
    <col min="12290" max="12290" width="13.2222222222222" style="428" customWidth="1"/>
    <col min="12291" max="12291" width="15.6666666666667" style="428" customWidth="1"/>
    <col min="12292" max="12292" width="9.33333333333333" style="428" customWidth="1"/>
    <col min="12293" max="12293" width="13.4444444444444" style="428" customWidth="1"/>
    <col min="12294" max="12294" width="9" style="428"/>
    <col min="12295" max="12295" width="9.33333333333333" style="428" customWidth="1"/>
    <col min="12296" max="12297" width="9" style="428"/>
    <col min="12298" max="12298" width="9.33333333333333" style="428" customWidth="1"/>
    <col min="12299" max="12299" width="4" style="428" customWidth="1"/>
    <col min="12300" max="12300" width="5.11111111111111" style="428" customWidth="1"/>
    <col min="12301" max="12301" width="13.7777777777778" style="428" customWidth="1"/>
    <col min="12302" max="12544" width="9" style="428"/>
    <col min="12545" max="12545" width="4.88888888888889" style="428" customWidth="1"/>
    <col min="12546" max="12546" width="13.2222222222222" style="428" customWidth="1"/>
    <col min="12547" max="12547" width="15.6666666666667" style="428" customWidth="1"/>
    <col min="12548" max="12548" width="9.33333333333333" style="428" customWidth="1"/>
    <col min="12549" max="12549" width="13.4444444444444" style="428" customWidth="1"/>
    <col min="12550" max="12550" width="9" style="428"/>
    <col min="12551" max="12551" width="9.33333333333333" style="428" customWidth="1"/>
    <col min="12552" max="12553" width="9" style="428"/>
    <col min="12554" max="12554" width="9.33333333333333" style="428" customWidth="1"/>
    <col min="12555" max="12555" width="4" style="428" customWidth="1"/>
    <col min="12556" max="12556" width="5.11111111111111" style="428" customWidth="1"/>
    <col min="12557" max="12557" width="13.7777777777778" style="428" customWidth="1"/>
    <col min="12558" max="12800" width="9" style="428"/>
    <col min="12801" max="12801" width="4.88888888888889" style="428" customWidth="1"/>
    <col min="12802" max="12802" width="13.2222222222222" style="428" customWidth="1"/>
    <col min="12803" max="12803" width="15.6666666666667" style="428" customWidth="1"/>
    <col min="12804" max="12804" width="9.33333333333333" style="428" customWidth="1"/>
    <col min="12805" max="12805" width="13.4444444444444" style="428" customWidth="1"/>
    <col min="12806" max="12806" width="9" style="428"/>
    <col min="12807" max="12807" width="9.33333333333333" style="428" customWidth="1"/>
    <col min="12808" max="12809" width="9" style="428"/>
    <col min="12810" max="12810" width="9.33333333333333" style="428" customWidth="1"/>
    <col min="12811" max="12811" width="4" style="428" customWidth="1"/>
    <col min="12812" max="12812" width="5.11111111111111" style="428" customWidth="1"/>
    <col min="12813" max="12813" width="13.7777777777778" style="428" customWidth="1"/>
    <col min="12814" max="13056" width="9" style="428"/>
    <col min="13057" max="13057" width="4.88888888888889" style="428" customWidth="1"/>
    <col min="13058" max="13058" width="13.2222222222222" style="428" customWidth="1"/>
    <col min="13059" max="13059" width="15.6666666666667" style="428" customWidth="1"/>
    <col min="13060" max="13060" width="9.33333333333333" style="428" customWidth="1"/>
    <col min="13061" max="13061" width="13.4444444444444" style="428" customWidth="1"/>
    <col min="13062" max="13062" width="9" style="428"/>
    <col min="13063" max="13063" width="9.33333333333333" style="428" customWidth="1"/>
    <col min="13064" max="13065" width="9" style="428"/>
    <col min="13066" max="13066" width="9.33333333333333" style="428" customWidth="1"/>
    <col min="13067" max="13067" width="4" style="428" customWidth="1"/>
    <col min="13068" max="13068" width="5.11111111111111" style="428" customWidth="1"/>
    <col min="13069" max="13069" width="13.7777777777778" style="428" customWidth="1"/>
    <col min="13070" max="13312" width="9" style="428"/>
    <col min="13313" max="13313" width="4.88888888888889" style="428" customWidth="1"/>
    <col min="13314" max="13314" width="13.2222222222222" style="428" customWidth="1"/>
    <col min="13315" max="13315" width="15.6666666666667" style="428" customWidth="1"/>
    <col min="13316" max="13316" width="9.33333333333333" style="428" customWidth="1"/>
    <col min="13317" max="13317" width="13.4444444444444" style="428" customWidth="1"/>
    <col min="13318" max="13318" width="9" style="428"/>
    <col min="13319" max="13319" width="9.33333333333333" style="428" customWidth="1"/>
    <col min="13320" max="13321" width="9" style="428"/>
    <col min="13322" max="13322" width="9.33333333333333" style="428" customWidth="1"/>
    <col min="13323" max="13323" width="4" style="428" customWidth="1"/>
    <col min="13324" max="13324" width="5.11111111111111" style="428" customWidth="1"/>
    <col min="13325" max="13325" width="13.7777777777778" style="428" customWidth="1"/>
    <col min="13326" max="13568" width="9" style="428"/>
    <col min="13569" max="13569" width="4.88888888888889" style="428" customWidth="1"/>
    <col min="13570" max="13570" width="13.2222222222222" style="428" customWidth="1"/>
    <col min="13571" max="13571" width="15.6666666666667" style="428" customWidth="1"/>
    <col min="13572" max="13572" width="9.33333333333333" style="428" customWidth="1"/>
    <col min="13573" max="13573" width="13.4444444444444" style="428" customWidth="1"/>
    <col min="13574" max="13574" width="9" style="428"/>
    <col min="13575" max="13575" width="9.33333333333333" style="428" customWidth="1"/>
    <col min="13576" max="13577" width="9" style="428"/>
    <col min="13578" max="13578" width="9.33333333333333" style="428" customWidth="1"/>
    <col min="13579" max="13579" width="4" style="428" customWidth="1"/>
    <col min="13580" max="13580" width="5.11111111111111" style="428" customWidth="1"/>
    <col min="13581" max="13581" width="13.7777777777778" style="428" customWidth="1"/>
    <col min="13582" max="13824" width="9" style="428"/>
    <col min="13825" max="13825" width="4.88888888888889" style="428" customWidth="1"/>
    <col min="13826" max="13826" width="13.2222222222222" style="428" customWidth="1"/>
    <col min="13827" max="13827" width="15.6666666666667" style="428" customWidth="1"/>
    <col min="13828" max="13828" width="9.33333333333333" style="428" customWidth="1"/>
    <col min="13829" max="13829" width="13.4444444444444" style="428" customWidth="1"/>
    <col min="13830" max="13830" width="9" style="428"/>
    <col min="13831" max="13831" width="9.33333333333333" style="428" customWidth="1"/>
    <col min="13832" max="13833" width="9" style="428"/>
    <col min="13834" max="13834" width="9.33333333333333" style="428" customWidth="1"/>
    <col min="13835" max="13835" width="4" style="428" customWidth="1"/>
    <col min="13836" max="13836" width="5.11111111111111" style="428" customWidth="1"/>
    <col min="13837" max="13837" width="13.7777777777778" style="428" customWidth="1"/>
    <col min="13838" max="14080" width="9" style="428"/>
    <col min="14081" max="14081" width="4.88888888888889" style="428" customWidth="1"/>
    <col min="14082" max="14082" width="13.2222222222222" style="428" customWidth="1"/>
    <col min="14083" max="14083" width="15.6666666666667" style="428" customWidth="1"/>
    <col min="14084" max="14084" width="9.33333333333333" style="428" customWidth="1"/>
    <col min="14085" max="14085" width="13.4444444444444" style="428" customWidth="1"/>
    <col min="14086" max="14086" width="9" style="428"/>
    <col min="14087" max="14087" width="9.33333333333333" style="428" customWidth="1"/>
    <col min="14088" max="14089" width="9" style="428"/>
    <col min="14090" max="14090" width="9.33333333333333" style="428" customWidth="1"/>
    <col min="14091" max="14091" width="4" style="428" customWidth="1"/>
    <col min="14092" max="14092" width="5.11111111111111" style="428" customWidth="1"/>
    <col min="14093" max="14093" width="13.7777777777778" style="428" customWidth="1"/>
    <col min="14094" max="14336" width="9" style="428"/>
    <col min="14337" max="14337" width="4.88888888888889" style="428" customWidth="1"/>
    <col min="14338" max="14338" width="13.2222222222222" style="428" customWidth="1"/>
    <col min="14339" max="14339" width="15.6666666666667" style="428" customWidth="1"/>
    <col min="14340" max="14340" width="9.33333333333333" style="428" customWidth="1"/>
    <col min="14341" max="14341" width="13.4444444444444" style="428" customWidth="1"/>
    <col min="14342" max="14342" width="9" style="428"/>
    <col min="14343" max="14343" width="9.33333333333333" style="428" customWidth="1"/>
    <col min="14344" max="14345" width="9" style="428"/>
    <col min="14346" max="14346" width="9.33333333333333" style="428" customWidth="1"/>
    <col min="14347" max="14347" width="4" style="428" customWidth="1"/>
    <col min="14348" max="14348" width="5.11111111111111" style="428" customWidth="1"/>
    <col min="14349" max="14349" width="13.7777777777778" style="428" customWidth="1"/>
    <col min="14350" max="14592" width="9" style="428"/>
    <col min="14593" max="14593" width="4.88888888888889" style="428" customWidth="1"/>
    <col min="14594" max="14594" width="13.2222222222222" style="428" customWidth="1"/>
    <col min="14595" max="14595" width="15.6666666666667" style="428" customWidth="1"/>
    <col min="14596" max="14596" width="9.33333333333333" style="428" customWidth="1"/>
    <col min="14597" max="14597" width="13.4444444444444" style="428" customWidth="1"/>
    <col min="14598" max="14598" width="9" style="428"/>
    <col min="14599" max="14599" width="9.33333333333333" style="428" customWidth="1"/>
    <col min="14600" max="14601" width="9" style="428"/>
    <col min="14602" max="14602" width="9.33333333333333" style="428" customWidth="1"/>
    <col min="14603" max="14603" width="4" style="428" customWidth="1"/>
    <col min="14604" max="14604" width="5.11111111111111" style="428" customWidth="1"/>
    <col min="14605" max="14605" width="13.7777777777778" style="428" customWidth="1"/>
    <col min="14606" max="14848" width="9" style="428"/>
    <col min="14849" max="14849" width="4.88888888888889" style="428" customWidth="1"/>
    <col min="14850" max="14850" width="13.2222222222222" style="428" customWidth="1"/>
    <col min="14851" max="14851" width="15.6666666666667" style="428" customWidth="1"/>
    <col min="14852" max="14852" width="9.33333333333333" style="428" customWidth="1"/>
    <col min="14853" max="14853" width="13.4444444444444" style="428" customWidth="1"/>
    <col min="14854" max="14854" width="9" style="428"/>
    <col min="14855" max="14855" width="9.33333333333333" style="428" customWidth="1"/>
    <col min="14856" max="14857" width="9" style="428"/>
    <col min="14858" max="14858" width="9.33333333333333" style="428" customWidth="1"/>
    <col min="14859" max="14859" width="4" style="428" customWidth="1"/>
    <col min="14860" max="14860" width="5.11111111111111" style="428" customWidth="1"/>
    <col min="14861" max="14861" width="13.7777777777778" style="428" customWidth="1"/>
    <col min="14862" max="15104" width="9" style="428"/>
    <col min="15105" max="15105" width="4.88888888888889" style="428" customWidth="1"/>
    <col min="15106" max="15106" width="13.2222222222222" style="428" customWidth="1"/>
    <col min="15107" max="15107" width="15.6666666666667" style="428" customWidth="1"/>
    <col min="15108" max="15108" width="9.33333333333333" style="428" customWidth="1"/>
    <col min="15109" max="15109" width="13.4444444444444" style="428" customWidth="1"/>
    <col min="15110" max="15110" width="9" style="428"/>
    <col min="15111" max="15111" width="9.33333333333333" style="428" customWidth="1"/>
    <col min="15112" max="15113" width="9" style="428"/>
    <col min="15114" max="15114" width="9.33333333333333" style="428" customWidth="1"/>
    <col min="15115" max="15115" width="4" style="428" customWidth="1"/>
    <col min="15116" max="15116" width="5.11111111111111" style="428" customWidth="1"/>
    <col min="15117" max="15117" width="13.7777777777778" style="428" customWidth="1"/>
    <col min="15118" max="15360" width="9" style="428"/>
    <col min="15361" max="15361" width="4.88888888888889" style="428" customWidth="1"/>
    <col min="15362" max="15362" width="13.2222222222222" style="428" customWidth="1"/>
    <col min="15363" max="15363" width="15.6666666666667" style="428" customWidth="1"/>
    <col min="15364" max="15364" width="9.33333333333333" style="428" customWidth="1"/>
    <col min="15365" max="15365" width="13.4444444444444" style="428" customWidth="1"/>
    <col min="15366" max="15366" width="9" style="428"/>
    <col min="15367" max="15367" width="9.33333333333333" style="428" customWidth="1"/>
    <col min="15368" max="15369" width="9" style="428"/>
    <col min="15370" max="15370" width="9.33333333333333" style="428" customWidth="1"/>
    <col min="15371" max="15371" width="4" style="428" customWidth="1"/>
    <col min="15372" max="15372" width="5.11111111111111" style="428" customWidth="1"/>
    <col min="15373" max="15373" width="13.7777777777778" style="428" customWidth="1"/>
    <col min="15374" max="15616" width="9" style="428"/>
    <col min="15617" max="15617" width="4.88888888888889" style="428" customWidth="1"/>
    <col min="15618" max="15618" width="13.2222222222222" style="428" customWidth="1"/>
    <col min="15619" max="15619" width="15.6666666666667" style="428" customWidth="1"/>
    <col min="15620" max="15620" width="9.33333333333333" style="428" customWidth="1"/>
    <col min="15621" max="15621" width="13.4444444444444" style="428" customWidth="1"/>
    <col min="15622" max="15622" width="9" style="428"/>
    <col min="15623" max="15623" width="9.33333333333333" style="428" customWidth="1"/>
    <col min="15624" max="15625" width="9" style="428"/>
    <col min="15626" max="15626" width="9.33333333333333" style="428" customWidth="1"/>
    <col min="15627" max="15627" width="4" style="428" customWidth="1"/>
    <col min="15628" max="15628" width="5.11111111111111" style="428" customWidth="1"/>
    <col min="15629" max="15629" width="13.7777777777778" style="428" customWidth="1"/>
    <col min="15630" max="15872" width="9" style="428"/>
    <col min="15873" max="15873" width="4.88888888888889" style="428" customWidth="1"/>
    <col min="15874" max="15874" width="13.2222222222222" style="428" customWidth="1"/>
    <col min="15875" max="15875" width="15.6666666666667" style="428" customWidth="1"/>
    <col min="15876" max="15876" width="9.33333333333333" style="428" customWidth="1"/>
    <col min="15877" max="15877" width="13.4444444444444" style="428" customWidth="1"/>
    <col min="15878" max="15878" width="9" style="428"/>
    <col min="15879" max="15879" width="9.33333333333333" style="428" customWidth="1"/>
    <col min="15880" max="15881" width="9" style="428"/>
    <col min="15882" max="15882" width="9.33333333333333" style="428" customWidth="1"/>
    <col min="15883" max="15883" width="4" style="428" customWidth="1"/>
    <col min="15884" max="15884" width="5.11111111111111" style="428" customWidth="1"/>
    <col min="15885" max="15885" width="13.7777777777778" style="428" customWidth="1"/>
    <col min="15886" max="16128" width="9" style="428"/>
    <col min="16129" max="16129" width="4.88888888888889" style="428" customWidth="1"/>
    <col min="16130" max="16130" width="13.2222222222222" style="428" customWidth="1"/>
    <col min="16131" max="16131" width="15.6666666666667" style="428" customWidth="1"/>
    <col min="16132" max="16132" width="9.33333333333333" style="428" customWidth="1"/>
    <col min="16133" max="16133" width="13.4444444444444" style="428" customWidth="1"/>
    <col min="16134" max="16134" width="9" style="428"/>
    <col min="16135" max="16135" width="9.33333333333333" style="428" customWidth="1"/>
    <col min="16136" max="16137" width="9" style="428"/>
    <col min="16138" max="16138" width="9.33333333333333" style="428" customWidth="1"/>
    <col min="16139" max="16139" width="4" style="428" customWidth="1"/>
    <col min="16140" max="16140" width="5.11111111111111" style="428" customWidth="1"/>
    <col min="16141" max="16141" width="13.7777777777778" style="428" customWidth="1"/>
    <col min="16142" max="16384" width="9" style="428"/>
  </cols>
  <sheetData>
    <row r="1" s="424" customFormat="1" ht="15.15" spans="1:257">
      <c r="A1" s="429"/>
      <c r="B1" s="430" t="s">
        <v>2603</v>
      </c>
      <c r="C1" s="431">
        <f>项目基本情况!D3</f>
        <v>44802</v>
      </c>
      <c r="D1" s="430" t="s">
        <v>2604</v>
      </c>
      <c r="E1" s="432">
        <f>'数据-取费表'!B22</f>
        <v>1.5</v>
      </c>
      <c r="F1" s="430" t="s">
        <v>2605</v>
      </c>
      <c r="G1" s="433">
        <f ca="1">INDIRECT("d"&amp;$K$1)/100</f>
        <v>0.0365</v>
      </c>
      <c r="H1" s="430" t="s">
        <v>2606</v>
      </c>
      <c r="I1" s="433">
        <f ca="1">F4/100</f>
        <v>0.015</v>
      </c>
      <c r="J1" s="482">
        <f>IF(C1&gt;C13,0,MATCH(C1,C$13:C$109,-1))+IF(SUMIF(C13:C109,C1,D13:D109)=0,13,12)</f>
        <v>13</v>
      </c>
      <c r="K1" s="482">
        <f ca="1">MATCH(E1,C3:C7,1)+IF(SUMIF(C3:C7,E1,D3:D7)=0,2,1)</f>
        <v>5</v>
      </c>
      <c r="L1" s="482">
        <f>IF(C1&gt;M13,0,MATCH(C1,M$13:M$100,-1))+IF(SUMIF(M13:M100,C1,N13:N100)=0,13,12)</f>
        <v>13</v>
      </c>
      <c r="M1" s="429"/>
      <c r="N1" s="429"/>
      <c r="O1" s="429"/>
      <c r="P1" s="429"/>
      <c r="Q1" s="429"/>
      <c r="R1" s="429"/>
      <c r="S1" s="429"/>
      <c r="T1" s="429"/>
      <c r="U1" s="429"/>
      <c r="V1" s="429"/>
      <c r="W1" s="429"/>
      <c r="X1" s="429"/>
      <c r="Y1" s="429"/>
      <c r="Z1" s="429"/>
      <c r="AA1" s="486"/>
      <c r="AB1" s="486"/>
      <c r="AC1" s="486"/>
      <c r="AD1" s="486"/>
      <c r="AE1" s="486"/>
      <c r="AF1" s="486"/>
      <c r="AG1" s="486"/>
      <c r="AH1" s="486"/>
      <c r="AI1" s="486"/>
      <c r="AJ1" s="486"/>
      <c r="AK1" s="486"/>
      <c r="AL1" s="486"/>
      <c r="AM1" s="486"/>
      <c r="AN1" s="486"/>
      <c r="AO1" s="486"/>
      <c r="AP1" s="486"/>
      <c r="AQ1" s="486"/>
      <c r="AR1" s="486"/>
      <c r="AS1" s="486"/>
      <c r="AT1" s="486"/>
      <c r="AU1" s="486"/>
      <c r="AV1" s="486"/>
      <c r="AW1" s="486"/>
      <c r="AX1" s="486"/>
      <c r="AY1" s="486"/>
      <c r="AZ1" s="486"/>
      <c r="BA1" s="486"/>
      <c r="BB1" s="486"/>
      <c r="BC1" s="486"/>
      <c r="BD1" s="486"/>
      <c r="BE1" s="486"/>
      <c r="BF1" s="486"/>
      <c r="BG1" s="486"/>
      <c r="BH1" s="486"/>
      <c r="BI1" s="486"/>
      <c r="BJ1" s="486"/>
      <c r="BK1" s="486"/>
      <c r="BL1" s="486"/>
      <c r="BM1" s="486"/>
      <c r="BN1" s="486"/>
      <c r="BO1" s="486"/>
      <c r="BP1" s="486"/>
      <c r="BQ1" s="486"/>
      <c r="BR1" s="486"/>
      <c r="BS1" s="486"/>
      <c r="BT1" s="486"/>
      <c r="BU1" s="486"/>
      <c r="BV1" s="486"/>
      <c r="BW1" s="486"/>
      <c r="BX1" s="486"/>
      <c r="BY1" s="486"/>
      <c r="BZ1" s="486"/>
      <c r="CA1" s="486"/>
      <c r="CB1" s="486"/>
      <c r="CC1" s="486"/>
      <c r="CD1" s="486"/>
      <c r="CE1" s="486"/>
      <c r="CF1" s="486"/>
      <c r="CG1" s="486"/>
      <c r="CH1" s="486"/>
      <c r="CI1" s="486"/>
      <c r="CJ1" s="486"/>
      <c r="CK1" s="486"/>
      <c r="CL1" s="486"/>
      <c r="CM1" s="486"/>
      <c r="CN1" s="486"/>
      <c r="CO1" s="486"/>
      <c r="CP1" s="486"/>
      <c r="CQ1" s="486"/>
      <c r="CR1" s="486"/>
      <c r="CS1" s="486"/>
      <c r="CT1" s="486"/>
      <c r="CU1" s="486"/>
      <c r="CV1" s="486"/>
      <c r="CW1" s="486"/>
      <c r="CX1" s="486"/>
      <c r="CY1" s="486"/>
      <c r="CZ1" s="486"/>
      <c r="DA1" s="486"/>
      <c r="DB1" s="486"/>
      <c r="DC1" s="486"/>
      <c r="DD1" s="486"/>
      <c r="DE1" s="486"/>
      <c r="DF1" s="486"/>
      <c r="DG1" s="486"/>
      <c r="DH1" s="486"/>
      <c r="DI1" s="486"/>
      <c r="DJ1" s="486"/>
      <c r="DK1" s="486"/>
      <c r="DL1" s="486"/>
      <c r="DM1" s="486"/>
      <c r="DN1" s="486"/>
      <c r="DO1" s="486"/>
      <c r="DP1" s="486"/>
      <c r="DQ1" s="486"/>
      <c r="DR1" s="486"/>
      <c r="DS1" s="486"/>
      <c r="DT1" s="486"/>
      <c r="DU1" s="486"/>
      <c r="DV1" s="486"/>
      <c r="DW1" s="486"/>
      <c r="DX1" s="486"/>
      <c r="DY1" s="486"/>
      <c r="DZ1" s="486"/>
      <c r="EA1" s="486"/>
      <c r="EB1" s="486"/>
      <c r="EC1" s="486"/>
      <c r="ED1" s="486"/>
      <c r="EE1" s="486"/>
      <c r="EF1" s="486"/>
      <c r="EG1" s="486"/>
      <c r="EH1" s="486"/>
      <c r="EI1" s="486"/>
      <c r="EJ1" s="486"/>
      <c r="EK1" s="486"/>
      <c r="EL1" s="486"/>
      <c r="EM1" s="486"/>
      <c r="EN1" s="486"/>
      <c r="EO1" s="486"/>
      <c r="EP1" s="486"/>
      <c r="EQ1" s="486"/>
      <c r="ER1" s="486"/>
      <c r="ES1" s="486"/>
      <c r="ET1" s="486"/>
      <c r="EU1" s="486"/>
      <c r="EV1" s="486"/>
      <c r="EW1" s="486"/>
      <c r="EX1" s="486"/>
      <c r="EY1" s="486"/>
      <c r="EZ1" s="486"/>
      <c r="FA1" s="486"/>
      <c r="FB1" s="486"/>
      <c r="FC1" s="486"/>
      <c r="FD1" s="486"/>
      <c r="FE1" s="486"/>
      <c r="FF1" s="486"/>
      <c r="FG1" s="486"/>
      <c r="FH1" s="486"/>
      <c r="FI1" s="486"/>
      <c r="FJ1" s="486"/>
      <c r="FK1" s="486"/>
      <c r="FL1" s="486"/>
      <c r="FM1" s="486"/>
      <c r="FN1" s="486"/>
      <c r="FO1" s="486"/>
      <c r="FP1" s="486"/>
      <c r="FQ1" s="486"/>
      <c r="FR1" s="486"/>
      <c r="FS1" s="486"/>
      <c r="FT1" s="486"/>
      <c r="FU1" s="486"/>
      <c r="FV1" s="486"/>
      <c r="FW1" s="486"/>
      <c r="FX1" s="486"/>
      <c r="FY1" s="486"/>
      <c r="FZ1" s="486"/>
      <c r="GA1" s="486"/>
      <c r="GB1" s="486"/>
      <c r="GC1" s="486"/>
      <c r="GD1" s="486"/>
      <c r="GE1" s="486"/>
      <c r="GF1" s="486"/>
      <c r="GG1" s="486"/>
      <c r="GH1" s="486"/>
      <c r="GI1" s="486"/>
      <c r="GJ1" s="486"/>
      <c r="GK1" s="486"/>
      <c r="GL1" s="486"/>
      <c r="GM1" s="486"/>
      <c r="GN1" s="486"/>
      <c r="GO1" s="486"/>
      <c r="GP1" s="486"/>
      <c r="GQ1" s="486"/>
      <c r="GR1" s="486"/>
      <c r="GS1" s="486"/>
      <c r="GT1" s="486"/>
      <c r="GU1" s="486"/>
      <c r="GV1" s="486"/>
      <c r="GW1" s="486"/>
      <c r="GX1" s="486"/>
      <c r="GY1" s="486"/>
      <c r="GZ1" s="486"/>
      <c r="HA1" s="486"/>
      <c r="HB1" s="486"/>
      <c r="HC1" s="486"/>
      <c r="HD1" s="486"/>
      <c r="HE1" s="486"/>
      <c r="HF1" s="486"/>
      <c r="HG1" s="486"/>
      <c r="HH1" s="486"/>
      <c r="HI1" s="486"/>
      <c r="HJ1" s="486"/>
      <c r="HK1" s="486"/>
      <c r="HL1" s="486"/>
      <c r="HM1" s="486"/>
      <c r="HN1" s="486"/>
      <c r="HO1" s="486"/>
      <c r="HP1" s="486"/>
      <c r="HQ1" s="486"/>
      <c r="HR1" s="486"/>
      <c r="HS1" s="486"/>
      <c r="HT1" s="486"/>
      <c r="HU1" s="486"/>
      <c r="HV1" s="486"/>
      <c r="HW1" s="486"/>
      <c r="HX1" s="486"/>
      <c r="HY1" s="486"/>
      <c r="HZ1" s="486"/>
      <c r="IA1" s="486"/>
      <c r="IB1" s="486"/>
      <c r="IC1" s="486"/>
      <c r="ID1" s="486"/>
      <c r="IE1" s="486"/>
      <c r="IF1" s="486"/>
      <c r="IG1" s="486"/>
      <c r="IH1" s="486"/>
      <c r="II1" s="486"/>
      <c r="IJ1" s="486"/>
      <c r="IK1" s="486"/>
      <c r="IL1" s="486"/>
      <c r="IM1" s="486"/>
      <c r="IN1" s="486"/>
      <c r="IO1" s="486"/>
      <c r="IP1" s="486"/>
      <c r="IQ1" s="486"/>
      <c r="IR1" s="486"/>
      <c r="IS1" s="486"/>
      <c r="IT1" s="486"/>
      <c r="IU1" s="486"/>
      <c r="IV1" s="486"/>
      <c r="IW1" s="492"/>
    </row>
    <row r="2" ht="15.9" spans="1:257">
      <c r="A2" s="434"/>
      <c r="B2" s="434"/>
      <c r="C2" s="434"/>
      <c r="D2" s="434" t="s">
        <v>2605</v>
      </c>
      <c r="E2" s="434"/>
      <c r="F2" s="434" t="s">
        <v>2607</v>
      </c>
      <c r="G2" s="435"/>
      <c r="H2" s="434"/>
      <c r="I2" s="434"/>
      <c r="J2" s="434"/>
      <c r="K2" s="434"/>
      <c r="L2" s="434"/>
      <c r="M2" s="434"/>
      <c r="N2" s="434"/>
      <c r="O2" s="434"/>
      <c r="P2" s="434"/>
      <c r="Q2" s="434"/>
      <c r="R2" s="434"/>
      <c r="S2" s="434"/>
      <c r="T2" s="434"/>
      <c r="U2" s="434"/>
      <c r="V2" s="434"/>
      <c r="W2" s="434"/>
      <c r="X2" s="434"/>
      <c r="Y2" s="434"/>
      <c r="Z2" s="434"/>
      <c r="AA2" s="434"/>
      <c r="AB2" s="434"/>
      <c r="AC2" s="434"/>
      <c r="AD2" s="434"/>
      <c r="AE2" s="434"/>
      <c r="AF2" s="434"/>
      <c r="AG2" s="434"/>
      <c r="AH2" s="434"/>
      <c r="AI2" s="434"/>
      <c r="AJ2" s="434"/>
      <c r="AK2" s="434"/>
      <c r="AL2" s="434"/>
      <c r="AM2" s="434"/>
      <c r="AN2" s="434"/>
      <c r="AO2" s="434"/>
      <c r="AP2" s="434"/>
      <c r="AQ2" s="434"/>
      <c r="AR2" s="434"/>
      <c r="AS2" s="434"/>
      <c r="AT2" s="434"/>
      <c r="AU2" s="434"/>
      <c r="AV2" s="434"/>
      <c r="AW2" s="434"/>
      <c r="AX2" s="434"/>
      <c r="AY2" s="434"/>
      <c r="AZ2" s="434"/>
      <c r="BA2" s="434"/>
      <c r="BB2" s="434"/>
      <c r="BC2" s="434"/>
      <c r="BD2" s="434"/>
      <c r="BE2" s="434"/>
      <c r="BF2" s="434"/>
      <c r="BG2" s="434"/>
      <c r="BH2" s="434"/>
      <c r="BI2" s="434"/>
      <c r="BJ2" s="434"/>
      <c r="BK2" s="434"/>
      <c r="BL2" s="434"/>
      <c r="BM2" s="434"/>
      <c r="BN2" s="434"/>
      <c r="BO2" s="434"/>
      <c r="BP2" s="434"/>
      <c r="BQ2" s="434"/>
      <c r="BR2" s="434"/>
      <c r="BS2" s="434"/>
      <c r="BT2" s="434"/>
      <c r="BU2" s="434"/>
      <c r="BV2" s="434"/>
      <c r="BW2" s="434"/>
      <c r="BX2" s="434"/>
      <c r="BY2" s="434"/>
      <c r="BZ2" s="434"/>
      <c r="CA2" s="434"/>
      <c r="CB2" s="434"/>
      <c r="CC2" s="434"/>
      <c r="CD2" s="434"/>
      <c r="CE2" s="434"/>
      <c r="CF2" s="434"/>
      <c r="CG2" s="434"/>
      <c r="CH2" s="434"/>
      <c r="CI2" s="434"/>
      <c r="CJ2" s="434"/>
      <c r="CK2" s="434"/>
      <c r="CL2" s="434"/>
      <c r="CM2" s="434"/>
      <c r="CN2" s="434"/>
      <c r="CO2" s="434"/>
      <c r="CP2" s="434"/>
      <c r="CQ2" s="434"/>
      <c r="CR2" s="434"/>
      <c r="CS2" s="434"/>
      <c r="CT2" s="434"/>
      <c r="CU2" s="434"/>
      <c r="CV2" s="434"/>
      <c r="CW2" s="434"/>
      <c r="CX2" s="434"/>
      <c r="CY2" s="434"/>
      <c r="CZ2" s="434"/>
      <c r="DA2" s="434"/>
      <c r="DB2" s="434"/>
      <c r="DC2" s="434"/>
      <c r="DD2" s="434"/>
      <c r="DE2" s="434"/>
      <c r="DF2" s="434"/>
      <c r="DG2" s="434"/>
      <c r="DH2" s="434"/>
      <c r="DI2" s="434"/>
      <c r="DJ2" s="434"/>
      <c r="DK2" s="434"/>
      <c r="DL2" s="434"/>
      <c r="DM2" s="434"/>
      <c r="DN2" s="434"/>
      <c r="DO2" s="434"/>
      <c r="DP2" s="434"/>
      <c r="DQ2" s="434"/>
      <c r="DR2" s="434"/>
      <c r="DS2" s="434"/>
      <c r="DT2" s="434"/>
      <c r="DU2" s="434"/>
      <c r="DV2" s="434"/>
      <c r="DW2" s="434"/>
      <c r="DX2" s="434"/>
      <c r="DY2" s="434"/>
      <c r="DZ2" s="434"/>
      <c r="EA2" s="434"/>
      <c r="EB2" s="434"/>
      <c r="EC2" s="434"/>
      <c r="ED2" s="434"/>
      <c r="EE2" s="434"/>
      <c r="EF2" s="434"/>
      <c r="EG2" s="434"/>
      <c r="EH2" s="434"/>
      <c r="EI2" s="434"/>
      <c r="EJ2" s="434"/>
      <c r="EK2" s="434"/>
      <c r="EL2" s="434"/>
      <c r="EM2" s="434"/>
      <c r="EN2" s="434"/>
      <c r="EO2" s="434"/>
      <c r="EP2" s="434"/>
      <c r="EQ2" s="434"/>
      <c r="ER2" s="434"/>
      <c r="ES2" s="434"/>
      <c r="ET2" s="434"/>
      <c r="EU2" s="434"/>
      <c r="EV2" s="434"/>
      <c r="EW2" s="434"/>
      <c r="EX2" s="434"/>
      <c r="EY2" s="434"/>
      <c r="EZ2" s="434"/>
      <c r="FA2" s="434"/>
      <c r="FB2" s="434"/>
      <c r="FC2" s="434"/>
      <c r="FD2" s="434"/>
      <c r="FE2" s="434"/>
      <c r="FF2" s="434"/>
      <c r="FG2" s="434"/>
      <c r="FH2" s="434"/>
      <c r="FI2" s="434"/>
      <c r="FJ2" s="434"/>
      <c r="FK2" s="434"/>
      <c r="FL2" s="434"/>
      <c r="FM2" s="434"/>
      <c r="FN2" s="434"/>
      <c r="FO2" s="434"/>
      <c r="FP2" s="434"/>
      <c r="FQ2" s="434"/>
      <c r="FR2" s="434"/>
      <c r="FS2" s="434"/>
      <c r="FT2" s="434"/>
      <c r="FU2" s="434"/>
      <c r="FV2" s="434"/>
      <c r="FW2" s="434"/>
      <c r="FX2" s="434"/>
      <c r="FY2" s="434"/>
      <c r="FZ2" s="434"/>
      <c r="GA2" s="434"/>
      <c r="GB2" s="434"/>
      <c r="GC2" s="434"/>
      <c r="GD2" s="434"/>
      <c r="GE2" s="434"/>
      <c r="GF2" s="434"/>
      <c r="GG2" s="434"/>
      <c r="GH2" s="434"/>
      <c r="GI2" s="434"/>
      <c r="GJ2" s="434"/>
      <c r="GK2" s="434"/>
      <c r="GL2" s="434"/>
      <c r="GM2" s="434"/>
      <c r="GN2" s="434"/>
      <c r="GO2" s="434"/>
      <c r="GP2" s="434"/>
      <c r="GQ2" s="434"/>
      <c r="GR2" s="434"/>
      <c r="GS2" s="434"/>
      <c r="GT2" s="434"/>
      <c r="GU2" s="434"/>
      <c r="GV2" s="434"/>
      <c r="GW2" s="434"/>
      <c r="GX2" s="434"/>
      <c r="GY2" s="434"/>
      <c r="GZ2" s="434"/>
      <c r="HA2" s="434"/>
      <c r="HB2" s="434"/>
      <c r="HC2" s="434"/>
      <c r="HD2" s="434"/>
      <c r="HE2" s="434"/>
      <c r="HF2" s="434"/>
      <c r="HG2" s="434"/>
      <c r="HH2" s="434"/>
      <c r="HI2" s="434"/>
      <c r="HJ2" s="434"/>
      <c r="HK2" s="434"/>
      <c r="HL2" s="434"/>
      <c r="HM2" s="434"/>
      <c r="HN2" s="434"/>
      <c r="HO2" s="434"/>
      <c r="HP2" s="434"/>
      <c r="HQ2" s="434"/>
      <c r="HR2" s="434"/>
      <c r="HS2" s="434"/>
      <c r="HT2" s="434"/>
      <c r="HU2" s="434"/>
      <c r="HV2" s="434"/>
      <c r="HW2" s="434"/>
      <c r="HX2" s="434"/>
      <c r="HY2" s="434"/>
      <c r="HZ2" s="434"/>
      <c r="IA2" s="434"/>
      <c r="IB2" s="434"/>
      <c r="IC2" s="434"/>
      <c r="ID2" s="434"/>
      <c r="IE2" s="434"/>
      <c r="IF2" s="434"/>
      <c r="IG2" s="434"/>
      <c r="IH2" s="434"/>
      <c r="II2" s="434"/>
      <c r="IJ2" s="434"/>
      <c r="IK2" s="434"/>
      <c r="IL2" s="434"/>
      <c r="IM2" s="434"/>
      <c r="IN2" s="434"/>
      <c r="IO2" s="434"/>
      <c r="IP2" s="434"/>
      <c r="IQ2" s="434"/>
      <c r="IR2" s="434"/>
      <c r="IS2" s="434"/>
      <c r="IT2" s="434"/>
      <c r="IU2" s="434"/>
      <c r="IV2" s="434"/>
      <c r="IW2" s="434"/>
    </row>
    <row r="3" spans="2:26">
      <c r="B3" s="436" t="s">
        <v>2608</v>
      </c>
      <c r="C3" s="437">
        <v>0</v>
      </c>
      <c r="D3" s="438">
        <f ca="1">INDIRECT("d"&amp;$J$1)</f>
        <v>3.65</v>
      </c>
      <c r="E3" s="439">
        <v>0.5</v>
      </c>
      <c r="F3" s="440">
        <f ca="1">INDIRECT("p"&amp;$L$1)</f>
        <v>1.3</v>
      </c>
      <c r="G3" s="426"/>
      <c r="H3" s="426"/>
      <c r="I3" s="426"/>
      <c r="J3" s="426"/>
      <c r="L3" s="426"/>
      <c r="M3" s="426"/>
      <c r="N3" s="426"/>
      <c r="O3" s="426"/>
      <c r="P3" s="426"/>
      <c r="Q3" s="426"/>
      <c r="R3" s="426"/>
      <c r="S3" s="426"/>
      <c r="T3" s="426"/>
      <c r="U3" s="426"/>
      <c r="V3" s="426"/>
      <c r="W3" s="426"/>
      <c r="X3" s="426"/>
      <c r="Y3" s="426"/>
      <c r="Z3" s="426"/>
    </row>
    <row r="4" spans="2:26">
      <c r="B4" s="441" t="s">
        <v>2609</v>
      </c>
      <c r="C4" s="442">
        <v>0.5</v>
      </c>
      <c r="D4" s="443">
        <f ca="1">INDIRECT("e"&amp;$J$1)</f>
        <v>3.65</v>
      </c>
      <c r="E4" s="444">
        <v>1</v>
      </c>
      <c r="F4" s="445">
        <f ca="1">INDIRECT("q"&amp;$L$1)</f>
        <v>1.5</v>
      </c>
      <c r="G4" s="426"/>
      <c r="H4" s="426"/>
      <c r="I4" s="426"/>
      <c r="J4" s="426"/>
      <c r="L4" s="426"/>
      <c r="M4" s="426"/>
      <c r="N4" s="426"/>
      <c r="O4" s="426"/>
      <c r="P4" s="426"/>
      <c r="Q4" s="426"/>
      <c r="R4" s="426"/>
      <c r="S4" s="426"/>
      <c r="T4" s="426"/>
      <c r="U4" s="426"/>
      <c r="V4" s="426"/>
      <c r="W4" s="426"/>
      <c r="X4" s="426"/>
      <c r="Y4" s="426"/>
      <c r="Z4" s="426"/>
    </row>
    <row r="5" spans="2:26">
      <c r="B5" s="441" t="s">
        <v>2610</v>
      </c>
      <c r="C5" s="442">
        <v>1</v>
      </c>
      <c r="D5" s="443">
        <f ca="1">INDIRECT("f"&amp;$J$1)</f>
        <v>3.65</v>
      </c>
      <c r="E5" s="444">
        <v>2</v>
      </c>
      <c r="F5" s="445">
        <f ca="1">INDIRECT("r"&amp;$L$1)</f>
        <v>2.1</v>
      </c>
      <c r="G5" s="426"/>
      <c r="H5" s="426"/>
      <c r="I5" s="426"/>
      <c r="J5" s="426"/>
      <c r="L5" s="426"/>
      <c r="M5" s="426"/>
      <c r="N5" s="426"/>
      <c r="O5" s="426"/>
      <c r="P5" s="426"/>
      <c r="Q5" s="426"/>
      <c r="R5" s="426"/>
      <c r="S5" s="426"/>
      <c r="T5" s="426"/>
      <c r="U5" s="426"/>
      <c r="V5" s="426"/>
      <c r="W5" s="426"/>
      <c r="X5" s="426"/>
      <c r="Y5" s="426"/>
      <c r="Z5" s="426"/>
    </row>
    <row r="6" spans="2:26">
      <c r="B6" s="441" t="s">
        <v>2611</v>
      </c>
      <c r="C6" s="442">
        <v>3</v>
      </c>
      <c r="D6" s="443">
        <f ca="1">INDIRECT("g"&amp;$J$1)</f>
        <v>3.65</v>
      </c>
      <c r="E6" s="444">
        <v>3</v>
      </c>
      <c r="F6" s="445">
        <f ca="1">INDIRECT("s"&amp;$L$1)</f>
        <v>2.75</v>
      </c>
      <c r="G6" s="426"/>
      <c r="H6" s="426"/>
      <c r="I6" s="426"/>
      <c r="J6" s="426"/>
      <c r="L6" s="426"/>
      <c r="M6" s="426"/>
      <c r="N6" s="426"/>
      <c r="O6" s="426"/>
      <c r="P6" s="426"/>
      <c r="Q6" s="426"/>
      <c r="R6" s="426"/>
      <c r="S6" s="426"/>
      <c r="T6" s="426"/>
      <c r="U6" s="426"/>
      <c r="V6" s="426"/>
      <c r="W6" s="426"/>
      <c r="X6" s="426"/>
      <c r="Y6" s="426"/>
      <c r="Z6" s="426"/>
    </row>
    <row r="7" ht="15.15" spans="2:26">
      <c r="B7" s="446" t="s">
        <v>2612</v>
      </c>
      <c r="C7" s="447">
        <v>5</v>
      </c>
      <c r="D7" s="448">
        <f ca="1">INDIRECT("h"&amp;$J$1)</f>
        <v>4.3</v>
      </c>
      <c r="E7" s="449">
        <v>5</v>
      </c>
      <c r="F7" s="450">
        <f ca="1">INDIRECT("t"&amp;$L$1)</f>
        <v>0</v>
      </c>
      <c r="G7" s="426"/>
      <c r="H7" s="426"/>
      <c r="I7" s="426"/>
      <c r="J7" s="426"/>
      <c r="L7" s="426"/>
      <c r="M7" s="426"/>
      <c r="N7" s="426"/>
      <c r="O7" s="426"/>
      <c r="P7" s="426"/>
      <c r="Q7" s="426"/>
      <c r="R7" s="426"/>
      <c r="S7" s="426"/>
      <c r="T7" s="426"/>
      <c r="U7" s="426"/>
      <c r="V7" s="426"/>
      <c r="W7" s="426"/>
      <c r="X7" s="426"/>
      <c r="Y7" s="426"/>
      <c r="Z7" s="426"/>
    </row>
    <row r="8" spans="1:26">
      <c r="A8" s="451"/>
      <c r="B8" s="452"/>
      <c r="C8" s="453"/>
      <c r="D8" s="426"/>
      <c r="E8" s="426"/>
      <c r="F8" s="426"/>
      <c r="G8" s="426"/>
      <c r="H8" s="426"/>
      <c r="I8" s="426"/>
      <c r="J8" s="426"/>
      <c r="L8" s="426"/>
      <c r="M8" s="426"/>
      <c r="N8" s="426"/>
      <c r="O8" s="426"/>
      <c r="P8" s="426"/>
      <c r="Q8" s="426"/>
      <c r="R8" s="426"/>
      <c r="S8" s="426"/>
      <c r="T8" s="426"/>
      <c r="U8" s="426"/>
      <c r="V8" s="426"/>
      <c r="W8" s="426"/>
      <c r="X8" s="426"/>
      <c r="Y8" s="426"/>
      <c r="Z8" s="426"/>
    </row>
    <row r="9" ht="20.4" spans="1:257">
      <c r="A9" s="454"/>
      <c r="B9" s="455" t="s">
        <v>2613</v>
      </c>
      <c r="C9" s="456"/>
      <c r="D9" s="457"/>
      <c r="E9" s="457"/>
      <c r="F9" s="457"/>
      <c r="G9" s="457"/>
      <c r="H9" s="457"/>
      <c r="I9" s="457"/>
      <c r="J9" s="457"/>
      <c r="K9" s="457"/>
      <c r="L9" s="457"/>
      <c r="M9" s="457"/>
      <c r="N9" s="457"/>
      <c r="O9" s="457"/>
      <c r="P9" s="457"/>
      <c r="Q9" s="457"/>
      <c r="R9" s="457"/>
      <c r="S9" s="457"/>
      <c r="T9" s="457"/>
      <c r="U9" s="457"/>
      <c r="V9" s="457"/>
      <c r="W9" s="457"/>
      <c r="X9" s="457"/>
      <c r="Y9" s="457"/>
      <c r="Z9" s="457"/>
      <c r="AA9" s="487"/>
      <c r="AB9" s="487"/>
      <c r="AC9" s="487"/>
      <c r="AD9" s="487"/>
      <c r="AE9" s="487"/>
      <c r="AF9" s="487"/>
      <c r="AG9" s="487"/>
      <c r="AH9" s="487"/>
      <c r="AI9" s="487"/>
      <c r="AJ9" s="487"/>
      <c r="AK9" s="487"/>
      <c r="AL9" s="487"/>
      <c r="AM9" s="487"/>
      <c r="AN9" s="487"/>
      <c r="AO9" s="487"/>
      <c r="AP9" s="487"/>
      <c r="AQ9" s="487"/>
      <c r="AR9" s="487"/>
      <c r="AS9" s="487"/>
      <c r="AT9" s="487"/>
      <c r="AU9" s="487"/>
      <c r="AV9" s="487"/>
      <c r="AW9" s="487"/>
      <c r="AX9" s="487"/>
      <c r="AY9" s="487"/>
      <c r="AZ9" s="487"/>
      <c r="BA9" s="487"/>
      <c r="BB9" s="487"/>
      <c r="BC9" s="487"/>
      <c r="BD9" s="487"/>
      <c r="BE9" s="487"/>
      <c r="BF9" s="487"/>
      <c r="BG9" s="487"/>
      <c r="BH9" s="487"/>
      <c r="BI9" s="487"/>
      <c r="BJ9" s="487"/>
      <c r="BK9" s="487"/>
      <c r="BL9" s="487"/>
      <c r="BM9" s="487"/>
      <c r="BN9" s="487"/>
      <c r="BO9" s="487"/>
      <c r="BP9" s="487"/>
      <c r="BQ9" s="487"/>
      <c r="BR9" s="487"/>
      <c r="BS9" s="487"/>
      <c r="BT9" s="487"/>
      <c r="BU9" s="487"/>
      <c r="BV9" s="487"/>
      <c r="BW9" s="487"/>
      <c r="BX9" s="487"/>
      <c r="BY9" s="487"/>
      <c r="BZ9" s="487"/>
      <c r="CA9" s="487"/>
      <c r="CB9" s="487"/>
      <c r="CC9" s="487"/>
      <c r="CD9" s="487"/>
      <c r="CE9" s="487"/>
      <c r="CF9" s="487"/>
      <c r="CG9" s="487"/>
      <c r="CH9" s="487"/>
      <c r="CI9" s="487"/>
      <c r="CJ9" s="487"/>
      <c r="CK9" s="487"/>
      <c r="CL9" s="487"/>
      <c r="CM9" s="487"/>
      <c r="CN9" s="487"/>
      <c r="CO9" s="487"/>
      <c r="CP9" s="487"/>
      <c r="CQ9" s="487"/>
      <c r="CR9" s="487"/>
      <c r="CS9" s="487"/>
      <c r="CT9" s="487"/>
      <c r="CU9" s="487"/>
      <c r="CV9" s="487"/>
      <c r="CW9" s="487"/>
      <c r="CX9" s="487"/>
      <c r="CY9" s="487"/>
      <c r="CZ9" s="487"/>
      <c r="DA9" s="487"/>
      <c r="DB9" s="487"/>
      <c r="DC9" s="487"/>
      <c r="DD9" s="487"/>
      <c r="DE9" s="487"/>
      <c r="DF9" s="487"/>
      <c r="DG9" s="487"/>
      <c r="DH9" s="487"/>
      <c r="DI9" s="487"/>
      <c r="DJ9" s="487"/>
      <c r="DK9" s="487"/>
      <c r="DL9" s="487"/>
      <c r="DM9" s="487"/>
      <c r="DN9" s="487"/>
      <c r="DO9" s="487"/>
      <c r="DP9" s="487"/>
      <c r="DQ9" s="487"/>
      <c r="DR9" s="487"/>
      <c r="DS9" s="487"/>
      <c r="DT9" s="487"/>
      <c r="DU9" s="487"/>
      <c r="DV9" s="487"/>
      <c r="DW9" s="487"/>
      <c r="DX9" s="487"/>
      <c r="DY9" s="487"/>
      <c r="DZ9" s="487"/>
      <c r="EA9" s="487"/>
      <c r="EB9" s="487"/>
      <c r="EC9" s="487"/>
      <c r="ED9" s="487"/>
      <c r="EE9" s="487"/>
      <c r="EF9" s="487"/>
      <c r="EG9" s="487"/>
      <c r="EH9" s="487"/>
      <c r="EI9" s="487"/>
      <c r="EJ9" s="487"/>
      <c r="EK9" s="487"/>
      <c r="EL9" s="487"/>
      <c r="EM9" s="487"/>
      <c r="EN9" s="487"/>
      <c r="EO9" s="487"/>
      <c r="EP9" s="487"/>
      <c r="EQ9" s="487"/>
      <c r="ER9" s="487"/>
      <c r="ES9" s="487"/>
      <c r="ET9" s="487"/>
      <c r="EU9" s="487"/>
      <c r="EV9" s="487"/>
      <c r="EW9" s="487"/>
      <c r="EX9" s="487"/>
      <c r="EY9" s="487"/>
      <c r="EZ9" s="487"/>
      <c r="FA9" s="487"/>
      <c r="FB9" s="487"/>
      <c r="FC9" s="487"/>
      <c r="FD9" s="487"/>
      <c r="FE9" s="487"/>
      <c r="FF9" s="487"/>
      <c r="FG9" s="487"/>
      <c r="FH9" s="487"/>
      <c r="FI9" s="487"/>
      <c r="FJ9" s="487"/>
      <c r="FK9" s="487"/>
      <c r="FL9" s="487"/>
      <c r="FM9" s="487"/>
      <c r="FN9" s="487"/>
      <c r="FO9" s="487"/>
      <c r="FP9" s="487"/>
      <c r="FQ9" s="487"/>
      <c r="FR9" s="487"/>
      <c r="FS9" s="487"/>
      <c r="FT9" s="487"/>
      <c r="FU9" s="487"/>
      <c r="FV9" s="487"/>
      <c r="FW9" s="487"/>
      <c r="FX9" s="487"/>
      <c r="FY9" s="487"/>
      <c r="FZ9" s="487"/>
      <c r="GA9" s="487"/>
      <c r="GB9" s="487"/>
      <c r="GC9" s="487"/>
      <c r="GD9" s="487"/>
      <c r="GE9" s="487"/>
      <c r="GF9" s="487"/>
      <c r="GG9" s="487"/>
      <c r="GH9" s="487"/>
      <c r="GI9" s="487"/>
      <c r="GJ9" s="487"/>
      <c r="GK9" s="487"/>
      <c r="GL9" s="487"/>
      <c r="GM9" s="487"/>
      <c r="GN9" s="487"/>
      <c r="GO9" s="487"/>
      <c r="GP9" s="487"/>
      <c r="GQ9" s="487"/>
      <c r="GR9" s="487"/>
      <c r="GS9" s="487"/>
      <c r="GT9" s="487"/>
      <c r="GU9" s="487"/>
      <c r="GV9" s="487"/>
      <c r="GW9" s="487"/>
      <c r="GX9" s="487"/>
      <c r="GY9" s="487"/>
      <c r="GZ9" s="487"/>
      <c r="HA9" s="487"/>
      <c r="HB9" s="487"/>
      <c r="HC9" s="487"/>
      <c r="HD9" s="487"/>
      <c r="HE9" s="487"/>
      <c r="HF9" s="487"/>
      <c r="HG9" s="487"/>
      <c r="HH9" s="487"/>
      <c r="HI9" s="487"/>
      <c r="HJ9" s="487"/>
      <c r="HK9" s="487"/>
      <c r="HL9" s="487"/>
      <c r="HM9" s="487"/>
      <c r="HN9" s="487"/>
      <c r="HO9" s="487"/>
      <c r="HP9" s="487"/>
      <c r="HQ9" s="487"/>
      <c r="HR9" s="487"/>
      <c r="HS9" s="487"/>
      <c r="HT9" s="487"/>
      <c r="HU9" s="487"/>
      <c r="HV9" s="487"/>
      <c r="HW9" s="487"/>
      <c r="HX9" s="487"/>
      <c r="HY9" s="487"/>
      <c r="HZ9" s="487"/>
      <c r="IA9" s="487"/>
      <c r="IB9" s="487"/>
      <c r="IC9" s="487"/>
      <c r="ID9" s="487"/>
      <c r="IE9" s="487"/>
      <c r="IF9" s="487"/>
      <c r="IG9" s="487"/>
      <c r="IH9" s="487"/>
      <c r="II9" s="487"/>
      <c r="IJ9" s="487"/>
      <c r="IK9" s="487"/>
      <c r="IL9" s="487"/>
      <c r="IM9" s="487"/>
      <c r="IN9" s="487"/>
      <c r="IO9" s="487"/>
      <c r="IP9" s="487"/>
      <c r="IQ9" s="487"/>
      <c r="IR9" s="487"/>
      <c r="IS9" s="487"/>
      <c r="IT9" s="487"/>
      <c r="IU9" s="487"/>
      <c r="IV9" s="487"/>
      <c r="IW9" s="493"/>
    </row>
    <row r="10" ht="22.2" spans="1:256">
      <c r="A10" s="458"/>
      <c r="B10" s="459" t="s">
        <v>2614</v>
      </c>
      <c r="C10" s="458"/>
      <c r="D10" s="458"/>
      <c r="E10" s="458"/>
      <c r="F10" s="458"/>
      <c r="G10" s="458"/>
      <c r="H10" s="458"/>
      <c r="I10" s="426"/>
      <c r="J10" s="426"/>
      <c r="K10" s="458"/>
      <c r="L10" s="459" t="s">
        <v>2615</v>
      </c>
      <c r="M10" s="458"/>
      <c r="N10" s="458"/>
      <c r="O10" s="458"/>
      <c r="P10" s="458"/>
      <c r="Q10" s="458"/>
      <c r="R10" s="458"/>
      <c r="S10" s="458"/>
      <c r="T10" s="458"/>
      <c r="U10" s="458"/>
      <c r="V10" s="458"/>
      <c r="W10" s="458"/>
      <c r="X10" s="458"/>
      <c r="Y10" s="458"/>
      <c r="Z10" s="458"/>
      <c r="AA10" s="488"/>
      <c r="AB10" s="488"/>
      <c r="AC10" s="488"/>
      <c r="AD10" s="488"/>
      <c r="AE10" s="488"/>
      <c r="AF10" s="488"/>
      <c r="AG10" s="488"/>
      <c r="AH10" s="488"/>
      <c r="AI10" s="488"/>
      <c r="AJ10" s="488"/>
      <c r="AK10" s="488"/>
      <c r="AL10" s="488"/>
      <c r="AM10" s="488"/>
      <c r="AN10" s="488"/>
      <c r="AO10" s="488"/>
      <c r="AP10" s="488"/>
      <c r="AQ10" s="488"/>
      <c r="AR10" s="488"/>
      <c r="AS10" s="488"/>
      <c r="AT10" s="488"/>
      <c r="AU10" s="488"/>
      <c r="AV10" s="488"/>
      <c r="AW10" s="488"/>
      <c r="AX10" s="488"/>
      <c r="AY10" s="488"/>
      <c r="AZ10" s="488"/>
      <c r="BA10" s="488"/>
      <c r="BB10" s="488"/>
      <c r="BC10" s="488"/>
      <c r="BD10" s="488"/>
      <c r="BE10" s="488"/>
      <c r="BF10" s="488"/>
      <c r="BG10" s="488"/>
      <c r="BH10" s="488"/>
      <c r="BI10" s="488"/>
      <c r="BJ10" s="488"/>
      <c r="BK10" s="488"/>
      <c r="BL10" s="488"/>
      <c r="BM10" s="488"/>
      <c r="BN10" s="488"/>
      <c r="BO10" s="488"/>
      <c r="BP10" s="488"/>
      <c r="BQ10" s="488"/>
      <c r="BR10" s="488"/>
      <c r="BS10" s="488"/>
      <c r="BT10" s="488"/>
      <c r="BU10" s="488"/>
      <c r="BV10" s="488"/>
      <c r="BW10" s="488"/>
      <c r="BX10" s="488"/>
      <c r="BY10" s="488"/>
      <c r="BZ10" s="488"/>
      <c r="CA10" s="488"/>
      <c r="CB10" s="488"/>
      <c r="CC10" s="488"/>
      <c r="CD10" s="488"/>
      <c r="CE10" s="488"/>
      <c r="CF10" s="488"/>
      <c r="CG10" s="488"/>
      <c r="CH10" s="488"/>
      <c r="CI10" s="488"/>
      <c r="CJ10" s="488"/>
      <c r="CK10" s="488"/>
      <c r="CL10" s="488"/>
      <c r="CM10" s="488"/>
      <c r="CN10" s="488"/>
      <c r="CO10" s="488"/>
      <c r="CP10" s="488"/>
      <c r="CQ10" s="488"/>
      <c r="CR10" s="488"/>
      <c r="CS10" s="488"/>
      <c r="CT10" s="488"/>
      <c r="CU10" s="488"/>
      <c r="CV10" s="488"/>
      <c r="CW10" s="488"/>
      <c r="CX10" s="488"/>
      <c r="CY10" s="488"/>
      <c r="CZ10" s="488"/>
      <c r="DA10" s="488"/>
      <c r="DB10" s="488"/>
      <c r="DC10" s="488"/>
      <c r="DD10" s="488"/>
      <c r="DE10" s="488"/>
      <c r="DF10" s="488"/>
      <c r="DG10" s="488"/>
      <c r="DH10" s="488"/>
      <c r="DI10" s="488"/>
      <c r="DJ10" s="488"/>
      <c r="DK10" s="488"/>
      <c r="DL10" s="488"/>
      <c r="DM10" s="488"/>
      <c r="DN10" s="488"/>
      <c r="DO10" s="488"/>
      <c r="DP10" s="488"/>
      <c r="DQ10" s="488"/>
      <c r="DR10" s="488"/>
      <c r="DS10" s="488"/>
      <c r="DT10" s="488"/>
      <c r="DU10" s="488"/>
      <c r="DV10" s="488"/>
      <c r="DW10" s="488"/>
      <c r="DX10" s="488"/>
      <c r="DY10" s="488"/>
      <c r="DZ10" s="488"/>
      <c r="EA10" s="488"/>
      <c r="EB10" s="488"/>
      <c r="EC10" s="488"/>
      <c r="ED10" s="488"/>
      <c r="EE10" s="488"/>
      <c r="EF10" s="488"/>
      <c r="EG10" s="488"/>
      <c r="EH10" s="488"/>
      <c r="EI10" s="488"/>
      <c r="EJ10" s="488"/>
      <c r="EK10" s="488"/>
      <c r="EL10" s="488"/>
      <c r="EM10" s="488"/>
      <c r="EN10" s="488"/>
      <c r="EO10" s="488"/>
      <c r="EP10" s="488"/>
      <c r="EQ10" s="488"/>
      <c r="ER10" s="488"/>
      <c r="ES10" s="488"/>
      <c r="ET10" s="488"/>
      <c r="EU10" s="488"/>
      <c r="EV10" s="488"/>
      <c r="EW10" s="488"/>
      <c r="EX10" s="488"/>
      <c r="EY10" s="488"/>
      <c r="EZ10" s="488"/>
      <c r="FA10" s="488"/>
      <c r="FB10" s="488"/>
      <c r="FC10" s="488"/>
      <c r="FD10" s="488"/>
      <c r="FE10" s="488"/>
      <c r="FF10" s="488"/>
      <c r="FG10" s="488"/>
      <c r="FH10" s="488"/>
      <c r="FI10" s="488"/>
      <c r="FJ10" s="488"/>
      <c r="FK10" s="488"/>
      <c r="FL10" s="488"/>
      <c r="FM10" s="488"/>
      <c r="FN10" s="488"/>
      <c r="FO10" s="488"/>
      <c r="FP10" s="488"/>
      <c r="FQ10" s="488"/>
      <c r="FR10" s="488"/>
      <c r="FS10" s="488"/>
      <c r="FT10" s="488"/>
      <c r="FU10" s="488"/>
      <c r="FV10" s="488"/>
      <c r="FW10" s="488"/>
      <c r="FX10" s="488"/>
      <c r="FY10" s="488"/>
      <c r="FZ10" s="488"/>
      <c r="GA10" s="488"/>
      <c r="GB10" s="488"/>
      <c r="GC10" s="488"/>
      <c r="GD10" s="488"/>
      <c r="GE10" s="488"/>
      <c r="GF10" s="488"/>
      <c r="GG10" s="488"/>
      <c r="GH10" s="488"/>
      <c r="GI10" s="488"/>
      <c r="GJ10" s="488"/>
      <c r="GK10" s="488"/>
      <c r="GL10" s="488"/>
      <c r="GM10" s="488"/>
      <c r="GN10" s="488"/>
      <c r="GO10" s="488"/>
      <c r="GP10" s="488"/>
      <c r="GQ10" s="488"/>
      <c r="GR10" s="488"/>
      <c r="GS10" s="488"/>
      <c r="GT10" s="488"/>
      <c r="GU10" s="488"/>
      <c r="GV10" s="488"/>
      <c r="GW10" s="488"/>
      <c r="GX10" s="488"/>
      <c r="GY10" s="488"/>
      <c r="GZ10" s="488"/>
      <c r="HA10" s="488"/>
      <c r="HB10" s="488"/>
      <c r="HC10" s="488"/>
      <c r="HD10" s="488"/>
      <c r="HE10" s="488"/>
      <c r="HF10" s="488"/>
      <c r="HG10" s="488"/>
      <c r="HH10" s="488"/>
      <c r="HI10" s="488"/>
      <c r="HJ10" s="488"/>
      <c r="HK10" s="488"/>
      <c r="HL10" s="488"/>
      <c r="HM10" s="488"/>
      <c r="HN10" s="488"/>
      <c r="HO10" s="488"/>
      <c r="HP10" s="488"/>
      <c r="HQ10" s="488"/>
      <c r="HR10" s="488"/>
      <c r="HS10" s="488"/>
      <c r="HT10" s="488"/>
      <c r="HU10" s="488"/>
      <c r="HV10" s="488"/>
      <c r="HW10" s="488"/>
      <c r="HX10" s="488"/>
      <c r="HY10" s="488"/>
      <c r="HZ10" s="488"/>
      <c r="IA10" s="488"/>
      <c r="IB10" s="488"/>
      <c r="IC10" s="488"/>
      <c r="ID10" s="488"/>
      <c r="IE10" s="488"/>
      <c r="IF10" s="488"/>
      <c r="IG10" s="488"/>
      <c r="IH10" s="488"/>
      <c r="II10" s="488"/>
      <c r="IJ10" s="488"/>
      <c r="IK10" s="488"/>
      <c r="IL10" s="488"/>
      <c r="IM10" s="488"/>
      <c r="IN10" s="488"/>
      <c r="IO10" s="488"/>
      <c r="IP10" s="488"/>
      <c r="IQ10" s="488"/>
      <c r="IR10" s="488"/>
      <c r="IS10" s="488"/>
      <c r="IT10" s="488"/>
      <c r="IU10" s="488"/>
      <c r="IV10" s="488"/>
    </row>
    <row r="11" spans="1:256">
      <c r="A11" s="460"/>
      <c r="B11" s="461" t="s">
        <v>2616</v>
      </c>
      <c r="C11" s="462" t="s">
        <v>2617</v>
      </c>
      <c r="D11" s="463" t="s">
        <v>2618</v>
      </c>
      <c r="E11" s="464"/>
      <c r="F11" s="463" t="s">
        <v>2619</v>
      </c>
      <c r="G11" s="465"/>
      <c r="H11" s="464"/>
      <c r="I11" s="463" t="s">
        <v>2620</v>
      </c>
      <c r="J11" s="464"/>
      <c r="K11" s="460"/>
      <c r="L11" s="461" t="s">
        <v>2616</v>
      </c>
      <c r="M11" s="462" t="s">
        <v>2617</v>
      </c>
      <c r="N11" s="461" t="s">
        <v>2621</v>
      </c>
      <c r="O11" s="463" t="s">
        <v>2622</v>
      </c>
      <c r="P11" s="465"/>
      <c r="Q11" s="465"/>
      <c r="R11" s="465"/>
      <c r="S11" s="465"/>
      <c r="T11" s="464"/>
      <c r="U11" s="463" t="s">
        <v>2623</v>
      </c>
      <c r="V11" s="465"/>
      <c r="W11" s="464"/>
      <c r="X11" s="461" t="s">
        <v>2624</v>
      </c>
      <c r="Y11" s="461" t="s">
        <v>2625</v>
      </c>
      <c r="Z11" s="461" t="s">
        <v>2626</v>
      </c>
      <c r="AA11" s="489"/>
      <c r="AB11" s="489"/>
      <c r="AC11" s="489"/>
      <c r="AD11" s="489"/>
      <c r="AE11" s="489"/>
      <c r="AF11" s="489"/>
      <c r="AG11" s="489"/>
      <c r="AH11" s="489"/>
      <c r="AI11" s="489"/>
      <c r="AJ11" s="489"/>
      <c r="AK11" s="489"/>
      <c r="AL11" s="489"/>
      <c r="AM11" s="489"/>
      <c r="AN11" s="489"/>
      <c r="AO11" s="489"/>
      <c r="AP11" s="489"/>
      <c r="AQ11" s="489"/>
      <c r="AR11" s="489"/>
      <c r="AS11" s="489"/>
      <c r="AT11" s="489"/>
      <c r="AU11" s="489"/>
      <c r="AV11" s="489"/>
      <c r="AW11" s="489"/>
      <c r="AX11" s="489"/>
      <c r="AY11" s="489"/>
      <c r="AZ11" s="489"/>
      <c r="BA11" s="489"/>
      <c r="BB11" s="489"/>
      <c r="BC11" s="489"/>
      <c r="BD11" s="489"/>
      <c r="BE11" s="489"/>
      <c r="BF11" s="489"/>
      <c r="BG11" s="489"/>
      <c r="BH11" s="489"/>
      <c r="BI11" s="489"/>
      <c r="BJ11" s="489"/>
      <c r="BK11" s="489"/>
      <c r="BL11" s="489"/>
      <c r="BM11" s="489"/>
      <c r="BN11" s="489"/>
      <c r="BO11" s="489"/>
      <c r="BP11" s="489"/>
      <c r="BQ11" s="489"/>
      <c r="BR11" s="489"/>
      <c r="BS11" s="489"/>
      <c r="BT11" s="489"/>
      <c r="BU11" s="489"/>
      <c r="BV11" s="489"/>
      <c r="BW11" s="489"/>
      <c r="BX11" s="489"/>
      <c r="BY11" s="489"/>
      <c r="BZ11" s="489"/>
      <c r="CA11" s="489"/>
      <c r="CB11" s="489"/>
      <c r="CC11" s="489"/>
      <c r="CD11" s="489"/>
      <c r="CE11" s="489"/>
      <c r="CF11" s="489"/>
      <c r="CG11" s="489"/>
      <c r="CH11" s="489"/>
      <c r="CI11" s="489"/>
      <c r="CJ11" s="489"/>
      <c r="CK11" s="489"/>
      <c r="CL11" s="489"/>
      <c r="CM11" s="489"/>
      <c r="CN11" s="489"/>
      <c r="CO11" s="489"/>
      <c r="CP11" s="489"/>
      <c r="CQ11" s="489"/>
      <c r="CR11" s="489"/>
      <c r="CS11" s="489"/>
      <c r="CT11" s="489"/>
      <c r="CU11" s="489"/>
      <c r="CV11" s="489"/>
      <c r="CW11" s="489"/>
      <c r="CX11" s="489"/>
      <c r="CY11" s="489"/>
      <c r="CZ11" s="489"/>
      <c r="DA11" s="489"/>
      <c r="DB11" s="489"/>
      <c r="DC11" s="489"/>
      <c r="DD11" s="489"/>
      <c r="DE11" s="489"/>
      <c r="DF11" s="489"/>
      <c r="DG11" s="489"/>
      <c r="DH11" s="489"/>
      <c r="DI11" s="489"/>
      <c r="DJ11" s="489"/>
      <c r="DK11" s="489"/>
      <c r="DL11" s="489"/>
      <c r="DM11" s="489"/>
      <c r="DN11" s="489"/>
      <c r="DO11" s="489"/>
      <c r="DP11" s="489"/>
      <c r="DQ11" s="489"/>
      <c r="DR11" s="489"/>
      <c r="DS11" s="489"/>
      <c r="DT11" s="489"/>
      <c r="DU11" s="489"/>
      <c r="DV11" s="489"/>
      <c r="DW11" s="489"/>
      <c r="DX11" s="489"/>
      <c r="DY11" s="489"/>
      <c r="DZ11" s="489"/>
      <c r="EA11" s="489"/>
      <c r="EB11" s="489"/>
      <c r="EC11" s="489"/>
      <c r="ED11" s="489"/>
      <c r="EE11" s="489"/>
      <c r="EF11" s="489"/>
      <c r="EG11" s="489"/>
      <c r="EH11" s="489"/>
      <c r="EI11" s="489"/>
      <c r="EJ11" s="489"/>
      <c r="EK11" s="489"/>
      <c r="EL11" s="489"/>
      <c r="EM11" s="489"/>
      <c r="EN11" s="489"/>
      <c r="EO11" s="489"/>
      <c r="EP11" s="489"/>
      <c r="EQ11" s="489"/>
      <c r="ER11" s="489"/>
      <c r="ES11" s="489"/>
      <c r="ET11" s="489"/>
      <c r="EU11" s="489"/>
      <c r="EV11" s="489"/>
      <c r="EW11" s="489"/>
      <c r="EX11" s="489"/>
      <c r="EY11" s="489"/>
      <c r="EZ11" s="489"/>
      <c r="FA11" s="489"/>
      <c r="FB11" s="489"/>
      <c r="FC11" s="489"/>
      <c r="FD11" s="489"/>
      <c r="FE11" s="489"/>
      <c r="FF11" s="489"/>
      <c r="FG11" s="489"/>
      <c r="FH11" s="489"/>
      <c r="FI11" s="489"/>
      <c r="FJ11" s="489"/>
      <c r="FK11" s="489"/>
      <c r="FL11" s="489"/>
      <c r="FM11" s="489"/>
      <c r="FN11" s="489"/>
      <c r="FO11" s="489"/>
      <c r="FP11" s="489"/>
      <c r="FQ11" s="489"/>
      <c r="FR11" s="489"/>
      <c r="FS11" s="489"/>
      <c r="FT11" s="489"/>
      <c r="FU11" s="489"/>
      <c r="FV11" s="489"/>
      <c r="FW11" s="489"/>
      <c r="FX11" s="489"/>
      <c r="FY11" s="489"/>
      <c r="FZ11" s="489"/>
      <c r="GA11" s="489"/>
      <c r="GB11" s="489"/>
      <c r="GC11" s="489"/>
      <c r="GD11" s="489"/>
      <c r="GE11" s="489"/>
      <c r="GF11" s="489"/>
      <c r="GG11" s="489"/>
      <c r="GH11" s="489"/>
      <c r="GI11" s="489"/>
      <c r="GJ11" s="489"/>
      <c r="GK11" s="489"/>
      <c r="GL11" s="489"/>
      <c r="GM11" s="489"/>
      <c r="GN11" s="489"/>
      <c r="GO11" s="489"/>
      <c r="GP11" s="489"/>
      <c r="GQ11" s="489"/>
      <c r="GR11" s="489"/>
      <c r="GS11" s="489"/>
      <c r="GT11" s="489"/>
      <c r="GU11" s="489"/>
      <c r="GV11" s="489"/>
      <c r="GW11" s="489"/>
      <c r="GX11" s="489"/>
      <c r="GY11" s="489"/>
      <c r="GZ11" s="489"/>
      <c r="HA11" s="489"/>
      <c r="HB11" s="489"/>
      <c r="HC11" s="489"/>
      <c r="HD11" s="489"/>
      <c r="HE11" s="489"/>
      <c r="HF11" s="489"/>
      <c r="HG11" s="489"/>
      <c r="HH11" s="489"/>
      <c r="HI11" s="489"/>
      <c r="HJ11" s="489"/>
      <c r="HK11" s="489"/>
      <c r="HL11" s="489"/>
      <c r="HM11" s="489"/>
      <c r="HN11" s="489"/>
      <c r="HO11" s="489"/>
      <c r="HP11" s="489"/>
      <c r="HQ11" s="489"/>
      <c r="HR11" s="489"/>
      <c r="HS11" s="489"/>
      <c r="HT11" s="489"/>
      <c r="HU11" s="489"/>
      <c r="HV11" s="489"/>
      <c r="HW11" s="489"/>
      <c r="HX11" s="489"/>
      <c r="HY11" s="489"/>
      <c r="HZ11" s="489"/>
      <c r="IA11" s="489"/>
      <c r="IB11" s="489"/>
      <c r="IC11" s="489"/>
      <c r="ID11" s="489"/>
      <c r="IE11" s="489"/>
      <c r="IF11" s="489"/>
      <c r="IG11" s="489"/>
      <c r="IH11" s="489"/>
      <c r="II11" s="489"/>
      <c r="IJ11" s="489"/>
      <c r="IK11" s="489"/>
      <c r="IL11" s="489"/>
      <c r="IM11" s="489"/>
      <c r="IN11" s="489"/>
      <c r="IO11" s="489"/>
      <c r="IP11" s="489"/>
      <c r="IQ11" s="489"/>
      <c r="IR11" s="489"/>
      <c r="IS11" s="489"/>
      <c r="IT11" s="489"/>
      <c r="IU11" s="489"/>
      <c r="IV11" s="489"/>
    </row>
    <row r="12" spans="1:256">
      <c r="A12" s="466"/>
      <c r="B12" s="467"/>
      <c r="C12" s="468"/>
      <c r="D12" s="469" t="s">
        <v>2627</v>
      </c>
      <c r="E12" s="469" t="s">
        <v>2609</v>
      </c>
      <c r="F12" s="469" t="s">
        <v>2610</v>
      </c>
      <c r="G12" s="469" t="s">
        <v>2611</v>
      </c>
      <c r="H12" s="469" t="s">
        <v>2612</v>
      </c>
      <c r="I12" s="483" t="s">
        <v>2628</v>
      </c>
      <c r="J12" s="483" t="s">
        <v>2628</v>
      </c>
      <c r="K12" s="466"/>
      <c r="L12" s="467"/>
      <c r="M12" s="468"/>
      <c r="N12" s="467"/>
      <c r="O12" s="483" t="s">
        <v>2629</v>
      </c>
      <c r="P12" s="483">
        <v>0.5</v>
      </c>
      <c r="Q12" s="483">
        <v>1</v>
      </c>
      <c r="R12" s="483">
        <v>2</v>
      </c>
      <c r="S12" s="483">
        <v>3</v>
      </c>
      <c r="T12" s="483">
        <v>5</v>
      </c>
      <c r="U12" s="483">
        <v>1</v>
      </c>
      <c r="V12" s="483">
        <v>3</v>
      </c>
      <c r="W12" s="483">
        <v>5</v>
      </c>
      <c r="X12" s="467"/>
      <c r="Y12" s="467"/>
      <c r="Z12" s="467"/>
      <c r="AA12" s="490"/>
      <c r="AB12" s="490"/>
      <c r="AC12" s="490"/>
      <c r="AD12" s="490"/>
      <c r="AE12" s="490"/>
      <c r="AF12" s="490"/>
      <c r="AG12" s="490"/>
      <c r="AH12" s="490"/>
      <c r="AI12" s="490"/>
      <c r="AJ12" s="490"/>
      <c r="AK12" s="490"/>
      <c r="AL12" s="490"/>
      <c r="AM12" s="490"/>
      <c r="AN12" s="490"/>
      <c r="AO12" s="490"/>
      <c r="AP12" s="490"/>
      <c r="AQ12" s="490"/>
      <c r="AR12" s="490"/>
      <c r="AS12" s="490"/>
      <c r="AT12" s="490"/>
      <c r="AU12" s="490"/>
      <c r="AV12" s="490"/>
      <c r="AW12" s="490"/>
      <c r="AX12" s="490"/>
      <c r="AY12" s="490"/>
      <c r="AZ12" s="490"/>
      <c r="BA12" s="490"/>
      <c r="BB12" s="490"/>
      <c r="BC12" s="490"/>
      <c r="BD12" s="490"/>
      <c r="BE12" s="490"/>
      <c r="BF12" s="490"/>
      <c r="BG12" s="490"/>
      <c r="BH12" s="490"/>
      <c r="BI12" s="490"/>
      <c r="BJ12" s="490"/>
      <c r="BK12" s="490"/>
      <c r="BL12" s="490"/>
      <c r="BM12" s="490"/>
      <c r="BN12" s="490"/>
      <c r="BO12" s="490"/>
      <c r="BP12" s="490"/>
      <c r="BQ12" s="490"/>
      <c r="BR12" s="490"/>
      <c r="BS12" s="490"/>
      <c r="BT12" s="490"/>
      <c r="BU12" s="490"/>
      <c r="BV12" s="490"/>
      <c r="BW12" s="490"/>
      <c r="BX12" s="490"/>
      <c r="BY12" s="490"/>
      <c r="BZ12" s="490"/>
      <c r="CA12" s="490"/>
      <c r="CB12" s="490"/>
      <c r="CC12" s="490"/>
      <c r="CD12" s="490"/>
      <c r="CE12" s="490"/>
      <c r="CF12" s="490"/>
      <c r="CG12" s="490"/>
      <c r="CH12" s="490"/>
      <c r="CI12" s="490"/>
      <c r="CJ12" s="490"/>
      <c r="CK12" s="490"/>
      <c r="CL12" s="490"/>
      <c r="CM12" s="490"/>
      <c r="CN12" s="490"/>
      <c r="CO12" s="490"/>
      <c r="CP12" s="490"/>
      <c r="CQ12" s="490"/>
      <c r="CR12" s="490"/>
      <c r="CS12" s="490"/>
      <c r="CT12" s="490"/>
      <c r="CU12" s="490"/>
      <c r="CV12" s="490"/>
      <c r="CW12" s="490"/>
      <c r="CX12" s="490"/>
      <c r="CY12" s="490"/>
      <c r="CZ12" s="490"/>
      <c r="DA12" s="490"/>
      <c r="DB12" s="490"/>
      <c r="DC12" s="490"/>
      <c r="DD12" s="490"/>
      <c r="DE12" s="490"/>
      <c r="DF12" s="490"/>
      <c r="DG12" s="490"/>
      <c r="DH12" s="490"/>
      <c r="DI12" s="490"/>
      <c r="DJ12" s="490"/>
      <c r="DK12" s="490"/>
      <c r="DL12" s="490"/>
      <c r="DM12" s="490"/>
      <c r="DN12" s="490"/>
      <c r="DO12" s="490"/>
      <c r="DP12" s="490"/>
      <c r="DQ12" s="490"/>
      <c r="DR12" s="490"/>
      <c r="DS12" s="490"/>
      <c r="DT12" s="490"/>
      <c r="DU12" s="490"/>
      <c r="DV12" s="490"/>
      <c r="DW12" s="490"/>
      <c r="DX12" s="490"/>
      <c r="DY12" s="490"/>
      <c r="DZ12" s="490"/>
      <c r="EA12" s="490"/>
      <c r="EB12" s="490"/>
      <c r="EC12" s="490"/>
      <c r="ED12" s="490"/>
      <c r="EE12" s="490"/>
      <c r="EF12" s="490"/>
      <c r="EG12" s="490"/>
      <c r="EH12" s="490"/>
      <c r="EI12" s="490"/>
      <c r="EJ12" s="490"/>
      <c r="EK12" s="490"/>
      <c r="EL12" s="490"/>
      <c r="EM12" s="490"/>
      <c r="EN12" s="490"/>
      <c r="EO12" s="490"/>
      <c r="EP12" s="490"/>
      <c r="EQ12" s="490"/>
      <c r="ER12" s="490"/>
      <c r="ES12" s="490"/>
      <c r="ET12" s="490"/>
      <c r="EU12" s="490"/>
      <c r="EV12" s="490"/>
      <c r="EW12" s="490"/>
      <c r="EX12" s="490"/>
      <c r="EY12" s="490"/>
      <c r="EZ12" s="490"/>
      <c r="FA12" s="490"/>
      <c r="FB12" s="490"/>
      <c r="FC12" s="490"/>
      <c r="FD12" s="490"/>
      <c r="FE12" s="490"/>
      <c r="FF12" s="490"/>
      <c r="FG12" s="490"/>
      <c r="FH12" s="490"/>
      <c r="FI12" s="490"/>
      <c r="FJ12" s="490"/>
      <c r="FK12" s="490"/>
      <c r="FL12" s="490"/>
      <c r="FM12" s="490"/>
      <c r="FN12" s="490"/>
      <c r="FO12" s="490"/>
      <c r="FP12" s="490"/>
      <c r="FQ12" s="490"/>
      <c r="FR12" s="490"/>
      <c r="FS12" s="490"/>
      <c r="FT12" s="490"/>
      <c r="FU12" s="490"/>
      <c r="FV12" s="490"/>
      <c r="FW12" s="490"/>
      <c r="FX12" s="490"/>
      <c r="FY12" s="490"/>
      <c r="FZ12" s="490"/>
      <c r="GA12" s="490"/>
      <c r="GB12" s="490"/>
      <c r="GC12" s="490"/>
      <c r="GD12" s="490"/>
      <c r="GE12" s="490"/>
      <c r="GF12" s="490"/>
      <c r="GG12" s="490"/>
      <c r="GH12" s="490"/>
      <c r="GI12" s="490"/>
      <c r="GJ12" s="490"/>
      <c r="GK12" s="490"/>
      <c r="GL12" s="490"/>
      <c r="GM12" s="490"/>
      <c r="GN12" s="490"/>
      <c r="GO12" s="490"/>
      <c r="GP12" s="490"/>
      <c r="GQ12" s="490"/>
      <c r="GR12" s="490"/>
      <c r="GS12" s="490"/>
      <c r="GT12" s="490"/>
      <c r="GU12" s="490"/>
      <c r="GV12" s="490"/>
      <c r="GW12" s="490"/>
      <c r="GX12" s="490"/>
      <c r="GY12" s="490"/>
      <c r="GZ12" s="490"/>
      <c r="HA12" s="490"/>
      <c r="HB12" s="490"/>
      <c r="HC12" s="490"/>
      <c r="HD12" s="490"/>
      <c r="HE12" s="490"/>
      <c r="HF12" s="490"/>
      <c r="HG12" s="490"/>
      <c r="HH12" s="490"/>
      <c r="HI12" s="490"/>
      <c r="HJ12" s="490"/>
      <c r="HK12" s="490"/>
      <c r="HL12" s="490"/>
      <c r="HM12" s="490"/>
      <c r="HN12" s="490"/>
      <c r="HO12" s="490"/>
      <c r="HP12" s="490"/>
      <c r="HQ12" s="490"/>
      <c r="HR12" s="490"/>
      <c r="HS12" s="490"/>
      <c r="HT12" s="490"/>
      <c r="HU12" s="490"/>
      <c r="HV12" s="490"/>
      <c r="HW12" s="490"/>
      <c r="HX12" s="490"/>
      <c r="HY12" s="490"/>
      <c r="HZ12" s="490"/>
      <c r="IA12" s="490"/>
      <c r="IB12" s="490"/>
      <c r="IC12" s="490"/>
      <c r="ID12" s="490"/>
      <c r="IE12" s="490"/>
      <c r="IF12" s="490"/>
      <c r="IG12" s="490"/>
      <c r="IH12" s="490"/>
      <c r="II12" s="490"/>
      <c r="IJ12" s="490"/>
      <c r="IK12" s="490"/>
      <c r="IL12" s="490"/>
      <c r="IM12" s="490"/>
      <c r="IN12" s="490"/>
      <c r="IO12" s="490"/>
      <c r="IP12" s="490"/>
      <c r="IQ12" s="490"/>
      <c r="IR12" s="490"/>
      <c r="IS12" s="490"/>
      <c r="IT12" s="490"/>
      <c r="IU12" s="490"/>
      <c r="IV12" s="490"/>
    </row>
    <row r="13" ht="31.2" spans="1:257">
      <c r="A13" s="470"/>
      <c r="B13" s="471" t="s">
        <v>2630</v>
      </c>
      <c r="C13" s="472">
        <v>44795</v>
      </c>
      <c r="D13" s="473">
        <v>3.65</v>
      </c>
      <c r="E13" s="473">
        <f>D13</f>
        <v>3.65</v>
      </c>
      <c r="F13" s="473">
        <f>D13</f>
        <v>3.65</v>
      </c>
      <c r="G13" s="473">
        <f>D13</f>
        <v>3.65</v>
      </c>
      <c r="H13" s="473">
        <v>4.3</v>
      </c>
      <c r="I13" s="473"/>
      <c r="J13" s="473"/>
      <c r="K13" s="470"/>
      <c r="L13" s="471" t="s">
        <v>2630</v>
      </c>
      <c r="M13" s="484">
        <v>42301</v>
      </c>
      <c r="N13" s="473">
        <v>0.35</v>
      </c>
      <c r="O13" s="473">
        <v>1.1</v>
      </c>
      <c r="P13" s="473">
        <v>1.3</v>
      </c>
      <c r="Q13" s="473">
        <v>1.5</v>
      </c>
      <c r="R13" s="473">
        <v>2.1</v>
      </c>
      <c r="S13" s="473">
        <v>2.75</v>
      </c>
      <c r="T13" s="473"/>
      <c r="U13" s="473"/>
      <c r="V13" s="473"/>
      <c r="W13" s="473"/>
      <c r="X13" s="473"/>
      <c r="Y13" s="473"/>
      <c r="Z13" s="473"/>
      <c r="AA13" s="491"/>
      <c r="AB13" s="491"/>
      <c r="AC13" s="491"/>
      <c r="AD13" s="491"/>
      <c r="AE13" s="491"/>
      <c r="AF13" s="491"/>
      <c r="AG13" s="491"/>
      <c r="AH13" s="491"/>
      <c r="AI13" s="491"/>
      <c r="AJ13" s="491"/>
      <c r="AK13" s="491"/>
      <c r="AL13" s="491"/>
      <c r="AM13" s="491"/>
      <c r="AN13" s="491"/>
      <c r="AO13" s="491"/>
      <c r="AP13" s="491"/>
      <c r="AQ13" s="491"/>
      <c r="AR13" s="491"/>
      <c r="AS13" s="491"/>
      <c r="AT13" s="491"/>
      <c r="AU13" s="491"/>
      <c r="AV13" s="491"/>
      <c r="AW13" s="491"/>
      <c r="AX13" s="491"/>
      <c r="AY13" s="491"/>
      <c r="AZ13" s="491"/>
      <c r="BA13" s="491"/>
      <c r="BB13" s="491"/>
      <c r="BC13" s="491"/>
      <c r="BD13" s="491"/>
      <c r="BE13" s="491"/>
      <c r="BF13" s="491"/>
      <c r="BG13" s="491"/>
      <c r="BH13" s="491"/>
      <c r="BI13" s="491"/>
      <c r="BJ13" s="491"/>
      <c r="BK13" s="491"/>
      <c r="BL13" s="491"/>
      <c r="BM13" s="491"/>
      <c r="BN13" s="491"/>
      <c r="BO13" s="491"/>
      <c r="BP13" s="491"/>
      <c r="BQ13" s="491"/>
      <c r="BR13" s="491"/>
      <c r="BS13" s="491"/>
      <c r="BT13" s="491"/>
      <c r="BU13" s="491"/>
      <c r="BV13" s="491"/>
      <c r="BW13" s="491"/>
      <c r="BX13" s="491"/>
      <c r="BY13" s="491"/>
      <c r="BZ13" s="491"/>
      <c r="CA13" s="491"/>
      <c r="CB13" s="491"/>
      <c r="CC13" s="491"/>
      <c r="CD13" s="491"/>
      <c r="CE13" s="491"/>
      <c r="CF13" s="491"/>
      <c r="CG13" s="491"/>
      <c r="CH13" s="491"/>
      <c r="CI13" s="491"/>
      <c r="CJ13" s="491"/>
      <c r="CK13" s="491"/>
      <c r="CL13" s="491"/>
      <c r="CM13" s="491"/>
      <c r="CN13" s="491"/>
      <c r="CO13" s="491"/>
      <c r="CP13" s="491"/>
      <c r="CQ13" s="491"/>
      <c r="CR13" s="491"/>
      <c r="CS13" s="491"/>
      <c r="CT13" s="491"/>
      <c r="CU13" s="491"/>
      <c r="CV13" s="491"/>
      <c r="CW13" s="491"/>
      <c r="CX13" s="491"/>
      <c r="CY13" s="491"/>
      <c r="CZ13" s="491"/>
      <c r="DA13" s="491"/>
      <c r="DB13" s="491"/>
      <c r="DC13" s="491"/>
      <c r="DD13" s="491"/>
      <c r="DE13" s="491"/>
      <c r="DF13" s="491"/>
      <c r="DG13" s="491"/>
      <c r="DH13" s="491"/>
      <c r="DI13" s="491"/>
      <c r="DJ13" s="491"/>
      <c r="DK13" s="491"/>
      <c r="DL13" s="491"/>
      <c r="DM13" s="491"/>
      <c r="DN13" s="491"/>
      <c r="DO13" s="491"/>
      <c r="DP13" s="491"/>
      <c r="DQ13" s="491"/>
      <c r="DR13" s="491"/>
      <c r="DS13" s="491"/>
      <c r="DT13" s="491"/>
      <c r="DU13" s="491"/>
      <c r="DV13" s="491"/>
      <c r="DW13" s="491"/>
      <c r="DX13" s="491"/>
      <c r="DY13" s="491"/>
      <c r="DZ13" s="491"/>
      <c r="EA13" s="491"/>
      <c r="EB13" s="491"/>
      <c r="EC13" s="491"/>
      <c r="ED13" s="491"/>
      <c r="EE13" s="491"/>
      <c r="EF13" s="491"/>
      <c r="EG13" s="491"/>
      <c r="EH13" s="491"/>
      <c r="EI13" s="491"/>
      <c r="EJ13" s="491"/>
      <c r="EK13" s="491"/>
      <c r="EL13" s="491"/>
      <c r="EM13" s="491"/>
      <c r="EN13" s="491"/>
      <c r="EO13" s="491"/>
      <c r="EP13" s="491"/>
      <c r="EQ13" s="491"/>
      <c r="ER13" s="491"/>
      <c r="ES13" s="491"/>
      <c r="ET13" s="491"/>
      <c r="EU13" s="491"/>
      <c r="EV13" s="491"/>
      <c r="EW13" s="491"/>
      <c r="EX13" s="491"/>
      <c r="EY13" s="491"/>
      <c r="EZ13" s="491"/>
      <c r="FA13" s="491"/>
      <c r="FB13" s="491"/>
      <c r="FC13" s="491"/>
      <c r="FD13" s="491"/>
      <c r="FE13" s="491"/>
      <c r="FF13" s="491"/>
      <c r="FG13" s="491"/>
      <c r="FH13" s="491"/>
      <c r="FI13" s="491"/>
      <c r="FJ13" s="491"/>
      <c r="FK13" s="491"/>
      <c r="FL13" s="491"/>
      <c r="FM13" s="491"/>
      <c r="FN13" s="491"/>
      <c r="FO13" s="491"/>
      <c r="FP13" s="491"/>
      <c r="FQ13" s="491"/>
      <c r="FR13" s="491"/>
      <c r="FS13" s="491"/>
      <c r="FT13" s="491"/>
      <c r="FU13" s="491"/>
      <c r="FV13" s="491"/>
      <c r="FW13" s="491"/>
      <c r="FX13" s="491"/>
      <c r="FY13" s="491"/>
      <c r="FZ13" s="491"/>
      <c r="GA13" s="491"/>
      <c r="GB13" s="491"/>
      <c r="GC13" s="491"/>
      <c r="GD13" s="491"/>
      <c r="GE13" s="491"/>
      <c r="GF13" s="491"/>
      <c r="GG13" s="491"/>
      <c r="GH13" s="491"/>
      <c r="GI13" s="491"/>
      <c r="GJ13" s="491"/>
      <c r="GK13" s="491"/>
      <c r="GL13" s="491"/>
      <c r="GM13" s="491"/>
      <c r="GN13" s="491"/>
      <c r="GO13" s="491"/>
      <c r="GP13" s="491"/>
      <c r="GQ13" s="491"/>
      <c r="GR13" s="491"/>
      <c r="GS13" s="491"/>
      <c r="GT13" s="491"/>
      <c r="GU13" s="491"/>
      <c r="GV13" s="491"/>
      <c r="GW13" s="491"/>
      <c r="GX13" s="491"/>
      <c r="GY13" s="491"/>
      <c r="GZ13" s="491"/>
      <c r="HA13" s="491"/>
      <c r="HB13" s="491"/>
      <c r="HC13" s="491"/>
      <c r="HD13" s="491"/>
      <c r="HE13" s="491"/>
      <c r="HF13" s="491"/>
      <c r="HG13" s="491"/>
      <c r="HH13" s="491"/>
      <c r="HI13" s="491"/>
      <c r="HJ13" s="491"/>
      <c r="HK13" s="491"/>
      <c r="HL13" s="491"/>
      <c r="HM13" s="491"/>
      <c r="HN13" s="491"/>
      <c r="HO13" s="491"/>
      <c r="HP13" s="491"/>
      <c r="HQ13" s="491"/>
      <c r="HR13" s="491"/>
      <c r="HS13" s="491"/>
      <c r="HT13" s="491"/>
      <c r="HU13" s="491"/>
      <c r="HV13" s="491"/>
      <c r="HW13" s="491"/>
      <c r="HX13" s="491"/>
      <c r="HY13" s="491"/>
      <c r="HZ13" s="491"/>
      <c r="IA13" s="491"/>
      <c r="IB13" s="491"/>
      <c r="IC13" s="491"/>
      <c r="ID13" s="491"/>
      <c r="IE13" s="491"/>
      <c r="IF13" s="491"/>
      <c r="IG13" s="491"/>
      <c r="IH13" s="491"/>
      <c r="II13" s="491"/>
      <c r="IJ13" s="491"/>
      <c r="IK13" s="491"/>
      <c r="IL13" s="491"/>
      <c r="IM13" s="491"/>
      <c r="IN13" s="491"/>
      <c r="IO13" s="491"/>
      <c r="IP13" s="491"/>
      <c r="IQ13" s="491"/>
      <c r="IR13" s="491"/>
      <c r="IS13" s="491"/>
      <c r="IT13" s="491"/>
      <c r="IU13" s="491"/>
      <c r="IV13" s="491"/>
      <c r="IW13" s="494"/>
    </row>
    <row r="14" ht="15.6" spans="1:26">
      <c r="A14" s="470"/>
      <c r="B14" s="471"/>
      <c r="C14" s="474">
        <v>44701</v>
      </c>
      <c r="D14" s="475">
        <v>3.7</v>
      </c>
      <c r="E14" s="475">
        <v>3.7</v>
      </c>
      <c r="F14" s="475">
        <v>3.7</v>
      </c>
      <c r="G14" s="475">
        <v>3.7</v>
      </c>
      <c r="H14" s="475">
        <v>4.45</v>
      </c>
      <c r="I14" s="473"/>
      <c r="J14" s="473"/>
      <c r="K14" s="470"/>
      <c r="L14" s="475"/>
      <c r="M14" s="474">
        <v>42242</v>
      </c>
      <c r="N14" s="475">
        <v>0.35</v>
      </c>
      <c r="O14" s="475">
        <v>1.35</v>
      </c>
      <c r="P14" s="475">
        <v>1.55</v>
      </c>
      <c r="Q14" s="475">
        <v>1.75</v>
      </c>
      <c r="R14" s="475">
        <v>2.35</v>
      </c>
      <c r="S14" s="475">
        <v>3</v>
      </c>
      <c r="T14" s="475"/>
      <c r="U14" s="475"/>
      <c r="V14" s="475"/>
      <c r="W14" s="475"/>
      <c r="X14" s="475"/>
      <c r="Y14" s="475"/>
      <c r="Z14" s="475"/>
    </row>
    <row r="15" ht="15.6" spans="1:26">
      <c r="A15" s="470"/>
      <c r="B15" s="471"/>
      <c r="C15" s="474">
        <v>44581</v>
      </c>
      <c r="D15" s="475">
        <v>3.7</v>
      </c>
      <c r="E15" s="475">
        <f>D15</f>
        <v>3.7</v>
      </c>
      <c r="F15" s="475">
        <f>D15</f>
        <v>3.7</v>
      </c>
      <c r="G15" s="475">
        <f>D15</f>
        <v>3.7</v>
      </c>
      <c r="H15" s="475">
        <v>4.6</v>
      </c>
      <c r="I15" s="473"/>
      <c r="J15" s="473"/>
      <c r="K15" s="470"/>
      <c r="L15" s="475"/>
      <c r="M15" s="474">
        <v>42183</v>
      </c>
      <c r="N15" s="475">
        <v>0.35</v>
      </c>
      <c r="O15" s="475">
        <v>1.6</v>
      </c>
      <c r="P15" s="475">
        <v>1.8</v>
      </c>
      <c r="Q15" s="475">
        <v>2</v>
      </c>
      <c r="R15" s="475">
        <v>2.6</v>
      </c>
      <c r="S15" s="475">
        <v>3.25</v>
      </c>
      <c r="T15" s="475"/>
      <c r="U15" s="475"/>
      <c r="V15" s="475"/>
      <c r="W15" s="475"/>
      <c r="X15" s="475"/>
      <c r="Y15" s="475"/>
      <c r="Z15" s="475"/>
    </row>
    <row r="16" ht="15.6" spans="1:26">
      <c r="A16" s="470"/>
      <c r="B16" s="475"/>
      <c r="C16" s="474">
        <v>44550</v>
      </c>
      <c r="D16" s="475">
        <v>3.8</v>
      </c>
      <c r="E16" s="475">
        <f>D16</f>
        <v>3.8</v>
      </c>
      <c r="F16" s="475">
        <f>D16</f>
        <v>3.8</v>
      </c>
      <c r="G16" s="475">
        <f>D16</f>
        <v>3.8</v>
      </c>
      <c r="H16" s="475">
        <v>4.65</v>
      </c>
      <c r="I16" s="475"/>
      <c r="J16" s="473"/>
      <c r="L16" s="475"/>
      <c r="M16" s="474">
        <v>42135</v>
      </c>
      <c r="N16" s="475">
        <v>0.35</v>
      </c>
      <c r="O16" s="475">
        <v>1.85</v>
      </c>
      <c r="P16" s="475">
        <v>2.05</v>
      </c>
      <c r="Q16" s="475">
        <v>2.25</v>
      </c>
      <c r="R16" s="475">
        <v>2.85</v>
      </c>
      <c r="S16" s="475">
        <v>3.5</v>
      </c>
      <c r="T16" s="475"/>
      <c r="U16" s="475"/>
      <c r="V16" s="475"/>
      <c r="W16" s="475"/>
      <c r="X16" s="475"/>
      <c r="Y16" s="475"/>
      <c r="Z16" s="475"/>
    </row>
    <row r="17" ht="15.6" spans="1:26">
      <c r="A17" s="470"/>
      <c r="B17" s="475"/>
      <c r="C17" s="474">
        <v>43941</v>
      </c>
      <c r="D17" s="475">
        <v>3.85</v>
      </c>
      <c r="E17" s="475">
        <v>3.85</v>
      </c>
      <c r="F17" s="475">
        <v>3.85</v>
      </c>
      <c r="G17" s="475">
        <v>3.85</v>
      </c>
      <c r="H17" s="475">
        <v>4.65</v>
      </c>
      <c r="I17" s="475"/>
      <c r="J17" s="475"/>
      <c r="L17" s="475"/>
      <c r="M17" s="474">
        <v>42064</v>
      </c>
      <c r="N17" s="475">
        <v>0.35</v>
      </c>
      <c r="O17" s="475">
        <v>2.1</v>
      </c>
      <c r="P17" s="475">
        <v>2.3</v>
      </c>
      <c r="Q17" s="475">
        <v>2.5</v>
      </c>
      <c r="R17" s="475">
        <v>3.1</v>
      </c>
      <c r="S17" s="475">
        <v>3.75</v>
      </c>
      <c r="T17" s="475">
        <v>4.5</v>
      </c>
      <c r="U17" s="475">
        <v>2.35</v>
      </c>
      <c r="V17" s="475">
        <v>2.55</v>
      </c>
      <c r="W17" s="475">
        <v>2.75</v>
      </c>
      <c r="X17" s="475"/>
      <c r="Y17" s="475">
        <v>0.8</v>
      </c>
      <c r="Z17" s="475">
        <v>1.35</v>
      </c>
    </row>
    <row r="18" ht="16.8" spans="1:26">
      <c r="A18" s="470"/>
      <c r="B18" s="475"/>
      <c r="C18" s="474">
        <v>43881</v>
      </c>
      <c r="D18" s="475">
        <v>4.05</v>
      </c>
      <c r="E18" s="475">
        <v>4.05</v>
      </c>
      <c r="F18" s="475">
        <v>4.05</v>
      </c>
      <c r="G18" s="475">
        <v>4.05</v>
      </c>
      <c r="H18" s="475">
        <v>4.75</v>
      </c>
      <c r="I18" s="475"/>
      <c r="J18" s="475"/>
      <c r="L18" s="481"/>
      <c r="M18" s="480">
        <v>41965</v>
      </c>
      <c r="N18" s="481">
        <v>0.35</v>
      </c>
      <c r="O18" s="481">
        <v>2.35</v>
      </c>
      <c r="P18" s="481">
        <v>2.55</v>
      </c>
      <c r="Q18" s="481">
        <v>2.75</v>
      </c>
      <c r="R18" s="481">
        <v>3.35</v>
      </c>
      <c r="S18" s="481">
        <v>4</v>
      </c>
      <c r="T18" s="481">
        <v>4.75</v>
      </c>
      <c r="U18" s="485">
        <v>2.35</v>
      </c>
      <c r="V18" s="485">
        <v>2.55</v>
      </c>
      <c r="W18" s="485">
        <v>2.75</v>
      </c>
      <c r="X18" s="481"/>
      <c r="Y18" s="485">
        <v>0.8</v>
      </c>
      <c r="Z18" s="485">
        <v>1.35</v>
      </c>
    </row>
    <row r="19" s="425" customFormat="1" ht="15.6" spans="1:256">
      <c r="A19" s="470"/>
      <c r="B19" s="475"/>
      <c r="C19" s="474">
        <v>43789</v>
      </c>
      <c r="D19" s="475">
        <v>4.15</v>
      </c>
      <c r="E19" s="475">
        <v>4.15</v>
      </c>
      <c r="F19" s="475">
        <v>4.15</v>
      </c>
      <c r="G19" s="475">
        <v>4.15</v>
      </c>
      <c r="H19" s="475">
        <v>4.8</v>
      </c>
      <c r="I19" s="475"/>
      <c r="J19" s="475"/>
      <c r="K19" s="426"/>
      <c r="L19" s="475"/>
      <c r="M19" s="474">
        <v>41096</v>
      </c>
      <c r="N19" s="475">
        <v>0.35</v>
      </c>
      <c r="O19" s="475">
        <v>2.6</v>
      </c>
      <c r="P19" s="475">
        <v>2.8</v>
      </c>
      <c r="Q19" s="475">
        <v>3</v>
      </c>
      <c r="R19" s="475">
        <v>3.75</v>
      </c>
      <c r="S19" s="475">
        <v>4.25</v>
      </c>
      <c r="T19" s="475">
        <v>4.75</v>
      </c>
      <c r="U19" s="475">
        <v>2.85</v>
      </c>
      <c r="V19" s="475">
        <v>2.9</v>
      </c>
      <c r="W19" s="475">
        <v>3</v>
      </c>
      <c r="X19" s="475">
        <v>1.15</v>
      </c>
      <c r="Y19" s="475">
        <v>0.8</v>
      </c>
      <c r="Z19" s="475">
        <v>1.35</v>
      </c>
      <c r="AA19" s="490"/>
      <c r="AB19" s="490"/>
      <c r="AC19" s="490"/>
      <c r="AD19" s="490"/>
      <c r="AE19" s="490"/>
      <c r="AF19" s="490"/>
      <c r="AG19" s="490"/>
      <c r="AH19" s="490"/>
      <c r="AI19" s="490"/>
      <c r="AJ19" s="490"/>
      <c r="AK19" s="490"/>
      <c r="AL19" s="490"/>
      <c r="AM19" s="490"/>
      <c r="AN19" s="490"/>
      <c r="AO19" s="490"/>
      <c r="AP19" s="490"/>
      <c r="AQ19" s="490"/>
      <c r="AR19" s="490"/>
      <c r="AS19" s="490"/>
      <c r="AT19" s="490"/>
      <c r="AU19" s="490"/>
      <c r="AV19" s="490"/>
      <c r="AW19" s="490"/>
      <c r="AX19" s="490"/>
      <c r="AY19" s="490"/>
      <c r="AZ19" s="490"/>
      <c r="BA19" s="490"/>
      <c r="BB19" s="490"/>
      <c r="BC19" s="490"/>
      <c r="BD19" s="490"/>
      <c r="BE19" s="490"/>
      <c r="BF19" s="490"/>
      <c r="BG19" s="490"/>
      <c r="BH19" s="490"/>
      <c r="BI19" s="490"/>
      <c r="BJ19" s="490"/>
      <c r="BK19" s="490"/>
      <c r="BL19" s="490"/>
      <c r="BM19" s="490"/>
      <c r="BN19" s="490"/>
      <c r="BO19" s="490"/>
      <c r="BP19" s="490"/>
      <c r="BQ19" s="490"/>
      <c r="BR19" s="490"/>
      <c r="BS19" s="490"/>
      <c r="BT19" s="490"/>
      <c r="BU19" s="490"/>
      <c r="BV19" s="490"/>
      <c r="BW19" s="490"/>
      <c r="BX19" s="490"/>
      <c r="BY19" s="490"/>
      <c r="BZ19" s="490"/>
      <c r="CA19" s="490"/>
      <c r="CB19" s="490"/>
      <c r="CC19" s="490"/>
      <c r="CD19" s="490"/>
      <c r="CE19" s="490"/>
      <c r="CF19" s="490"/>
      <c r="CG19" s="490"/>
      <c r="CH19" s="490"/>
      <c r="CI19" s="490"/>
      <c r="CJ19" s="490"/>
      <c r="CK19" s="490"/>
      <c r="CL19" s="490"/>
      <c r="CM19" s="490"/>
      <c r="CN19" s="490"/>
      <c r="CO19" s="490"/>
      <c r="CP19" s="490"/>
      <c r="CQ19" s="490"/>
      <c r="CR19" s="490"/>
      <c r="CS19" s="490"/>
      <c r="CT19" s="490"/>
      <c r="CU19" s="490"/>
      <c r="CV19" s="490"/>
      <c r="CW19" s="490"/>
      <c r="CX19" s="490"/>
      <c r="CY19" s="490"/>
      <c r="CZ19" s="490"/>
      <c r="DA19" s="490"/>
      <c r="DB19" s="490"/>
      <c r="DC19" s="490"/>
      <c r="DD19" s="490"/>
      <c r="DE19" s="490"/>
      <c r="DF19" s="490"/>
      <c r="DG19" s="490"/>
      <c r="DH19" s="490"/>
      <c r="DI19" s="490"/>
      <c r="DJ19" s="490"/>
      <c r="DK19" s="490"/>
      <c r="DL19" s="490"/>
      <c r="DM19" s="490"/>
      <c r="DN19" s="490"/>
      <c r="DO19" s="490"/>
      <c r="DP19" s="490"/>
      <c r="DQ19" s="490"/>
      <c r="DR19" s="490"/>
      <c r="DS19" s="490"/>
      <c r="DT19" s="490"/>
      <c r="DU19" s="490"/>
      <c r="DV19" s="490"/>
      <c r="DW19" s="490"/>
      <c r="DX19" s="490"/>
      <c r="DY19" s="490"/>
      <c r="DZ19" s="490"/>
      <c r="EA19" s="490"/>
      <c r="EB19" s="490"/>
      <c r="EC19" s="490"/>
      <c r="ED19" s="490"/>
      <c r="EE19" s="490"/>
      <c r="EF19" s="490"/>
      <c r="EG19" s="490"/>
      <c r="EH19" s="490"/>
      <c r="EI19" s="490"/>
      <c r="EJ19" s="490"/>
      <c r="EK19" s="490"/>
      <c r="EL19" s="490"/>
      <c r="EM19" s="490"/>
      <c r="EN19" s="490"/>
      <c r="EO19" s="490"/>
      <c r="EP19" s="490"/>
      <c r="EQ19" s="490"/>
      <c r="ER19" s="490"/>
      <c r="ES19" s="490"/>
      <c r="ET19" s="490"/>
      <c r="EU19" s="490"/>
      <c r="EV19" s="490"/>
      <c r="EW19" s="490"/>
      <c r="EX19" s="490"/>
      <c r="EY19" s="490"/>
      <c r="EZ19" s="490"/>
      <c r="FA19" s="490"/>
      <c r="FB19" s="490"/>
      <c r="FC19" s="490"/>
      <c r="FD19" s="490"/>
      <c r="FE19" s="490"/>
      <c r="FF19" s="490"/>
      <c r="FG19" s="490"/>
      <c r="FH19" s="490"/>
      <c r="FI19" s="490"/>
      <c r="FJ19" s="490"/>
      <c r="FK19" s="490"/>
      <c r="FL19" s="490"/>
      <c r="FM19" s="490"/>
      <c r="FN19" s="490"/>
      <c r="FO19" s="490"/>
      <c r="FP19" s="490"/>
      <c r="FQ19" s="490"/>
      <c r="FR19" s="490"/>
      <c r="FS19" s="490"/>
      <c r="FT19" s="490"/>
      <c r="FU19" s="490"/>
      <c r="FV19" s="490"/>
      <c r="FW19" s="490"/>
      <c r="FX19" s="490"/>
      <c r="FY19" s="490"/>
      <c r="FZ19" s="490"/>
      <c r="GA19" s="490"/>
      <c r="GB19" s="490"/>
      <c r="GC19" s="490"/>
      <c r="GD19" s="490"/>
      <c r="GE19" s="490"/>
      <c r="GF19" s="490"/>
      <c r="GG19" s="490"/>
      <c r="GH19" s="490"/>
      <c r="GI19" s="490"/>
      <c r="GJ19" s="490"/>
      <c r="GK19" s="490"/>
      <c r="GL19" s="490"/>
      <c r="GM19" s="490"/>
      <c r="GN19" s="490"/>
      <c r="GO19" s="490"/>
      <c r="GP19" s="490"/>
      <c r="GQ19" s="490"/>
      <c r="GR19" s="490"/>
      <c r="GS19" s="490"/>
      <c r="GT19" s="490"/>
      <c r="GU19" s="490"/>
      <c r="GV19" s="490"/>
      <c r="GW19" s="490"/>
      <c r="GX19" s="490"/>
      <c r="GY19" s="490"/>
      <c r="GZ19" s="490"/>
      <c r="HA19" s="490"/>
      <c r="HB19" s="490"/>
      <c r="HC19" s="490"/>
      <c r="HD19" s="490"/>
      <c r="HE19" s="490"/>
      <c r="HF19" s="490"/>
      <c r="HG19" s="490"/>
      <c r="HH19" s="490"/>
      <c r="HI19" s="490"/>
      <c r="HJ19" s="490"/>
      <c r="HK19" s="490"/>
      <c r="HL19" s="490"/>
      <c r="HM19" s="490"/>
      <c r="HN19" s="490"/>
      <c r="HO19" s="490"/>
      <c r="HP19" s="490"/>
      <c r="HQ19" s="490"/>
      <c r="HR19" s="490"/>
      <c r="HS19" s="490"/>
      <c r="HT19" s="490"/>
      <c r="HU19" s="490"/>
      <c r="HV19" s="490"/>
      <c r="HW19" s="490"/>
      <c r="HX19" s="490"/>
      <c r="HY19" s="490"/>
      <c r="HZ19" s="490"/>
      <c r="IA19" s="490"/>
      <c r="IB19" s="490"/>
      <c r="IC19" s="490"/>
      <c r="ID19" s="490"/>
      <c r="IE19" s="490"/>
      <c r="IF19" s="490"/>
      <c r="IG19" s="490"/>
      <c r="IH19" s="490"/>
      <c r="II19" s="490"/>
      <c r="IJ19" s="490"/>
      <c r="IK19" s="490"/>
      <c r="IL19" s="490"/>
      <c r="IM19" s="490"/>
      <c r="IN19" s="490"/>
      <c r="IO19" s="490"/>
      <c r="IP19" s="490"/>
      <c r="IQ19" s="490"/>
      <c r="IR19" s="490"/>
      <c r="IS19" s="490"/>
      <c r="IT19" s="490"/>
      <c r="IU19" s="490"/>
      <c r="IV19" s="490"/>
    </row>
    <row r="20" ht="15.6" spans="1:26">
      <c r="A20" s="470"/>
      <c r="B20" s="475"/>
      <c r="C20" s="474">
        <v>43728</v>
      </c>
      <c r="D20" s="475">
        <v>4.2</v>
      </c>
      <c r="E20" s="475">
        <v>4.2</v>
      </c>
      <c r="F20" s="475">
        <v>4.2</v>
      </c>
      <c r="G20" s="475">
        <v>4.2</v>
      </c>
      <c r="H20" s="475">
        <v>4.85</v>
      </c>
      <c r="I20" s="475"/>
      <c r="J20" s="475"/>
      <c r="L20" s="475"/>
      <c r="M20" s="474">
        <v>41068</v>
      </c>
      <c r="N20" s="475">
        <v>0.4</v>
      </c>
      <c r="O20" s="475">
        <v>2.85</v>
      </c>
      <c r="P20" s="475">
        <v>3.05</v>
      </c>
      <c r="Q20" s="475">
        <v>3.25</v>
      </c>
      <c r="R20" s="475">
        <v>4.1</v>
      </c>
      <c r="S20" s="475">
        <v>4.65</v>
      </c>
      <c r="T20" s="475">
        <v>5.1</v>
      </c>
      <c r="U20" s="475">
        <v>3.1</v>
      </c>
      <c r="V20" s="475">
        <v>3.15</v>
      </c>
      <c r="W20" s="475">
        <v>3.25</v>
      </c>
      <c r="X20" s="475">
        <v>1.31</v>
      </c>
      <c r="Y20" s="475">
        <v>0.94</v>
      </c>
      <c r="Z20" s="475">
        <v>1.49</v>
      </c>
    </row>
    <row r="21" ht="15.6" spans="1:26">
      <c r="A21" s="470"/>
      <c r="B21" s="471" t="s">
        <v>2631</v>
      </c>
      <c r="C21" s="476">
        <v>43697</v>
      </c>
      <c r="D21" s="477">
        <v>4.25</v>
      </c>
      <c r="E21" s="477">
        <v>4.25</v>
      </c>
      <c r="F21" s="477">
        <v>4.25</v>
      </c>
      <c r="G21" s="477">
        <v>4.25</v>
      </c>
      <c r="H21" s="477">
        <v>4.85</v>
      </c>
      <c r="I21" s="477"/>
      <c r="J21" s="477"/>
      <c r="K21" s="466"/>
      <c r="L21" s="475"/>
      <c r="M21" s="474">
        <v>40731</v>
      </c>
      <c r="N21" s="475">
        <v>0.5</v>
      </c>
      <c r="O21" s="475">
        <v>3.1</v>
      </c>
      <c r="P21" s="475">
        <v>3.3</v>
      </c>
      <c r="Q21" s="475">
        <v>3.5</v>
      </c>
      <c r="R21" s="475">
        <v>4.4</v>
      </c>
      <c r="S21" s="475">
        <v>5</v>
      </c>
      <c r="T21" s="475">
        <v>5.5</v>
      </c>
      <c r="U21" s="475">
        <v>3.1</v>
      </c>
      <c r="V21" s="475">
        <v>3.3</v>
      </c>
      <c r="W21" s="475">
        <v>3.5</v>
      </c>
      <c r="X21" s="475">
        <v>1.31</v>
      </c>
      <c r="Y21" s="475">
        <v>0.95</v>
      </c>
      <c r="Z21" s="475">
        <v>1.49</v>
      </c>
    </row>
    <row r="22" ht="15.6" spans="1:26">
      <c r="A22" s="478"/>
      <c r="B22" s="479"/>
      <c r="C22" s="480">
        <v>42301</v>
      </c>
      <c r="D22" s="481">
        <v>4.35</v>
      </c>
      <c r="E22" s="481">
        <v>4.35</v>
      </c>
      <c r="F22" s="481">
        <v>4.75</v>
      </c>
      <c r="G22" s="481">
        <v>4.75</v>
      </c>
      <c r="H22" s="481">
        <v>4.9</v>
      </c>
      <c r="I22" s="481"/>
      <c r="J22" s="481"/>
      <c r="L22" s="475"/>
      <c r="M22" s="474">
        <v>40639</v>
      </c>
      <c r="N22" s="475">
        <v>0.5</v>
      </c>
      <c r="O22" s="475">
        <v>2.85</v>
      </c>
      <c r="P22" s="475">
        <v>3.05</v>
      </c>
      <c r="Q22" s="475">
        <v>3.25</v>
      </c>
      <c r="R22" s="475">
        <v>4.15</v>
      </c>
      <c r="S22" s="475">
        <v>4.75</v>
      </c>
      <c r="T22" s="475">
        <v>5.25</v>
      </c>
      <c r="U22" s="475">
        <v>2.85</v>
      </c>
      <c r="V22" s="475">
        <v>3.05</v>
      </c>
      <c r="W22" s="475">
        <v>3.25</v>
      </c>
      <c r="X22" s="475">
        <v>1.31</v>
      </c>
      <c r="Y22" s="475">
        <v>0.95</v>
      </c>
      <c r="Z22" s="475">
        <v>1.49</v>
      </c>
    </row>
    <row r="23" spans="2:26">
      <c r="B23" s="475"/>
      <c r="C23" s="474">
        <v>42242</v>
      </c>
      <c r="D23" s="475">
        <v>4.6</v>
      </c>
      <c r="E23" s="475">
        <v>4.6</v>
      </c>
      <c r="F23" s="475">
        <v>5</v>
      </c>
      <c r="G23" s="475">
        <v>5</v>
      </c>
      <c r="H23" s="475">
        <v>5.15</v>
      </c>
      <c r="I23" s="475">
        <v>2.75</v>
      </c>
      <c r="J23" s="475">
        <v>3.25</v>
      </c>
      <c r="L23" s="475"/>
      <c r="M23" s="474">
        <v>40583</v>
      </c>
      <c r="N23" s="475">
        <v>0.4</v>
      </c>
      <c r="O23" s="475">
        <v>2.6</v>
      </c>
      <c r="P23" s="475">
        <v>2.8</v>
      </c>
      <c r="Q23" s="475">
        <v>3</v>
      </c>
      <c r="R23" s="475">
        <v>3.9</v>
      </c>
      <c r="S23" s="475">
        <v>4.5</v>
      </c>
      <c r="T23" s="475">
        <v>5</v>
      </c>
      <c r="U23" s="475">
        <v>2.6</v>
      </c>
      <c r="V23" s="475">
        <v>2.8</v>
      </c>
      <c r="W23" s="475">
        <v>3</v>
      </c>
      <c r="X23" s="475">
        <v>1.21</v>
      </c>
      <c r="Y23" s="475">
        <v>0.85</v>
      </c>
      <c r="Z23" s="475">
        <v>1.39</v>
      </c>
    </row>
    <row r="24" spans="2:26">
      <c r="B24" s="475"/>
      <c r="C24" s="474">
        <v>42183</v>
      </c>
      <c r="D24" s="475">
        <v>4.85</v>
      </c>
      <c r="E24" s="475">
        <v>4.85</v>
      </c>
      <c r="F24" s="475">
        <v>5.25</v>
      </c>
      <c r="G24" s="475">
        <v>5.25</v>
      </c>
      <c r="H24" s="475">
        <v>5.4</v>
      </c>
      <c r="I24" s="475">
        <v>3</v>
      </c>
      <c r="J24" s="475">
        <v>3.5</v>
      </c>
      <c r="L24" s="475"/>
      <c r="M24" s="474">
        <v>40538</v>
      </c>
      <c r="N24" s="475">
        <v>0.36</v>
      </c>
      <c r="O24" s="475">
        <v>2.25</v>
      </c>
      <c r="P24" s="475">
        <v>2.5</v>
      </c>
      <c r="Q24" s="475">
        <v>2.75</v>
      </c>
      <c r="R24" s="475">
        <v>3.55</v>
      </c>
      <c r="S24" s="475">
        <v>4.15</v>
      </c>
      <c r="T24" s="475">
        <v>4.55</v>
      </c>
      <c r="U24" s="475">
        <v>2.16</v>
      </c>
      <c r="V24" s="475">
        <v>2.5</v>
      </c>
      <c r="W24" s="475">
        <v>2.85</v>
      </c>
      <c r="X24" s="475">
        <v>1.17</v>
      </c>
      <c r="Y24" s="475">
        <v>0.81</v>
      </c>
      <c r="Z24" s="475">
        <v>1.35</v>
      </c>
    </row>
    <row r="25" spans="2:26">
      <c r="B25" s="475"/>
      <c r="C25" s="474">
        <v>42135</v>
      </c>
      <c r="D25" s="475">
        <v>5.1</v>
      </c>
      <c r="E25" s="475">
        <v>5.1</v>
      </c>
      <c r="F25" s="475">
        <v>5.5</v>
      </c>
      <c r="G25" s="475">
        <v>5.5</v>
      </c>
      <c r="H25" s="475">
        <v>5.65</v>
      </c>
      <c r="I25" s="475">
        <v>3.25</v>
      </c>
      <c r="J25" s="475">
        <v>3.75</v>
      </c>
      <c r="L25" s="475"/>
      <c r="M25" s="474">
        <v>40471</v>
      </c>
      <c r="N25" s="475">
        <v>0.36</v>
      </c>
      <c r="O25" s="475">
        <v>1.91</v>
      </c>
      <c r="P25" s="475">
        <v>2.2</v>
      </c>
      <c r="Q25" s="475">
        <v>2.5</v>
      </c>
      <c r="R25" s="475">
        <v>3.25</v>
      </c>
      <c r="S25" s="475">
        <v>3.85</v>
      </c>
      <c r="T25" s="475">
        <v>4.2</v>
      </c>
      <c r="U25" s="475">
        <v>1.91</v>
      </c>
      <c r="V25" s="475">
        <v>2.2</v>
      </c>
      <c r="W25" s="475">
        <v>2.5</v>
      </c>
      <c r="X25" s="475">
        <v>1.17</v>
      </c>
      <c r="Y25" s="475">
        <v>0.81</v>
      </c>
      <c r="Z25" s="475">
        <v>1.35</v>
      </c>
    </row>
    <row r="26" spans="2:26">
      <c r="B26" s="475"/>
      <c r="C26" s="474">
        <v>42064</v>
      </c>
      <c r="D26" s="475">
        <v>5.35</v>
      </c>
      <c r="E26" s="475">
        <v>5.35</v>
      </c>
      <c r="F26" s="475">
        <v>5.75</v>
      </c>
      <c r="G26" s="475">
        <v>5.75</v>
      </c>
      <c r="H26" s="475">
        <v>5.9</v>
      </c>
      <c r="I26" s="475"/>
      <c r="J26" s="475"/>
      <c r="L26" s="475"/>
      <c r="M26" s="474">
        <v>39805</v>
      </c>
      <c r="N26" s="475">
        <v>0.36</v>
      </c>
      <c r="O26" s="475">
        <v>1.71</v>
      </c>
      <c r="P26" s="475">
        <v>1.98</v>
      </c>
      <c r="Q26" s="475">
        <v>2.25</v>
      </c>
      <c r="R26" s="475">
        <v>2.79</v>
      </c>
      <c r="S26" s="475">
        <v>3.33</v>
      </c>
      <c r="T26" s="475">
        <v>3.6</v>
      </c>
      <c r="U26" s="475">
        <v>1.71</v>
      </c>
      <c r="V26" s="475">
        <v>1.98</v>
      </c>
      <c r="W26" s="475">
        <v>2.25</v>
      </c>
      <c r="X26" s="475">
        <v>1.17</v>
      </c>
      <c r="Y26" s="475">
        <v>0.81</v>
      </c>
      <c r="Z26" s="475">
        <v>1.35</v>
      </c>
    </row>
    <row r="27" spans="2:26">
      <c r="B27" s="475"/>
      <c r="C27" s="474">
        <v>41965</v>
      </c>
      <c r="D27" s="475">
        <v>5.6</v>
      </c>
      <c r="E27" s="475">
        <v>5.6</v>
      </c>
      <c r="F27" s="475">
        <v>6</v>
      </c>
      <c r="G27" s="475">
        <v>6</v>
      </c>
      <c r="H27" s="475">
        <v>6.15</v>
      </c>
      <c r="I27" s="475"/>
      <c r="J27" s="475"/>
      <c r="L27" s="475"/>
      <c r="M27" s="474">
        <v>39779</v>
      </c>
      <c r="N27" s="475">
        <v>0.36</v>
      </c>
      <c r="O27" s="475">
        <v>1.98</v>
      </c>
      <c r="P27" s="475">
        <v>2.25</v>
      </c>
      <c r="Q27" s="475">
        <v>2.52</v>
      </c>
      <c r="R27" s="475">
        <v>3.06</v>
      </c>
      <c r="S27" s="475">
        <v>3.6</v>
      </c>
      <c r="T27" s="475">
        <v>3.87</v>
      </c>
      <c r="U27" s="475">
        <v>1.98</v>
      </c>
      <c r="V27" s="475">
        <v>2.25</v>
      </c>
      <c r="W27" s="475">
        <v>2.52</v>
      </c>
      <c r="X27" s="475">
        <v>1.17</v>
      </c>
      <c r="Y27" s="475">
        <v>0.81</v>
      </c>
      <c r="Z27" s="475">
        <v>1.35</v>
      </c>
    </row>
    <row r="28" spans="2:26">
      <c r="B28" s="475"/>
      <c r="C28" s="474">
        <v>41096</v>
      </c>
      <c r="D28" s="475">
        <v>5.6</v>
      </c>
      <c r="E28" s="475">
        <v>6</v>
      </c>
      <c r="F28" s="475">
        <v>6.15</v>
      </c>
      <c r="G28" s="475">
        <v>6.4</v>
      </c>
      <c r="H28" s="475">
        <v>6.55</v>
      </c>
      <c r="I28" s="475">
        <v>4</v>
      </c>
      <c r="J28" s="475">
        <v>4.5</v>
      </c>
      <c r="L28" s="475"/>
      <c r="M28" s="474">
        <v>39751</v>
      </c>
      <c r="N28" s="475">
        <v>0.72</v>
      </c>
      <c r="O28" s="475">
        <v>2.88</v>
      </c>
      <c r="P28" s="475">
        <v>3.24</v>
      </c>
      <c r="Q28" s="475">
        <v>3.6</v>
      </c>
      <c r="R28" s="475">
        <v>4.14</v>
      </c>
      <c r="S28" s="475">
        <v>4.77</v>
      </c>
      <c r="T28" s="475">
        <v>5.13</v>
      </c>
      <c r="U28" s="475">
        <v>2.88</v>
      </c>
      <c r="V28" s="475">
        <v>3.24</v>
      </c>
      <c r="W28" s="475">
        <v>3.6</v>
      </c>
      <c r="X28" s="475">
        <v>1.53</v>
      </c>
      <c r="Y28" s="475">
        <v>1.17</v>
      </c>
      <c r="Z28" s="475">
        <v>1.71</v>
      </c>
    </row>
    <row r="29" spans="2:26">
      <c r="B29" s="475"/>
      <c r="C29" s="474">
        <v>41068</v>
      </c>
      <c r="D29" s="475">
        <v>5.85</v>
      </c>
      <c r="E29" s="475">
        <v>6.31</v>
      </c>
      <c r="F29" s="475">
        <v>6.4</v>
      </c>
      <c r="G29" s="475">
        <v>6.65</v>
      </c>
      <c r="H29" s="475">
        <v>6.8</v>
      </c>
      <c r="I29" s="475">
        <v>4.2</v>
      </c>
      <c r="J29" s="475">
        <v>4.7</v>
      </c>
      <c r="L29" s="475"/>
      <c r="M29" s="476">
        <v>39736</v>
      </c>
      <c r="N29" s="475">
        <v>0.72</v>
      </c>
      <c r="O29" s="475">
        <v>3.15</v>
      </c>
      <c r="P29" s="475">
        <v>3.51</v>
      </c>
      <c r="Q29" s="475">
        <v>3.87</v>
      </c>
      <c r="R29" s="475">
        <v>4.41</v>
      </c>
      <c r="S29" s="475">
        <v>5.13</v>
      </c>
      <c r="T29" s="475">
        <v>5.58</v>
      </c>
      <c r="U29" s="475">
        <v>3.15</v>
      </c>
      <c r="V29" s="475">
        <v>3.51</v>
      </c>
      <c r="W29" s="475">
        <v>3.87</v>
      </c>
      <c r="X29" s="475">
        <v>1.53</v>
      </c>
      <c r="Y29" s="475">
        <v>1.17</v>
      </c>
      <c r="Z29" s="475">
        <v>1.71</v>
      </c>
    </row>
    <row r="30" spans="2:26">
      <c r="B30" s="475"/>
      <c r="C30" s="474">
        <v>40731</v>
      </c>
      <c r="D30" s="475">
        <v>6.1</v>
      </c>
      <c r="E30" s="475">
        <v>6.56</v>
      </c>
      <c r="F30" s="475">
        <v>6.65</v>
      </c>
      <c r="G30" s="475">
        <v>6.9</v>
      </c>
      <c r="H30" s="475">
        <v>7.05</v>
      </c>
      <c r="I30" s="475">
        <v>4.45</v>
      </c>
      <c r="J30" s="475">
        <v>4.9</v>
      </c>
      <c r="L30" s="475"/>
      <c r="M30" s="474">
        <v>39730</v>
      </c>
      <c r="N30" s="475">
        <v>0.72</v>
      </c>
      <c r="O30" s="475">
        <v>3.15</v>
      </c>
      <c r="P30" s="475">
        <v>3.51</v>
      </c>
      <c r="Q30" s="475">
        <v>3.87</v>
      </c>
      <c r="R30" s="475">
        <v>4.41</v>
      </c>
      <c r="S30" s="475">
        <v>5.13</v>
      </c>
      <c r="T30" s="475">
        <v>5.58</v>
      </c>
      <c r="U30" s="475">
        <v>3.15</v>
      </c>
      <c r="V30" s="475">
        <v>3.51</v>
      </c>
      <c r="W30" s="475">
        <v>3.87</v>
      </c>
      <c r="X30" s="475">
        <v>1.53</v>
      </c>
      <c r="Y30" s="475">
        <v>1.17</v>
      </c>
      <c r="Z30" s="475">
        <v>1.71</v>
      </c>
    </row>
    <row r="31" spans="2:26">
      <c r="B31" s="475"/>
      <c r="C31" s="474">
        <v>40639</v>
      </c>
      <c r="D31" s="475">
        <v>5.85</v>
      </c>
      <c r="E31" s="475">
        <v>6.31</v>
      </c>
      <c r="F31" s="475">
        <v>6.4</v>
      </c>
      <c r="G31" s="475">
        <v>6.65</v>
      </c>
      <c r="H31" s="475">
        <v>6.8</v>
      </c>
      <c r="I31" s="475">
        <v>4.2</v>
      </c>
      <c r="J31" s="475">
        <v>4.7</v>
      </c>
      <c r="L31" s="475"/>
      <c r="M31" s="474">
        <v>39437</v>
      </c>
      <c r="N31" s="475">
        <v>0.72</v>
      </c>
      <c r="O31" s="475">
        <v>3.33</v>
      </c>
      <c r="P31" s="475">
        <v>3.78</v>
      </c>
      <c r="Q31" s="475">
        <v>4.14</v>
      </c>
      <c r="R31" s="475">
        <v>4.68</v>
      </c>
      <c r="S31" s="475">
        <v>5.4</v>
      </c>
      <c r="T31" s="475">
        <v>5.85</v>
      </c>
      <c r="U31" s="475">
        <v>3.33</v>
      </c>
      <c r="V31" s="475">
        <v>3.78</v>
      </c>
      <c r="W31" s="475">
        <v>4.14</v>
      </c>
      <c r="X31" s="475">
        <v>1.53</v>
      </c>
      <c r="Y31" s="475">
        <v>1.17</v>
      </c>
      <c r="Z31" s="475">
        <v>1.71</v>
      </c>
    </row>
    <row r="32" spans="2:26">
      <c r="B32" s="475"/>
      <c r="C32" s="474">
        <v>40583</v>
      </c>
      <c r="D32" s="475">
        <v>5.6</v>
      </c>
      <c r="E32" s="475">
        <v>6.06</v>
      </c>
      <c r="F32" s="475">
        <v>6.1</v>
      </c>
      <c r="G32" s="475">
        <v>6.45</v>
      </c>
      <c r="H32" s="475">
        <v>6.6</v>
      </c>
      <c r="I32" s="475">
        <v>4</v>
      </c>
      <c r="J32" s="475">
        <v>4.5</v>
      </c>
      <c r="L32" s="475"/>
      <c r="M32" s="474">
        <v>39340</v>
      </c>
      <c r="N32" s="475">
        <v>0.81</v>
      </c>
      <c r="O32" s="475">
        <v>2.88</v>
      </c>
      <c r="P32" s="475">
        <v>3.42</v>
      </c>
      <c r="Q32" s="475">
        <v>3.87</v>
      </c>
      <c r="R32" s="475">
        <v>4.5</v>
      </c>
      <c r="S32" s="475">
        <v>5.22</v>
      </c>
      <c r="T32" s="475">
        <v>5.76</v>
      </c>
      <c r="U32" s="475">
        <v>2.88</v>
      </c>
      <c r="V32" s="475">
        <v>3.42</v>
      </c>
      <c r="W32" s="475">
        <v>3.87</v>
      </c>
      <c r="X32" s="475">
        <v>1.53</v>
      </c>
      <c r="Y32" s="475">
        <v>1.17</v>
      </c>
      <c r="Z32" s="475">
        <v>1.71</v>
      </c>
    </row>
    <row r="33" spans="2:26">
      <c r="B33" s="475"/>
      <c r="C33" s="474">
        <v>40538</v>
      </c>
      <c r="D33" s="475">
        <v>5.35</v>
      </c>
      <c r="E33" s="475">
        <v>5.81</v>
      </c>
      <c r="F33" s="475">
        <v>5.85</v>
      </c>
      <c r="G33" s="475">
        <v>6.22</v>
      </c>
      <c r="H33" s="475">
        <v>6.4</v>
      </c>
      <c r="I33" s="475">
        <v>3.75</v>
      </c>
      <c r="J33" s="475">
        <v>4.3</v>
      </c>
      <c r="L33" s="475"/>
      <c r="M33" s="474">
        <v>39316</v>
      </c>
      <c r="N33" s="475">
        <v>0.81</v>
      </c>
      <c r="O33" s="475">
        <v>2.61</v>
      </c>
      <c r="P33" s="475">
        <v>3.15</v>
      </c>
      <c r="Q33" s="475">
        <v>3.6</v>
      </c>
      <c r="R33" s="475">
        <v>4.23</v>
      </c>
      <c r="S33" s="475">
        <v>4.95</v>
      </c>
      <c r="T33" s="475">
        <v>5.49</v>
      </c>
      <c r="U33" s="475">
        <v>2.61</v>
      </c>
      <c r="V33" s="475">
        <v>3.15</v>
      </c>
      <c r="W33" s="475">
        <v>3.6</v>
      </c>
      <c r="X33" s="475">
        <v>1.53</v>
      </c>
      <c r="Y33" s="475">
        <v>1.17</v>
      </c>
      <c r="Z33" s="475">
        <v>1.71</v>
      </c>
    </row>
    <row r="34" spans="2:26">
      <c r="B34" s="475"/>
      <c r="C34" s="474">
        <v>40471</v>
      </c>
      <c r="D34" s="475">
        <v>5.1</v>
      </c>
      <c r="E34" s="475">
        <v>5.56</v>
      </c>
      <c r="F34" s="475">
        <v>5.6</v>
      </c>
      <c r="G34" s="475">
        <v>5.96</v>
      </c>
      <c r="H34" s="475">
        <v>6.14</v>
      </c>
      <c r="I34" s="475">
        <v>3.5</v>
      </c>
      <c r="J34" s="475">
        <v>4.05</v>
      </c>
      <c r="L34" s="475"/>
      <c r="M34" s="474">
        <v>39284</v>
      </c>
      <c r="N34" s="475">
        <v>0.81</v>
      </c>
      <c r="O34" s="475">
        <v>2.34</v>
      </c>
      <c r="P34" s="475">
        <v>2.88</v>
      </c>
      <c r="Q34" s="475">
        <v>3.33</v>
      </c>
      <c r="R34" s="475">
        <v>3.96</v>
      </c>
      <c r="S34" s="475">
        <v>4.68</v>
      </c>
      <c r="T34" s="475">
        <v>5.22</v>
      </c>
      <c r="U34" s="475">
        <v>2.34</v>
      </c>
      <c r="V34" s="475">
        <v>2.88</v>
      </c>
      <c r="W34" s="475">
        <v>3.33</v>
      </c>
      <c r="X34" s="475">
        <v>1.53</v>
      </c>
      <c r="Y34" s="475">
        <v>1.17</v>
      </c>
      <c r="Z34" s="475">
        <v>1.71</v>
      </c>
    </row>
    <row r="35" spans="2:26">
      <c r="B35" s="475"/>
      <c r="C35" s="474">
        <v>39805</v>
      </c>
      <c r="D35" s="475">
        <v>4.86</v>
      </c>
      <c r="E35" s="475">
        <v>5.31</v>
      </c>
      <c r="F35" s="475">
        <v>5.4</v>
      </c>
      <c r="G35" s="475">
        <v>5.76</v>
      </c>
      <c r="H35" s="475">
        <v>5.94</v>
      </c>
      <c r="I35" s="475">
        <v>3.33</v>
      </c>
      <c r="J35" s="475">
        <v>3.87</v>
      </c>
      <c r="L35" s="475"/>
      <c r="M35" s="474">
        <v>39221</v>
      </c>
      <c r="N35" s="475">
        <v>0.72</v>
      </c>
      <c r="O35" s="475">
        <v>2.07</v>
      </c>
      <c r="P35" s="475">
        <v>2.61</v>
      </c>
      <c r="Q35" s="475">
        <v>3.06</v>
      </c>
      <c r="R35" s="475">
        <v>3.69</v>
      </c>
      <c r="S35" s="475">
        <v>4.41</v>
      </c>
      <c r="T35" s="475">
        <v>4.95</v>
      </c>
      <c r="U35" s="475">
        <v>2.07</v>
      </c>
      <c r="V35" s="475">
        <v>2.61</v>
      </c>
      <c r="W35" s="475">
        <v>3.06</v>
      </c>
      <c r="X35" s="475">
        <v>1.44</v>
      </c>
      <c r="Y35" s="475">
        <v>1.08</v>
      </c>
      <c r="Z35" s="475">
        <v>1.62</v>
      </c>
    </row>
    <row r="36" spans="2:26">
      <c r="B36" s="475"/>
      <c r="C36" s="474">
        <v>39779</v>
      </c>
      <c r="D36" s="475">
        <v>5.04</v>
      </c>
      <c r="E36" s="475">
        <v>5.58</v>
      </c>
      <c r="F36" s="475">
        <v>5.67</v>
      </c>
      <c r="G36" s="475">
        <v>5.94</v>
      </c>
      <c r="H36" s="475">
        <v>6.12</v>
      </c>
      <c r="I36" s="475">
        <v>3.51</v>
      </c>
      <c r="J36" s="475">
        <v>4.05</v>
      </c>
      <c r="L36" s="475"/>
      <c r="M36" s="474">
        <v>39159</v>
      </c>
      <c r="N36" s="475">
        <v>0.72</v>
      </c>
      <c r="O36" s="475">
        <v>1.98</v>
      </c>
      <c r="P36" s="475">
        <v>2.43</v>
      </c>
      <c r="Q36" s="475">
        <v>2.79</v>
      </c>
      <c r="R36" s="475">
        <v>3.33</v>
      </c>
      <c r="S36" s="475">
        <v>3.96</v>
      </c>
      <c r="T36" s="475">
        <v>4.41</v>
      </c>
      <c r="U36" s="475">
        <v>1.98</v>
      </c>
      <c r="V36" s="475">
        <v>2.43</v>
      </c>
      <c r="W36" s="475">
        <v>2.79</v>
      </c>
      <c r="X36" s="475">
        <v>1.44</v>
      </c>
      <c r="Y36" s="475">
        <v>1.08</v>
      </c>
      <c r="Z36" s="475">
        <v>1.62</v>
      </c>
    </row>
    <row r="37" spans="2:26">
      <c r="B37" s="475"/>
      <c r="C37" s="474">
        <v>39751</v>
      </c>
      <c r="D37" s="475">
        <v>6.03</v>
      </c>
      <c r="E37" s="475">
        <v>6.66</v>
      </c>
      <c r="F37" s="475">
        <v>6.75</v>
      </c>
      <c r="G37" s="475">
        <v>7.02</v>
      </c>
      <c r="H37" s="475">
        <v>7.2</v>
      </c>
      <c r="I37" s="475">
        <v>4.05</v>
      </c>
      <c r="J37" s="475">
        <v>4.59</v>
      </c>
      <c r="L37" s="475"/>
      <c r="M37" s="474">
        <v>38948</v>
      </c>
      <c r="N37" s="475">
        <v>0.72</v>
      </c>
      <c r="O37" s="475">
        <v>1.8</v>
      </c>
      <c r="P37" s="475">
        <v>2.25</v>
      </c>
      <c r="Q37" s="475">
        <v>2.52</v>
      </c>
      <c r="R37" s="475">
        <v>3.06</v>
      </c>
      <c r="S37" s="475">
        <v>3.69</v>
      </c>
      <c r="T37" s="475">
        <v>4.14</v>
      </c>
      <c r="U37" s="475">
        <v>1.8</v>
      </c>
      <c r="V37" s="475">
        <v>2.25</v>
      </c>
      <c r="W37" s="475">
        <v>2.52</v>
      </c>
      <c r="X37" s="475">
        <v>1.44</v>
      </c>
      <c r="Y37" s="475">
        <v>1.08</v>
      </c>
      <c r="Z37" s="475">
        <v>1.62</v>
      </c>
    </row>
    <row r="38" spans="2:26">
      <c r="B38" s="475"/>
      <c r="C38" s="476">
        <v>39748</v>
      </c>
      <c r="D38" s="475">
        <v>6.12</v>
      </c>
      <c r="E38" s="475">
        <v>6.93</v>
      </c>
      <c r="F38" s="475">
        <v>7.02</v>
      </c>
      <c r="G38" s="475">
        <v>7.29</v>
      </c>
      <c r="H38" s="475">
        <v>7.47</v>
      </c>
      <c r="I38" s="475">
        <v>4.05</v>
      </c>
      <c r="J38" s="475">
        <v>4.59</v>
      </c>
      <c r="L38" s="475"/>
      <c r="M38" s="474">
        <v>38289</v>
      </c>
      <c r="N38" s="475">
        <v>0.72</v>
      </c>
      <c r="O38" s="475">
        <v>1.71</v>
      </c>
      <c r="P38" s="475">
        <v>2.07</v>
      </c>
      <c r="Q38" s="475">
        <v>2.25</v>
      </c>
      <c r="R38" s="475">
        <v>2.7</v>
      </c>
      <c r="S38" s="475">
        <v>3.24</v>
      </c>
      <c r="T38" s="475">
        <v>3.6</v>
      </c>
      <c r="U38" s="475">
        <v>1.71</v>
      </c>
      <c r="V38" s="475">
        <v>2.07</v>
      </c>
      <c r="W38" s="475">
        <v>2.25</v>
      </c>
      <c r="X38" s="475">
        <v>1.44</v>
      </c>
      <c r="Y38" s="475">
        <v>1.08</v>
      </c>
      <c r="Z38" s="475">
        <v>1.62</v>
      </c>
    </row>
    <row r="39" spans="2:26">
      <c r="B39" s="475"/>
      <c r="C39" s="474">
        <v>39730</v>
      </c>
      <c r="D39" s="475">
        <v>6.12</v>
      </c>
      <c r="E39" s="475">
        <v>6.93</v>
      </c>
      <c r="F39" s="475">
        <v>7.02</v>
      </c>
      <c r="G39" s="475">
        <v>7.29</v>
      </c>
      <c r="H39" s="475">
        <v>7.47</v>
      </c>
      <c r="I39" s="475">
        <v>4.32</v>
      </c>
      <c r="J39" s="475">
        <v>4.86</v>
      </c>
      <c r="L39" s="475"/>
      <c r="M39" s="474">
        <v>37308</v>
      </c>
      <c r="N39" s="475">
        <v>0.72</v>
      </c>
      <c r="O39" s="475">
        <v>1.71</v>
      </c>
      <c r="P39" s="475">
        <v>1.89</v>
      </c>
      <c r="Q39" s="475">
        <v>1.98</v>
      </c>
      <c r="R39" s="475">
        <v>2.25</v>
      </c>
      <c r="S39" s="475">
        <v>2.52</v>
      </c>
      <c r="T39" s="475">
        <v>2.79</v>
      </c>
      <c r="U39" s="475">
        <v>1.71</v>
      </c>
      <c r="V39" s="475">
        <v>1.89</v>
      </c>
      <c r="W39" s="475">
        <v>1.98</v>
      </c>
      <c r="X39" s="475">
        <v>1.44</v>
      </c>
      <c r="Y39" s="475">
        <v>1.08</v>
      </c>
      <c r="Z39" s="475">
        <v>1.62</v>
      </c>
    </row>
    <row r="40" spans="2:26">
      <c r="B40" s="475"/>
      <c r="C40" s="474">
        <v>39707</v>
      </c>
      <c r="D40" s="475">
        <v>6.21</v>
      </c>
      <c r="E40" s="475">
        <v>7.2</v>
      </c>
      <c r="F40" s="475">
        <v>7.29</v>
      </c>
      <c r="G40" s="475">
        <v>7.56</v>
      </c>
      <c r="H40" s="475">
        <v>7.74</v>
      </c>
      <c r="I40" s="475">
        <v>4.59</v>
      </c>
      <c r="J40" s="475">
        <v>5.13</v>
      </c>
      <c r="L40" s="475"/>
      <c r="M40" s="474">
        <v>36321</v>
      </c>
      <c r="N40" s="475">
        <v>0.99</v>
      </c>
      <c r="O40" s="475">
        <v>1.98</v>
      </c>
      <c r="P40" s="475">
        <v>2.16</v>
      </c>
      <c r="Q40" s="475">
        <v>2.25</v>
      </c>
      <c r="R40" s="475">
        <v>2.43</v>
      </c>
      <c r="S40" s="475">
        <v>2.7</v>
      </c>
      <c r="T40" s="475">
        <v>2.88</v>
      </c>
      <c r="U40" s="475">
        <v>1.98</v>
      </c>
      <c r="V40" s="475">
        <v>2.16</v>
      </c>
      <c r="W40" s="475">
        <v>2.25</v>
      </c>
      <c r="X40" s="475">
        <v>1.71</v>
      </c>
      <c r="Y40" s="475">
        <v>1.35</v>
      </c>
      <c r="Z40" s="475">
        <v>1.89</v>
      </c>
    </row>
    <row r="41" spans="2:26">
      <c r="B41" s="475"/>
      <c r="C41" s="474">
        <v>39437</v>
      </c>
      <c r="D41" s="475">
        <v>6.57</v>
      </c>
      <c r="E41" s="475">
        <v>7.47</v>
      </c>
      <c r="F41" s="475">
        <v>7.56</v>
      </c>
      <c r="G41" s="475">
        <v>7.74</v>
      </c>
      <c r="H41" s="475">
        <v>7.83</v>
      </c>
      <c r="I41" s="475">
        <v>4.77</v>
      </c>
      <c r="J41" s="475">
        <v>5.22</v>
      </c>
      <c r="L41" s="475"/>
      <c r="M41" s="474">
        <v>36136</v>
      </c>
      <c r="N41" s="475">
        <v>1.44</v>
      </c>
      <c r="O41" s="475">
        <v>2.79</v>
      </c>
      <c r="P41" s="475">
        <v>3.33</v>
      </c>
      <c r="Q41" s="475">
        <v>3.78</v>
      </c>
      <c r="R41" s="475">
        <v>3.96</v>
      </c>
      <c r="S41" s="475">
        <v>4.14</v>
      </c>
      <c r="T41" s="475">
        <v>4.5</v>
      </c>
      <c r="U41" s="475">
        <v>3.33</v>
      </c>
      <c r="V41" s="475">
        <v>3.78</v>
      </c>
      <c r="W41" s="475">
        <v>4.14</v>
      </c>
      <c r="X41" s="475">
        <v>2.16</v>
      </c>
      <c r="Y41" s="475">
        <v>1.8</v>
      </c>
      <c r="Z41" s="475">
        <v>2.34</v>
      </c>
    </row>
    <row r="42" spans="2:26">
      <c r="B42" s="475"/>
      <c r="C42" s="474">
        <v>39340</v>
      </c>
      <c r="D42" s="475">
        <v>6.48</v>
      </c>
      <c r="E42" s="475">
        <v>7.29</v>
      </c>
      <c r="F42" s="475">
        <v>7.47</v>
      </c>
      <c r="G42" s="475">
        <v>7.65</v>
      </c>
      <c r="H42" s="475">
        <v>7.83</v>
      </c>
      <c r="I42" s="475">
        <v>4.77</v>
      </c>
      <c r="J42" s="475">
        <v>5.22</v>
      </c>
      <c r="L42" s="475"/>
      <c r="M42" s="474">
        <v>35977</v>
      </c>
      <c r="N42" s="475">
        <v>1.44</v>
      </c>
      <c r="O42" s="475">
        <v>2.79</v>
      </c>
      <c r="P42" s="475">
        <v>3.96</v>
      </c>
      <c r="Q42" s="475">
        <v>4.77</v>
      </c>
      <c r="R42" s="475">
        <v>4.86</v>
      </c>
      <c r="S42" s="475">
        <v>4.95</v>
      </c>
      <c r="T42" s="475">
        <v>5.22</v>
      </c>
      <c r="U42" s="475">
        <v>3.96</v>
      </c>
      <c r="V42" s="475">
        <v>4.77</v>
      </c>
      <c r="W42" s="475">
        <v>4.95</v>
      </c>
      <c r="X42" s="475" t="s">
        <v>2632</v>
      </c>
      <c r="Y42" s="475" t="s">
        <v>2632</v>
      </c>
      <c r="Z42" s="475" t="s">
        <v>2632</v>
      </c>
    </row>
    <row r="43" spans="2:26">
      <c r="B43" s="475"/>
      <c r="C43" s="474">
        <v>39316</v>
      </c>
      <c r="D43" s="475">
        <v>6.21</v>
      </c>
      <c r="E43" s="475">
        <v>7.02</v>
      </c>
      <c r="F43" s="475">
        <v>7.2</v>
      </c>
      <c r="G43" s="475">
        <v>7.38</v>
      </c>
      <c r="H43" s="475">
        <v>7.56</v>
      </c>
      <c r="I43" s="475">
        <v>4.59</v>
      </c>
      <c r="J43" s="475">
        <v>5.04</v>
      </c>
      <c r="L43" s="475"/>
      <c r="M43" s="474">
        <v>35879</v>
      </c>
      <c r="N43" s="475">
        <v>1.71</v>
      </c>
      <c r="O43" s="475">
        <v>2.88</v>
      </c>
      <c r="P43" s="475">
        <v>4.14</v>
      </c>
      <c r="Q43" s="475">
        <v>5.22</v>
      </c>
      <c r="R43" s="475">
        <v>5.58</v>
      </c>
      <c r="S43" s="475">
        <v>6.21</v>
      </c>
      <c r="T43" s="475">
        <v>6.66</v>
      </c>
      <c r="U43" s="475">
        <v>4.14</v>
      </c>
      <c r="V43" s="475">
        <v>5.22</v>
      </c>
      <c r="W43" s="475">
        <v>6.21</v>
      </c>
      <c r="X43" s="475" t="s">
        <v>2632</v>
      </c>
      <c r="Y43" s="475" t="s">
        <v>2632</v>
      </c>
      <c r="Z43" s="475" t="s">
        <v>2632</v>
      </c>
    </row>
    <row r="44" spans="2:26">
      <c r="B44" s="475"/>
      <c r="C44" s="474">
        <v>39284</v>
      </c>
      <c r="D44" s="475">
        <v>6.03</v>
      </c>
      <c r="E44" s="475">
        <v>6.84</v>
      </c>
      <c r="F44" s="475">
        <v>7.02</v>
      </c>
      <c r="G44" s="475">
        <v>7.2</v>
      </c>
      <c r="H44" s="475">
        <v>7.38</v>
      </c>
      <c r="I44" s="475">
        <v>4.5</v>
      </c>
      <c r="J44" s="475">
        <v>4.95</v>
      </c>
      <c r="L44" s="475"/>
      <c r="M44" s="474">
        <v>35726</v>
      </c>
      <c r="N44" s="475">
        <v>1.71</v>
      </c>
      <c r="O44" s="475">
        <v>2.88</v>
      </c>
      <c r="P44" s="475">
        <v>4.14</v>
      </c>
      <c r="Q44" s="475">
        <v>5.67</v>
      </c>
      <c r="R44" s="475">
        <v>5.94</v>
      </c>
      <c r="S44" s="475">
        <v>6.21</v>
      </c>
      <c r="T44" s="475">
        <v>6.66</v>
      </c>
      <c r="U44" s="475">
        <v>4.14</v>
      </c>
      <c r="V44" s="475">
        <v>5.67</v>
      </c>
      <c r="W44" s="475">
        <v>6.21</v>
      </c>
      <c r="X44" s="475" t="s">
        <v>2632</v>
      </c>
      <c r="Y44" s="475" t="s">
        <v>2632</v>
      </c>
      <c r="Z44" s="475" t="s">
        <v>2632</v>
      </c>
    </row>
    <row r="45" spans="2:26">
      <c r="B45" s="475"/>
      <c r="C45" s="474">
        <v>39221</v>
      </c>
      <c r="D45" s="475">
        <v>5.85</v>
      </c>
      <c r="E45" s="475">
        <v>6.57</v>
      </c>
      <c r="F45" s="475">
        <v>6.75</v>
      </c>
      <c r="G45" s="475">
        <v>6.93</v>
      </c>
      <c r="H45" s="475">
        <v>7.2</v>
      </c>
      <c r="I45" s="475">
        <v>4.41</v>
      </c>
      <c r="J45" s="475">
        <v>4.86</v>
      </c>
      <c r="L45" s="475"/>
      <c r="M45" s="474">
        <v>35300</v>
      </c>
      <c r="N45" s="475">
        <v>1.98</v>
      </c>
      <c r="O45" s="475">
        <v>3.33</v>
      </c>
      <c r="P45" s="475">
        <v>5.4</v>
      </c>
      <c r="Q45" s="475">
        <v>7.47</v>
      </c>
      <c r="R45" s="475">
        <v>7.92</v>
      </c>
      <c r="S45" s="475">
        <v>8.28</v>
      </c>
      <c r="T45" s="475">
        <v>9</v>
      </c>
      <c r="U45" s="475">
        <v>5.4</v>
      </c>
      <c r="V45" s="475">
        <v>7.47</v>
      </c>
      <c r="W45" s="475">
        <v>8.28</v>
      </c>
      <c r="X45" s="475" t="s">
        <v>2632</v>
      </c>
      <c r="Y45" s="475" t="s">
        <v>2632</v>
      </c>
      <c r="Z45" s="475" t="s">
        <v>2632</v>
      </c>
    </row>
    <row r="46" spans="2:26">
      <c r="B46" s="475"/>
      <c r="C46" s="474">
        <v>39159</v>
      </c>
      <c r="D46" s="475">
        <v>5.67</v>
      </c>
      <c r="E46" s="475">
        <v>6.39</v>
      </c>
      <c r="F46" s="475">
        <v>6.57</v>
      </c>
      <c r="G46" s="475">
        <v>6.75</v>
      </c>
      <c r="H46" s="475">
        <v>7.11</v>
      </c>
      <c r="I46" s="475">
        <v>4.32</v>
      </c>
      <c r="J46" s="475">
        <v>4.77</v>
      </c>
      <c r="L46" s="475"/>
      <c r="M46" s="474">
        <v>35186</v>
      </c>
      <c r="N46" s="475">
        <v>2.97</v>
      </c>
      <c r="O46" s="475">
        <v>4.86</v>
      </c>
      <c r="P46" s="475">
        <v>7.2</v>
      </c>
      <c r="Q46" s="475">
        <v>9.18</v>
      </c>
      <c r="R46" s="475">
        <v>9.9</v>
      </c>
      <c r="S46" s="475">
        <v>10.8</v>
      </c>
      <c r="T46" s="475">
        <v>12.06</v>
      </c>
      <c r="U46" s="475">
        <v>7.2</v>
      </c>
      <c r="V46" s="475">
        <v>9.18</v>
      </c>
      <c r="W46" s="475">
        <v>10.8</v>
      </c>
      <c r="X46" s="475" t="s">
        <v>2632</v>
      </c>
      <c r="Y46" s="475" t="s">
        <v>2632</v>
      </c>
      <c r="Z46" s="475" t="s">
        <v>2632</v>
      </c>
    </row>
    <row r="47" spans="2:26">
      <c r="B47" s="475"/>
      <c r="C47" s="474">
        <v>38948</v>
      </c>
      <c r="D47" s="475">
        <v>5.58</v>
      </c>
      <c r="E47" s="475">
        <v>6.12</v>
      </c>
      <c r="F47" s="475">
        <v>6.3</v>
      </c>
      <c r="G47" s="475">
        <v>6.48</v>
      </c>
      <c r="H47" s="475">
        <v>6.84</v>
      </c>
      <c r="I47" s="475">
        <v>4.14</v>
      </c>
      <c r="J47" s="475">
        <v>4.59</v>
      </c>
      <c r="L47" s="475"/>
      <c r="M47" s="474">
        <v>34161</v>
      </c>
      <c r="N47" s="475">
        <v>3.15</v>
      </c>
      <c r="O47" s="475">
        <v>6.66</v>
      </c>
      <c r="P47" s="475">
        <v>9</v>
      </c>
      <c r="Q47" s="475">
        <v>10.98</v>
      </c>
      <c r="R47" s="475">
        <v>11.7</v>
      </c>
      <c r="S47" s="475">
        <v>12.24</v>
      </c>
      <c r="T47" s="475">
        <v>13.86</v>
      </c>
      <c r="U47" s="475">
        <v>9</v>
      </c>
      <c r="V47" s="475">
        <v>10.98</v>
      </c>
      <c r="W47" s="475">
        <v>12.24</v>
      </c>
      <c r="X47" s="475" t="s">
        <v>2632</v>
      </c>
      <c r="Y47" s="475" t="s">
        <v>2632</v>
      </c>
      <c r="Z47" s="475" t="s">
        <v>2632</v>
      </c>
    </row>
    <row r="48" spans="2:26">
      <c r="B48" s="475"/>
      <c r="C48" s="474">
        <v>38835</v>
      </c>
      <c r="D48" s="475">
        <v>5.4</v>
      </c>
      <c r="E48" s="475">
        <v>5.85</v>
      </c>
      <c r="F48" s="475">
        <v>6.03</v>
      </c>
      <c r="G48" s="475">
        <v>6.12</v>
      </c>
      <c r="H48" s="475">
        <v>6.39</v>
      </c>
      <c r="I48" s="475">
        <v>4.14</v>
      </c>
      <c r="J48" s="475">
        <v>4.59</v>
      </c>
      <c r="L48" s="475"/>
      <c r="M48" s="474">
        <v>34104</v>
      </c>
      <c r="N48" s="475">
        <v>2.16</v>
      </c>
      <c r="O48" s="475">
        <v>4.86</v>
      </c>
      <c r="P48" s="475">
        <v>7.2</v>
      </c>
      <c r="Q48" s="475">
        <v>9.18</v>
      </c>
      <c r="R48" s="475">
        <v>9.9</v>
      </c>
      <c r="S48" s="475">
        <v>10.8</v>
      </c>
      <c r="T48" s="475">
        <v>12.06</v>
      </c>
      <c r="U48" s="475">
        <v>7.2</v>
      </c>
      <c r="V48" s="475">
        <v>9.18</v>
      </c>
      <c r="W48" s="475">
        <v>10.8</v>
      </c>
      <c r="X48" s="475" t="s">
        <v>2632</v>
      </c>
      <c r="Y48" s="475" t="s">
        <v>2632</v>
      </c>
      <c r="Z48" s="475" t="s">
        <v>2632</v>
      </c>
    </row>
    <row r="49" spans="2:26">
      <c r="B49" s="475"/>
      <c r="C49" s="474">
        <v>38428</v>
      </c>
      <c r="D49" s="475">
        <v>5.22</v>
      </c>
      <c r="E49" s="475">
        <v>5.58</v>
      </c>
      <c r="F49" s="475">
        <v>5.76</v>
      </c>
      <c r="G49" s="475">
        <v>5.85</v>
      </c>
      <c r="H49" s="475">
        <v>6.12</v>
      </c>
      <c r="I49" s="475">
        <v>3.96</v>
      </c>
      <c r="J49" s="475">
        <v>4.41</v>
      </c>
      <c r="L49" s="475"/>
      <c r="M49" s="474">
        <v>33349</v>
      </c>
      <c r="N49" s="475">
        <v>1.8</v>
      </c>
      <c r="O49" s="475">
        <v>3.24</v>
      </c>
      <c r="P49" s="475">
        <v>5.4</v>
      </c>
      <c r="Q49" s="475">
        <v>7.56</v>
      </c>
      <c r="R49" s="475">
        <v>7.92</v>
      </c>
      <c r="S49" s="475">
        <v>8.28</v>
      </c>
      <c r="T49" s="475">
        <v>9</v>
      </c>
      <c r="U49" s="475">
        <v>6.12</v>
      </c>
      <c r="V49" s="475">
        <v>6.84</v>
      </c>
      <c r="W49" s="475">
        <v>7.56</v>
      </c>
      <c r="X49" s="475" t="s">
        <v>2632</v>
      </c>
      <c r="Y49" s="475" t="s">
        <v>2632</v>
      </c>
      <c r="Z49" s="475" t="s">
        <v>2632</v>
      </c>
    </row>
    <row r="50" spans="2:26">
      <c r="B50" s="475"/>
      <c r="C50" s="474">
        <v>38289</v>
      </c>
      <c r="D50" s="475">
        <v>5.22</v>
      </c>
      <c r="E50" s="475">
        <v>5.58</v>
      </c>
      <c r="F50" s="475">
        <v>5.76</v>
      </c>
      <c r="G50" s="475">
        <v>5.85</v>
      </c>
      <c r="H50" s="475">
        <v>6.12</v>
      </c>
      <c r="I50" s="475">
        <v>3.78</v>
      </c>
      <c r="J50" s="475">
        <v>4.23</v>
      </c>
      <c r="L50" s="475"/>
      <c r="M50" s="474">
        <v>33106</v>
      </c>
      <c r="N50" s="475">
        <v>2.16</v>
      </c>
      <c r="O50" s="475">
        <v>4.32</v>
      </c>
      <c r="P50" s="475">
        <v>6.48</v>
      </c>
      <c r="Q50" s="475">
        <v>8.64</v>
      </c>
      <c r="R50" s="475">
        <v>9.36</v>
      </c>
      <c r="S50" s="475">
        <v>10.08</v>
      </c>
      <c r="T50" s="475">
        <v>11.52</v>
      </c>
      <c r="U50" s="475">
        <v>7.2</v>
      </c>
      <c r="V50" s="475">
        <v>8.64</v>
      </c>
      <c r="W50" s="475">
        <v>10.08</v>
      </c>
      <c r="X50" s="475" t="s">
        <v>2632</v>
      </c>
      <c r="Y50" s="475" t="s">
        <v>2632</v>
      </c>
      <c r="Z50" s="475" t="s">
        <v>2632</v>
      </c>
    </row>
    <row r="51" spans="2:26">
      <c r="B51" s="475"/>
      <c r="C51" s="474">
        <v>37308</v>
      </c>
      <c r="D51" s="475">
        <v>5.04</v>
      </c>
      <c r="E51" s="475">
        <v>5.31</v>
      </c>
      <c r="F51" s="475">
        <v>5.49</v>
      </c>
      <c r="G51" s="475">
        <v>5.58</v>
      </c>
      <c r="H51" s="475">
        <v>5.76</v>
      </c>
      <c r="I51" s="475">
        <v>3.6</v>
      </c>
      <c r="J51" s="475">
        <v>4.05</v>
      </c>
      <c r="L51" s="475"/>
      <c r="M51" s="474">
        <v>32978</v>
      </c>
      <c r="N51" s="475">
        <v>2.88</v>
      </c>
      <c r="O51" s="475">
        <v>6.3</v>
      </c>
      <c r="P51" s="475">
        <v>7.74</v>
      </c>
      <c r="Q51" s="475">
        <v>10.08</v>
      </c>
      <c r="R51" s="475">
        <v>10.98</v>
      </c>
      <c r="S51" s="475">
        <v>11.88</v>
      </c>
      <c r="T51" s="475">
        <v>13.68</v>
      </c>
      <c r="U51" s="475" t="s">
        <v>2632</v>
      </c>
      <c r="V51" s="475" t="s">
        <v>2632</v>
      </c>
      <c r="W51" s="475" t="s">
        <v>2632</v>
      </c>
      <c r="X51" s="475" t="s">
        <v>2632</v>
      </c>
      <c r="Y51" s="475" t="s">
        <v>2632</v>
      </c>
      <c r="Z51" s="475" t="s">
        <v>2632</v>
      </c>
    </row>
    <row r="52" spans="2:26">
      <c r="B52" s="475"/>
      <c r="C52" s="474">
        <v>36321</v>
      </c>
      <c r="D52" s="475">
        <v>5.58</v>
      </c>
      <c r="E52" s="475">
        <v>5.85</v>
      </c>
      <c r="F52" s="475">
        <v>5.94</v>
      </c>
      <c r="G52" s="475">
        <v>6.03</v>
      </c>
      <c r="H52" s="475">
        <v>6.21</v>
      </c>
      <c r="I52" s="475">
        <v>4.14</v>
      </c>
      <c r="J52" s="475">
        <v>4.59</v>
      </c>
      <c r="L52" s="475"/>
      <c r="M52" s="474"/>
      <c r="N52" s="475"/>
      <c r="O52" s="475"/>
      <c r="P52" s="475"/>
      <c r="Q52" s="475"/>
      <c r="R52" s="475"/>
      <c r="S52" s="475"/>
      <c r="T52" s="475"/>
      <c r="U52" s="475"/>
      <c r="V52" s="475"/>
      <c r="W52" s="475"/>
      <c r="X52" s="475"/>
      <c r="Y52" s="475"/>
      <c r="Z52" s="475"/>
    </row>
    <row r="53" spans="2:26">
      <c r="B53" s="475"/>
      <c r="C53" s="474">
        <v>36136</v>
      </c>
      <c r="D53" s="475">
        <v>6.12</v>
      </c>
      <c r="E53" s="475">
        <v>6.39</v>
      </c>
      <c r="F53" s="475">
        <v>6.66</v>
      </c>
      <c r="G53" s="475">
        <v>7.2</v>
      </c>
      <c r="H53" s="475">
        <v>7.56</v>
      </c>
      <c r="I53" s="475">
        <v>0</v>
      </c>
      <c r="J53" s="475">
        <v>0</v>
      </c>
      <c r="L53" s="475"/>
      <c r="M53" s="474"/>
      <c r="N53" s="475"/>
      <c r="O53" s="475"/>
      <c r="P53" s="475"/>
      <c r="Q53" s="475"/>
      <c r="R53" s="475"/>
      <c r="S53" s="475"/>
      <c r="T53" s="475"/>
      <c r="U53" s="475"/>
      <c r="V53" s="475"/>
      <c r="W53" s="475"/>
      <c r="X53" s="475"/>
      <c r="Y53" s="475"/>
      <c r="Z53" s="475"/>
    </row>
    <row r="54" spans="2:26">
      <c r="B54" s="475"/>
      <c r="C54" s="474">
        <v>35977</v>
      </c>
      <c r="D54" s="475">
        <v>6.57</v>
      </c>
      <c r="E54" s="475">
        <v>6.93</v>
      </c>
      <c r="F54" s="475">
        <v>7.11</v>
      </c>
      <c r="G54" s="475">
        <v>7.65</v>
      </c>
      <c r="H54" s="475">
        <v>8.01</v>
      </c>
      <c r="I54" s="475">
        <v>0</v>
      </c>
      <c r="J54" s="475">
        <v>0</v>
      </c>
      <c r="L54" s="475"/>
      <c r="M54" s="474"/>
      <c r="N54" s="475"/>
      <c r="O54" s="475"/>
      <c r="P54" s="475"/>
      <c r="Q54" s="475"/>
      <c r="R54" s="475"/>
      <c r="S54" s="475"/>
      <c r="T54" s="475"/>
      <c r="U54" s="475"/>
      <c r="V54" s="475"/>
      <c r="W54" s="475"/>
      <c r="X54" s="475"/>
      <c r="Y54" s="475"/>
      <c r="Z54" s="475"/>
    </row>
    <row r="55" spans="2:26">
      <c r="B55" s="475"/>
      <c r="C55" s="474">
        <v>35879</v>
      </c>
      <c r="D55" s="475">
        <v>7.02</v>
      </c>
      <c r="E55" s="475">
        <v>7.92</v>
      </c>
      <c r="F55" s="475">
        <v>9</v>
      </c>
      <c r="G55" s="475">
        <v>9.72</v>
      </c>
      <c r="H55" s="475">
        <v>10.35</v>
      </c>
      <c r="I55" s="475">
        <v>0</v>
      </c>
      <c r="J55" s="475">
        <v>0</v>
      </c>
      <c r="L55" s="475"/>
      <c r="M55" s="474"/>
      <c r="N55" s="475"/>
      <c r="O55" s="475"/>
      <c r="P55" s="475"/>
      <c r="Q55" s="475"/>
      <c r="R55" s="475"/>
      <c r="S55" s="475"/>
      <c r="T55" s="475"/>
      <c r="U55" s="475"/>
      <c r="V55" s="475"/>
      <c r="W55" s="475"/>
      <c r="X55" s="475"/>
      <c r="Y55" s="475"/>
      <c r="Z55" s="475"/>
    </row>
    <row r="56" spans="2:26">
      <c r="B56" s="475"/>
      <c r="C56" s="474">
        <v>35726</v>
      </c>
      <c r="D56" s="475">
        <v>7.65</v>
      </c>
      <c r="E56" s="475">
        <v>8.64</v>
      </c>
      <c r="F56" s="475">
        <v>9.36</v>
      </c>
      <c r="G56" s="475">
        <v>9.9</v>
      </c>
      <c r="H56" s="475">
        <v>10.53</v>
      </c>
      <c r="I56" s="475">
        <v>0</v>
      </c>
      <c r="J56" s="475">
        <v>0</v>
      </c>
      <c r="L56" s="475"/>
      <c r="M56" s="474"/>
      <c r="N56" s="475"/>
      <c r="O56" s="475"/>
      <c r="P56" s="475"/>
      <c r="Q56" s="475"/>
      <c r="R56" s="475"/>
      <c r="S56" s="475"/>
      <c r="T56" s="475"/>
      <c r="U56" s="475"/>
      <c r="V56" s="475"/>
      <c r="W56" s="475"/>
      <c r="X56" s="475"/>
      <c r="Y56" s="475"/>
      <c r="Z56" s="475"/>
    </row>
    <row r="57" spans="2:26">
      <c r="B57" s="475"/>
      <c r="C57" s="474">
        <v>35300</v>
      </c>
      <c r="D57" s="475">
        <v>9.18</v>
      </c>
      <c r="E57" s="475">
        <v>10.08</v>
      </c>
      <c r="F57" s="475">
        <v>10.98</v>
      </c>
      <c r="G57" s="475">
        <v>11.7</v>
      </c>
      <c r="H57" s="475">
        <v>12.42</v>
      </c>
      <c r="I57" s="475">
        <v>0</v>
      </c>
      <c r="J57" s="475">
        <v>0</v>
      </c>
      <c r="L57" s="475"/>
      <c r="M57" s="474"/>
      <c r="N57" s="475"/>
      <c r="O57" s="475"/>
      <c r="P57" s="475"/>
      <c r="Q57" s="475"/>
      <c r="R57" s="475"/>
      <c r="S57" s="475"/>
      <c r="T57" s="475"/>
      <c r="U57" s="475"/>
      <c r="V57" s="475"/>
      <c r="W57" s="475"/>
      <c r="X57" s="475"/>
      <c r="Y57" s="475"/>
      <c r="Z57" s="475"/>
    </row>
    <row r="58" spans="2:10">
      <c r="B58" s="475"/>
      <c r="C58" s="474">
        <v>35186</v>
      </c>
      <c r="D58" s="475">
        <v>9.72</v>
      </c>
      <c r="E58" s="475">
        <v>10.98</v>
      </c>
      <c r="F58" s="475">
        <v>13.14</v>
      </c>
      <c r="G58" s="475">
        <v>14.94</v>
      </c>
      <c r="H58" s="475">
        <v>15.12</v>
      </c>
      <c r="I58" s="475">
        <v>0</v>
      </c>
      <c r="J58" s="475">
        <v>0</v>
      </c>
    </row>
    <row r="59" spans="2:10">
      <c r="B59" s="475"/>
      <c r="C59" s="474">
        <v>34881</v>
      </c>
      <c r="D59" s="475">
        <v>10.08</v>
      </c>
      <c r="E59" s="475">
        <v>12.06</v>
      </c>
      <c r="F59" s="475">
        <v>13.5</v>
      </c>
      <c r="G59" s="475">
        <v>15.12</v>
      </c>
      <c r="H59" s="475">
        <v>15.3</v>
      </c>
      <c r="I59" s="475">
        <v>0</v>
      </c>
      <c r="J59" s="475">
        <v>0</v>
      </c>
    </row>
    <row r="60" spans="2:10">
      <c r="B60" s="475"/>
      <c r="C60" s="474">
        <v>34700</v>
      </c>
      <c r="D60" s="475">
        <v>9</v>
      </c>
      <c r="E60" s="475">
        <v>10.98</v>
      </c>
      <c r="F60" s="475">
        <v>12.96</v>
      </c>
      <c r="G60" s="475">
        <v>14.58</v>
      </c>
      <c r="H60" s="475">
        <v>14.76</v>
      </c>
      <c r="I60" s="475">
        <v>0</v>
      </c>
      <c r="J60" s="475">
        <v>0</v>
      </c>
    </row>
    <row r="61" spans="2:10">
      <c r="B61" s="475"/>
      <c r="C61" s="474">
        <v>34161</v>
      </c>
      <c r="D61" s="475">
        <v>9</v>
      </c>
      <c r="E61" s="475">
        <v>10.98</v>
      </c>
      <c r="F61" s="475">
        <v>12.24</v>
      </c>
      <c r="G61" s="475">
        <v>13.86</v>
      </c>
      <c r="H61" s="475">
        <v>14.04</v>
      </c>
      <c r="I61" s="475">
        <v>0</v>
      </c>
      <c r="J61" s="475">
        <v>0</v>
      </c>
    </row>
    <row r="62" spans="2:10">
      <c r="B62" s="475"/>
      <c r="C62" s="474">
        <v>34104</v>
      </c>
      <c r="D62" s="475">
        <v>8.82</v>
      </c>
      <c r="E62" s="475">
        <v>9.36</v>
      </c>
      <c r="F62" s="475">
        <v>10.8</v>
      </c>
      <c r="G62" s="475">
        <v>12.06</v>
      </c>
      <c r="H62" s="475">
        <v>12.24</v>
      </c>
      <c r="I62" s="475">
        <v>0</v>
      </c>
      <c r="J62" s="475">
        <v>0</v>
      </c>
    </row>
    <row r="63" spans="2:10">
      <c r="B63" s="475"/>
      <c r="C63" s="474">
        <v>33349</v>
      </c>
      <c r="D63" s="475">
        <v>8.1</v>
      </c>
      <c r="E63" s="475">
        <v>8.64</v>
      </c>
      <c r="F63" s="475">
        <v>9</v>
      </c>
      <c r="G63" s="475">
        <v>9.54</v>
      </c>
      <c r="H63" s="475">
        <v>9.72</v>
      </c>
      <c r="I63" s="475">
        <v>0</v>
      </c>
      <c r="J63" s="475">
        <v>0</v>
      </c>
    </row>
    <row r="64" spans="2:10">
      <c r="B64" s="475"/>
      <c r="C64" s="474">
        <v>33318</v>
      </c>
      <c r="D64" s="475">
        <v>9</v>
      </c>
      <c r="E64" s="475">
        <v>10.08</v>
      </c>
      <c r="F64" s="475">
        <v>10.8</v>
      </c>
      <c r="G64" s="475">
        <v>11.52</v>
      </c>
      <c r="H64" s="475">
        <v>11.88</v>
      </c>
      <c r="I64" s="475" t="s">
        <v>2632</v>
      </c>
      <c r="J64" s="475" t="s">
        <v>2632</v>
      </c>
    </row>
    <row r="65" spans="2:10">
      <c r="B65" s="475"/>
      <c r="C65" s="474">
        <v>33106</v>
      </c>
      <c r="D65" s="475">
        <v>8.64</v>
      </c>
      <c r="E65" s="475">
        <v>9.36</v>
      </c>
      <c r="F65" s="475">
        <v>10.08</v>
      </c>
      <c r="G65" s="475">
        <v>10.8</v>
      </c>
      <c r="H65" s="475">
        <v>11.16</v>
      </c>
      <c r="I65" s="475">
        <v>0</v>
      </c>
      <c r="J65" s="475">
        <v>0</v>
      </c>
    </row>
    <row r="66" spans="2:10">
      <c r="B66" s="475"/>
      <c r="C66" s="474">
        <v>32540</v>
      </c>
      <c r="D66" s="475">
        <v>11.34</v>
      </c>
      <c r="E66" s="475">
        <v>11.34</v>
      </c>
      <c r="F66" s="475">
        <v>12.78</v>
      </c>
      <c r="G66" s="475">
        <v>14.4</v>
      </c>
      <c r="H66" s="475">
        <v>19.26</v>
      </c>
      <c r="I66" s="475">
        <v>0</v>
      </c>
      <c r="J66" s="475">
        <v>0</v>
      </c>
    </row>
    <row r="67" spans="2:10">
      <c r="B67" s="475"/>
      <c r="C67" s="474"/>
      <c r="D67" s="475"/>
      <c r="E67" s="475"/>
      <c r="F67" s="475"/>
      <c r="G67" s="475"/>
      <c r="H67" s="475"/>
      <c r="I67" s="475"/>
      <c r="J67" s="475"/>
    </row>
    <row r="68" spans="2:10">
      <c r="B68" s="495"/>
      <c r="C68" s="496"/>
      <c r="D68" s="495"/>
      <c r="E68" s="495"/>
      <c r="F68" s="495"/>
      <c r="G68" s="495"/>
      <c r="H68" s="495"/>
      <c r="I68" s="495"/>
      <c r="J68" s="495"/>
    </row>
    <row r="69" spans="2:10">
      <c r="B69" s="495"/>
      <c r="C69" s="496"/>
      <c r="D69" s="495"/>
      <c r="E69" s="495"/>
      <c r="F69" s="495"/>
      <c r="G69" s="495"/>
      <c r="H69" s="495"/>
      <c r="I69" s="495"/>
      <c r="J69" s="495"/>
    </row>
    <row r="70" spans="2:10">
      <c r="B70" s="495"/>
      <c r="C70" s="496"/>
      <c r="D70" s="495"/>
      <c r="E70" s="495"/>
      <c r="F70" s="495"/>
      <c r="G70" s="495"/>
      <c r="H70" s="495"/>
      <c r="I70" s="495"/>
      <c r="J70" s="495"/>
    </row>
    <row r="71" spans="2:10">
      <c r="B71" s="426"/>
      <c r="C71" s="426"/>
      <c r="D71" s="426"/>
      <c r="E71" s="426"/>
      <c r="F71" s="426"/>
      <c r="G71" s="426"/>
      <c r="H71" s="426"/>
      <c r="I71" s="426"/>
      <c r="J71" s="426"/>
    </row>
    <row r="72" spans="2:10">
      <c r="B72" s="426"/>
      <c r="C72" s="426"/>
      <c r="D72" s="426"/>
      <c r="E72" s="426"/>
      <c r="F72" s="426"/>
      <c r="G72" s="426"/>
      <c r="H72" s="426"/>
      <c r="I72" s="426"/>
      <c r="J72" s="426"/>
    </row>
  </sheetData>
  <sheetProtection password="CEE9" sheet="1" objects="1" scenarios="1"/>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R9"/>
  <sheetViews>
    <sheetView workbookViewId="0">
      <selection activeCell="A3" sqref="A3:G9"/>
    </sheetView>
  </sheetViews>
  <sheetFormatPr defaultColWidth="8.88888888888889" defaultRowHeight="14.4"/>
  <cols>
    <col min="2" max="3" width="9.66666666666667"/>
    <col min="8" max="8" width="15" customWidth="1"/>
    <col min="10" max="11" width="10.6666666666667"/>
    <col min="13" max="13" width="12.5555555555556" customWidth="1"/>
    <col min="16" max="16" width="14.4444444444444" customWidth="1"/>
  </cols>
  <sheetData>
    <row r="1" spans="1:18">
      <c r="A1" s="422" t="s">
        <v>467</v>
      </c>
      <c r="B1" s="422" t="s">
        <v>2633</v>
      </c>
      <c r="C1" s="422"/>
      <c r="D1" s="422"/>
      <c r="E1" s="422"/>
      <c r="F1" s="422"/>
      <c r="G1" s="422"/>
      <c r="H1" s="422"/>
      <c r="J1" s="423" t="s">
        <v>584</v>
      </c>
      <c r="K1" s="423"/>
      <c r="L1" s="423"/>
      <c r="M1" s="423"/>
      <c r="N1" s="423"/>
      <c r="O1" s="423"/>
      <c r="P1" s="419" t="s">
        <v>2634</v>
      </c>
      <c r="Q1" s="419" t="s">
        <v>2635</v>
      </c>
      <c r="R1" s="419"/>
    </row>
    <row r="2" spans="1:18">
      <c r="A2" s="422"/>
      <c r="B2" s="422" t="s">
        <v>470</v>
      </c>
      <c r="C2" s="422" t="s">
        <v>2636</v>
      </c>
      <c r="D2" s="422"/>
      <c r="E2" s="422"/>
      <c r="F2" s="422"/>
      <c r="G2" s="422"/>
      <c r="H2" s="422"/>
      <c r="J2" s="423" t="s">
        <v>587</v>
      </c>
      <c r="K2" s="423"/>
      <c r="L2" s="423"/>
      <c r="M2" s="423"/>
      <c r="N2" s="423"/>
      <c r="O2" s="423"/>
      <c r="P2" s="419" t="s">
        <v>2637</v>
      </c>
      <c r="Q2" s="419" t="s">
        <v>2638</v>
      </c>
      <c r="R2" s="419">
        <v>1.5</v>
      </c>
    </row>
    <row r="3" spans="1:18">
      <c r="A3" s="422" t="s">
        <v>590</v>
      </c>
      <c r="B3" s="422" t="s">
        <v>591</v>
      </c>
      <c r="C3" s="422" t="s">
        <v>473</v>
      </c>
      <c r="D3" s="422" t="s">
        <v>592</v>
      </c>
      <c r="E3" s="422" t="s">
        <v>593</v>
      </c>
      <c r="F3" s="422" t="s">
        <v>476</v>
      </c>
      <c r="G3" s="422" t="s">
        <v>594</v>
      </c>
      <c r="H3" s="422" t="s">
        <v>2639</v>
      </c>
      <c r="J3" t="s">
        <v>595</v>
      </c>
      <c r="K3" t="s">
        <v>596</v>
      </c>
      <c r="L3" t="s">
        <v>597</v>
      </c>
      <c r="P3" s="419" t="s">
        <v>2640</v>
      </c>
      <c r="Q3" s="419"/>
      <c r="R3" s="419"/>
    </row>
    <row r="4" spans="1:12">
      <c r="A4" s="422" t="s">
        <v>599</v>
      </c>
      <c r="B4" s="422">
        <v>2745.55</v>
      </c>
      <c r="C4" s="422">
        <v>2745.55</v>
      </c>
      <c r="D4" s="422">
        <v>1223.05</v>
      </c>
      <c r="E4" s="422">
        <v>1522.5</v>
      </c>
      <c r="F4" s="422"/>
      <c r="G4" s="422" t="s">
        <v>600</v>
      </c>
      <c r="H4" s="422" t="s">
        <v>2641</v>
      </c>
      <c r="J4">
        <f>3.5*2</f>
        <v>7</v>
      </c>
      <c r="K4">
        <f>1.5*2</f>
        <v>3</v>
      </c>
      <c r="L4">
        <f>ROUND((J4*D4+K4*E4),0)</f>
        <v>13129</v>
      </c>
    </row>
    <row r="5" spans="1:12">
      <c r="A5" s="422" t="s">
        <v>602</v>
      </c>
      <c r="B5" s="422">
        <v>1994.6</v>
      </c>
      <c r="C5" s="422">
        <v>1994.6</v>
      </c>
      <c r="D5" s="422">
        <v>609.31</v>
      </c>
      <c r="E5" s="422">
        <v>1385.29</v>
      </c>
      <c r="F5" s="422"/>
      <c r="G5" s="422" t="s">
        <v>603</v>
      </c>
      <c r="H5" s="422" t="s">
        <v>2642</v>
      </c>
      <c r="J5">
        <f>J4</f>
        <v>7</v>
      </c>
      <c r="K5">
        <f>K4</f>
        <v>3</v>
      </c>
      <c r="L5">
        <f>ROUND((J5*D5+K5*E5),0)</f>
        <v>8421</v>
      </c>
    </row>
    <row r="6" spans="1:12">
      <c r="A6" s="422" t="s">
        <v>605</v>
      </c>
      <c r="B6" s="422">
        <v>2902.31</v>
      </c>
      <c r="C6" s="422">
        <v>2902.31</v>
      </c>
      <c r="D6" s="422">
        <v>1258.64</v>
      </c>
      <c r="E6" s="422">
        <v>1643.67</v>
      </c>
      <c r="F6" s="422"/>
      <c r="G6" s="422" t="s">
        <v>600</v>
      </c>
      <c r="H6" s="422" t="s">
        <v>2641</v>
      </c>
      <c r="J6">
        <f>J5</f>
        <v>7</v>
      </c>
      <c r="K6">
        <f>K5</f>
        <v>3</v>
      </c>
      <c r="L6">
        <f>ROUND((J6*D6+K6*E6),0)</f>
        <v>13741</v>
      </c>
    </row>
    <row r="7" spans="1:12">
      <c r="A7" s="422" t="s">
        <v>607</v>
      </c>
      <c r="B7" s="422">
        <v>2963.05</v>
      </c>
      <c r="C7" s="422">
        <v>2963.05</v>
      </c>
      <c r="D7" s="422">
        <v>1272.97</v>
      </c>
      <c r="E7" s="422">
        <v>1690.08</v>
      </c>
      <c r="F7" s="422"/>
      <c r="G7" s="422" t="s">
        <v>600</v>
      </c>
      <c r="H7" s="422" t="s">
        <v>2641</v>
      </c>
      <c r="J7">
        <f>J6</f>
        <v>7</v>
      </c>
      <c r="K7">
        <f>K6</f>
        <v>3</v>
      </c>
      <c r="L7">
        <f>ROUND((J7*D7+K7*E7),0)</f>
        <v>13981</v>
      </c>
    </row>
    <row r="8" spans="1:14">
      <c r="A8" s="422" t="s">
        <v>476</v>
      </c>
      <c r="B8" s="422">
        <v>8301.54</v>
      </c>
      <c r="C8" s="422">
        <v>8266.82</v>
      </c>
      <c r="D8" s="422"/>
      <c r="E8" s="422"/>
      <c r="F8" s="422">
        <v>8266.82</v>
      </c>
      <c r="G8" s="422" t="s">
        <v>603</v>
      </c>
      <c r="H8" s="422">
        <v>-9.3</v>
      </c>
      <c r="K8">
        <f>M8*D8</f>
        <v>0</v>
      </c>
      <c r="M8">
        <f>L8*35*30</f>
        <v>0</v>
      </c>
      <c r="N8" t="s">
        <v>608</v>
      </c>
    </row>
    <row r="9" spans="1:12">
      <c r="A9" s="422" t="s">
        <v>470</v>
      </c>
      <c r="B9" s="422">
        <f>SUM(B4:B8)</f>
        <v>18907.05</v>
      </c>
      <c r="C9" s="422">
        <f>SUM(C4:C8)</f>
        <v>18872.33</v>
      </c>
      <c r="D9" s="422">
        <f>SUM(D4:D8)</f>
        <v>4363.97</v>
      </c>
      <c r="E9" s="422">
        <f>SUM(E4:E8)</f>
        <v>6241.54</v>
      </c>
      <c r="F9" s="422">
        <f>SUM(F4:F8)</f>
        <v>8266.82</v>
      </c>
      <c r="G9" s="422"/>
      <c r="H9" s="422"/>
      <c r="K9">
        <f>ROUND(L9/B9,1)</f>
        <v>2.6</v>
      </c>
      <c r="L9">
        <f>SUM(L4:L8)</f>
        <v>49272</v>
      </c>
    </row>
  </sheetData>
  <pageMargins left="0.75" right="0.75" top="1" bottom="1" header="0.5" footer="0.5"/>
  <headerFooter/>
  <drawing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D33"/>
  <sheetViews>
    <sheetView workbookViewId="0">
      <selection activeCell="Q39" sqref="Q39"/>
    </sheetView>
  </sheetViews>
  <sheetFormatPr defaultColWidth="10" defaultRowHeight="15.6"/>
  <cols>
    <col min="1" max="2" width="22.2222222222222" style="406" customWidth="1"/>
    <col min="3" max="5" width="10.7777777777778" style="406" customWidth="1"/>
    <col min="6" max="6" width="15" style="406" customWidth="1"/>
    <col min="7" max="7" width="10.7777777777778" style="406" customWidth="1"/>
    <col min="8" max="8" width="15.2222222222222" style="406" customWidth="1"/>
    <col min="9" max="9" width="14" style="406" customWidth="1"/>
    <col min="10" max="16" width="10.7777777777778" style="406" customWidth="1"/>
    <col min="17" max="17" width="22.2222222222222" style="406" customWidth="1"/>
    <col min="18" max="18" width="14.3333333333333" style="406"/>
    <col min="19" max="20" width="10" style="406"/>
    <col min="21" max="21" width="14.3333333333333" style="406"/>
    <col min="22" max="16381" width="10" style="406"/>
    <col min="16382" max="16384" width="10" style="412"/>
  </cols>
  <sheetData>
    <row r="1" s="406" customFormat="1" spans="1:20">
      <c r="A1" s="406" t="s">
        <v>2643</v>
      </c>
      <c r="B1" s="406" t="s">
        <v>2644</v>
      </c>
      <c r="C1" s="406" t="s">
        <v>2645</v>
      </c>
      <c r="D1" s="406" t="s">
        <v>2646</v>
      </c>
      <c r="E1" s="406" t="s">
        <v>2647</v>
      </c>
      <c r="F1" s="406" t="s">
        <v>2039</v>
      </c>
      <c r="G1" s="406" t="s">
        <v>2648</v>
      </c>
      <c r="H1" s="406" t="s">
        <v>2649</v>
      </c>
      <c r="I1" s="406" t="s">
        <v>2650</v>
      </c>
      <c r="J1" s="406" t="s">
        <v>2651</v>
      </c>
      <c r="K1" s="406" t="s">
        <v>2652</v>
      </c>
      <c r="L1" s="406" t="s">
        <v>2653</v>
      </c>
      <c r="M1" s="406" t="s">
        <v>2654</v>
      </c>
      <c r="N1" s="406" t="s">
        <v>2655</v>
      </c>
      <c r="O1" s="406" t="s">
        <v>2656</v>
      </c>
      <c r="P1" s="406" t="s">
        <v>2657</v>
      </c>
      <c r="S1" s="406" t="s">
        <v>2658</v>
      </c>
      <c r="T1" s="406" t="s">
        <v>2659</v>
      </c>
    </row>
    <row r="2" s="406" customFormat="1" spans="1:20">
      <c r="A2" s="406" t="s">
        <v>2660</v>
      </c>
      <c r="B2" s="406" t="s">
        <v>2661</v>
      </c>
      <c r="C2" s="406" t="s">
        <v>2662</v>
      </c>
      <c r="D2" s="406">
        <v>65024.44</v>
      </c>
      <c r="E2" s="406">
        <v>97536.66</v>
      </c>
      <c r="F2" s="406" t="s">
        <v>2663</v>
      </c>
      <c r="G2" s="406" t="s">
        <v>2664</v>
      </c>
      <c r="H2" s="406" t="s">
        <v>2665</v>
      </c>
      <c r="I2" s="414">
        <v>44761.0004976852</v>
      </c>
      <c r="J2" s="406" t="s">
        <v>2666</v>
      </c>
      <c r="K2" s="406" t="s">
        <v>2667</v>
      </c>
      <c r="L2" s="406">
        <v>8017.51</v>
      </c>
      <c r="M2" s="406">
        <v>82.2</v>
      </c>
      <c r="N2" s="406">
        <v>822</v>
      </c>
      <c r="O2" s="406">
        <v>0</v>
      </c>
      <c r="P2" s="406">
        <v>20</v>
      </c>
      <c r="S2" s="406">
        <f>ROUND(L2*10000/D2,0)</f>
        <v>1233</v>
      </c>
      <c r="T2" s="406">
        <f>ROUND(S2*$Q$7,0)</f>
        <v>1806</v>
      </c>
    </row>
    <row r="3" s="406" customFormat="1" spans="1:20">
      <c r="A3" s="406" t="s">
        <v>2668</v>
      </c>
      <c r="B3" s="406" t="s">
        <v>2669</v>
      </c>
      <c r="C3" s="406" t="s">
        <v>2662</v>
      </c>
      <c r="D3" s="406">
        <v>26650.41</v>
      </c>
      <c r="E3" s="406">
        <v>39975.61</v>
      </c>
      <c r="F3" s="406" t="s">
        <v>2663</v>
      </c>
      <c r="G3" s="406" t="s">
        <v>2664</v>
      </c>
      <c r="H3" s="406" t="s">
        <v>2665</v>
      </c>
      <c r="I3" s="414">
        <v>44760.0004976852</v>
      </c>
      <c r="J3" s="406" t="s">
        <v>2666</v>
      </c>
      <c r="K3" s="406" t="s">
        <v>2670</v>
      </c>
      <c r="L3" s="406">
        <v>3258.01</v>
      </c>
      <c r="M3" s="406">
        <v>81.5</v>
      </c>
      <c r="N3" s="406">
        <v>815</v>
      </c>
      <c r="O3" s="406">
        <v>0</v>
      </c>
      <c r="P3" s="406">
        <v>20</v>
      </c>
      <c r="S3" s="406">
        <f t="shared" ref="S3:S16" si="0">ROUND(L3*10000/D3,0)</f>
        <v>1222</v>
      </c>
      <c r="T3" s="406">
        <f>ROUND(S3*$Q$7,0)</f>
        <v>1790</v>
      </c>
    </row>
    <row r="4" s="406" customFormat="1" spans="1:20">
      <c r="A4" s="406" t="s">
        <v>2671</v>
      </c>
      <c r="B4" s="406" t="s">
        <v>2672</v>
      </c>
      <c r="C4" s="406" t="s">
        <v>2662</v>
      </c>
      <c r="D4" s="406">
        <v>77481.74</v>
      </c>
      <c r="E4" s="406">
        <v>100726.26</v>
      </c>
      <c r="F4" s="406" t="s">
        <v>2673</v>
      </c>
      <c r="G4" s="406" t="s">
        <v>2664</v>
      </c>
      <c r="H4" s="406" t="s">
        <v>2665</v>
      </c>
      <c r="I4" s="414">
        <v>44760.0004976852</v>
      </c>
      <c r="J4" s="406" t="s">
        <v>2666</v>
      </c>
      <c r="K4" s="406" t="s">
        <v>2674</v>
      </c>
      <c r="L4" s="406">
        <v>8098.39</v>
      </c>
      <c r="M4" s="406">
        <v>69.68</v>
      </c>
      <c r="N4" s="406">
        <v>804</v>
      </c>
      <c r="O4" s="406">
        <v>0</v>
      </c>
      <c r="P4" s="406" t="s">
        <v>2675</v>
      </c>
      <c r="S4" s="406">
        <f t="shared" si="0"/>
        <v>1045</v>
      </c>
      <c r="T4" s="406">
        <f>ROUND(S4*$Q$7,0)</f>
        <v>1531</v>
      </c>
    </row>
    <row r="5" s="407" customFormat="1" spans="1:16384">
      <c r="A5" s="407" t="s">
        <v>2676</v>
      </c>
      <c r="B5" s="407" t="s">
        <v>2677</v>
      </c>
      <c r="C5" s="407" t="s">
        <v>2662</v>
      </c>
      <c r="D5" s="407">
        <v>48135.07</v>
      </c>
      <c r="E5" s="407">
        <v>48135.07</v>
      </c>
      <c r="F5" s="407" t="s">
        <v>2678</v>
      </c>
      <c r="G5" s="407" t="s">
        <v>2664</v>
      </c>
      <c r="H5" s="407" t="s">
        <v>2679</v>
      </c>
      <c r="I5" s="415">
        <v>44714.0004976852</v>
      </c>
      <c r="J5" s="407" t="s">
        <v>2666</v>
      </c>
      <c r="K5" s="407" t="s">
        <v>2680</v>
      </c>
      <c r="L5" s="407">
        <v>12487.17</v>
      </c>
      <c r="M5" s="407">
        <v>172.95</v>
      </c>
      <c r="N5" s="407">
        <v>2594</v>
      </c>
      <c r="O5" s="407">
        <v>0</v>
      </c>
      <c r="P5" s="407" t="s">
        <v>2681</v>
      </c>
      <c r="S5" s="407">
        <f t="shared" si="0"/>
        <v>2594</v>
      </c>
      <c r="T5" s="407">
        <f>S5</f>
        <v>2594</v>
      </c>
      <c r="XFB5" s="419"/>
      <c r="XFC5" s="419"/>
      <c r="XFD5" s="419"/>
    </row>
    <row r="6" s="406" customFormat="1" spans="1:20">
      <c r="A6" s="406" t="s">
        <v>2682</v>
      </c>
      <c r="B6" s="406" t="s">
        <v>2683</v>
      </c>
      <c r="C6" s="406" t="s">
        <v>2662</v>
      </c>
      <c r="D6" s="406">
        <v>13991.5</v>
      </c>
      <c r="E6" s="406">
        <v>22386</v>
      </c>
      <c r="F6" s="406" t="s">
        <v>2684</v>
      </c>
      <c r="G6" s="406" t="s">
        <v>2664</v>
      </c>
      <c r="H6" s="406" t="s">
        <v>2665</v>
      </c>
      <c r="I6" s="414">
        <v>44446.0004976852</v>
      </c>
      <c r="J6" s="406" t="s">
        <v>2666</v>
      </c>
      <c r="K6" s="406" t="s">
        <v>2685</v>
      </c>
      <c r="L6" s="406">
        <v>1811.03</v>
      </c>
      <c r="M6" s="406">
        <v>86.29</v>
      </c>
      <c r="N6" s="406">
        <v>809</v>
      </c>
      <c r="O6" s="406">
        <v>0</v>
      </c>
      <c r="P6" s="406" t="s">
        <v>2675</v>
      </c>
      <c r="Q6" s="406">
        <f>1-(1+5%)^-20</f>
        <v>0.623110517127</v>
      </c>
      <c r="R6" s="406">
        <f>1-(1+5%)^-50</f>
        <v>0.91279627302762</v>
      </c>
      <c r="S6" s="406">
        <f t="shared" si="0"/>
        <v>1294</v>
      </c>
      <c r="T6" s="406">
        <f t="shared" ref="T6:T12" si="1">ROUND(S6*$Q$7,0)</f>
        <v>1896</v>
      </c>
    </row>
    <row r="7" s="408" customFormat="1" spans="1:16384">
      <c r="A7" s="408" t="s">
        <v>2686</v>
      </c>
      <c r="B7" s="408" t="s">
        <v>2687</v>
      </c>
      <c r="C7" s="408" t="s">
        <v>2662</v>
      </c>
      <c r="D7" s="408">
        <v>16627.21</v>
      </c>
      <c r="E7" s="408">
        <v>29928.97</v>
      </c>
      <c r="F7" s="408" t="s">
        <v>2688</v>
      </c>
      <c r="G7" s="408" t="s">
        <v>2664</v>
      </c>
      <c r="H7" s="408" t="s">
        <v>2665</v>
      </c>
      <c r="I7" s="416">
        <v>44446.0004976852</v>
      </c>
      <c r="J7" s="408" t="s">
        <v>2666</v>
      </c>
      <c r="K7" s="408" t="s">
        <v>2689</v>
      </c>
      <c r="L7" s="408">
        <v>5111.87</v>
      </c>
      <c r="M7" s="408">
        <v>204.96</v>
      </c>
      <c r="N7" s="408">
        <v>1708</v>
      </c>
      <c r="O7" s="408">
        <v>0</v>
      </c>
      <c r="P7" s="408" t="s">
        <v>2675</v>
      </c>
      <c r="Q7" s="418">
        <f>ROUND(R6/Q6,4)</f>
        <v>1.4649</v>
      </c>
      <c r="S7" s="408">
        <f t="shared" si="0"/>
        <v>3074</v>
      </c>
      <c r="T7" s="408">
        <f t="shared" si="1"/>
        <v>4503</v>
      </c>
      <c r="XFB7" s="420"/>
      <c r="XFC7" s="420"/>
      <c r="XFD7" s="420"/>
    </row>
    <row r="8" s="406" customFormat="1" spans="1:20">
      <c r="A8" s="406" t="s">
        <v>2690</v>
      </c>
      <c r="B8" s="406" t="s">
        <v>2691</v>
      </c>
      <c r="C8" s="406" t="s">
        <v>2662</v>
      </c>
      <c r="D8" s="406">
        <v>100000</v>
      </c>
      <c r="E8" s="406">
        <v>200000</v>
      </c>
      <c r="F8" s="406" t="s">
        <v>2692</v>
      </c>
      <c r="G8" s="406" t="s">
        <v>2664</v>
      </c>
      <c r="H8" s="406" t="s">
        <v>2693</v>
      </c>
      <c r="I8" s="414">
        <v>44307.0004976852</v>
      </c>
      <c r="J8" s="406" t="s">
        <v>2666</v>
      </c>
      <c r="K8" s="406" t="s">
        <v>2694</v>
      </c>
      <c r="L8" s="406">
        <v>13020</v>
      </c>
      <c r="M8" s="406">
        <v>86.8</v>
      </c>
      <c r="N8" s="406">
        <v>651</v>
      </c>
      <c r="O8" s="406">
        <v>0</v>
      </c>
      <c r="P8" s="406" t="s">
        <v>2675</v>
      </c>
      <c r="S8" s="406">
        <f t="shared" si="0"/>
        <v>1302</v>
      </c>
      <c r="T8" s="406">
        <f t="shared" si="1"/>
        <v>1907</v>
      </c>
    </row>
    <row r="9" s="408" customFormat="1" spans="1:16384">
      <c r="A9" s="408" t="s">
        <v>2695</v>
      </c>
      <c r="B9" s="408" t="s">
        <v>2696</v>
      </c>
      <c r="C9" s="408" t="s">
        <v>2662</v>
      </c>
      <c r="D9" s="408">
        <v>19340</v>
      </c>
      <c r="E9" s="408">
        <v>34812</v>
      </c>
      <c r="F9" s="408" t="s">
        <v>2697</v>
      </c>
      <c r="G9" s="408" t="s">
        <v>2664</v>
      </c>
      <c r="H9" s="408" t="s">
        <v>2698</v>
      </c>
      <c r="I9" s="416">
        <v>43873.0004976852</v>
      </c>
      <c r="J9" s="408" t="s">
        <v>2666</v>
      </c>
      <c r="K9" s="408" t="s">
        <v>2699</v>
      </c>
      <c r="L9" s="408">
        <v>5764.87</v>
      </c>
      <c r="M9" s="408">
        <v>198.72</v>
      </c>
      <c r="N9" s="408">
        <v>1656</v>
      </c>
      <c r="O9" s="408">
        <v>0</v>
      </c>
      <c r="P9" s="408" t="s">
        <v>2675</v>
      </c>
      <c r="S9" s="408">
        <f t="shared" si="0"/>
        <v>2981</v>
      </c>
      <c r="T9" s="408">
        <f t="shared" si="1"/>
        <v>4367</v>
      </c>
      <c r="XFB9" s="420"/>
      <c r="XFC9" s="420"/>
      <c r="XFD9" s="420"/>
    </row>
    <row r="10" s="408" customFormat="1" spans="1:16384">
      <c r="A10" s="408" t="s">
        <v>2700</v>
      </c>
      <c r="B10" s="408" t="s">
        <v>2701</v>
      </c>
      <c r="C10" s="408" t="s">
        <v>2662</v>
      </c>
      <c r="D10" s="408">
        <v>16697.47</v>
      </c>
      <c r="E10" s="408">
        <v>30055</v>
      </c>
      <c r="F10" s="408">
        <v>1.8</v>
      </c>
      <c r="G10" s="408" t="s">
        <v>2664</v>
      </c>
      <c r="H10" s="408" t="s">
        <v>2702</v>
      </c>
      <c r="I10" s="416">
        <v>43662.0004976852</v>
      </c>
      <c r="J10" s="408" t="s">
        <v>2666</v>
      </c>
      <c r="K10" s="408" t="s">
        <v>2703</v>
      </c>
      <c r="L10" s="408">
        <v>4977.11</v>
      </c>
      <c r="M10" s="408">
        <v>198.72</v>
      </c>
      <c r="N10" s="408">
        <v>1656</v>
      </c>
      <c r="O10" s="408">
        <v>0</v>
      </c>
      <c r="P10" s="408">
        <v>20</v>
      </c>
      <c r="S10" s="408">
        <f t="shared" si="0"/>
        <v>2981</v>
      </c>
      <c r="T10" s="408">
        <f t="shared" si="1"/>
        <v>4367</v>
      </c>
      <c r="XFB10" s="420"/>
      <c r="XFC10" s="420"/>
      <c r="XFD10" s="420"/>
    </row>
    <row r="11" s="406" customFormat="1" spans="1:20">
      <c r="A11" s="406" t="s">
        <v>2704</v>
      </c>
      <c r="B11" s="406" t="s">
        <v>2705</v>
      </c>
      <c r="C11" s="406" t="s">
        <v>2662</v>
      </c>
      <c r="D11" s="406">
        <v>46618.33</v>
      </c>
      <c r="E11" s="406">
        <v>93237</v>
      </c>
      <c r="F11" s="406">
        <v>2</v>
      </c>
      <c r="G11" s="406" t="s">
        <v>2664</v>
      </c>
      <c r="H11" s="406" t="s">
        <v>2702</v>
      </c>
      <c r="I11" s="414">
        <v>43577.0004976852</v>
      </c>
      <c r="J11" s="406" t="s">
        <v>2666</v>
      </c>
      <c r="K11" s="406" t="s">
        <v>2706</v>
      </c>
      <c r="L11" s="406">
        <v>16204.59</v>
      </c>
      <c r="M11" s="406">
        <v>231.73</v>
      </c>
      <c r="N11" s="406">
        <v>1738</v>
      </c>
      <c r="O11" s="406">
        <v>0</v>
      </c>
      <c r="P11" s="406">
        <v>20</v>
      </c>
      <c r="S11" s="406">
        <f t="shared" si="0"/>
        <v>3476</v>
      </c>
      <c r="T11" s="406">
        <f t="shared" si="1"/>
        <v>5092</v>
      </c>
    </row>
    <row r="12" s="406" customFormat="1" spans="1:20">
      <c r="A12" s="406" t="s">
        <v>2707</v>
      </c>
      <c r="B12" s="406" t="s">
        <v>2708</v>
      </c>
      <c r="C12" s="406" t="s">
        <v>2662</v>
      </c>
      <c r="D12" s="406">
        <v>8700</v>
      </c>
      <c r="E12" s="406">
        <v>15660</v>
      </c>
      <c r="F12" s="406">
        <v>1.8</v>
      </c>
      <c r="G12" s="406" t="s">
        <v>2664</v>
      </c>
      <c r="H12" s="406" t="s">
        <v>2702</v>
      </c>
      <c r="I12" s="414">
        <v>43577.0004976852</v>
      </c>
      <c r="J12" s="406" t="s">
        <v>2666</v>
      </c>
      <c r="K12" s="406" t="s">
        <v>2709</v>
      </c>
      <c r="L12" s="406">
        <v>2593.3</v>
      </c>
      <c r="M12" s="406">
        <v>198.72</v>
      </c>
      <c r="N12" s="406">
        <v>1656</v>
      </c>
      <c r="O12" s="406">
        <v>0</v>
      </c>
      <c r="P12" s="406">
        <v>20</v>
      </c>
      <c r="S12" s="406">
        <f t="shared" si="0"/>
        <v>2981</v>
      </c>
      <c r="T12" s="406">
        <f t="shared" si="1"/>
        <v>4367</v>
      </c>
    </row>
    <row r="13" s="407" customFormat="1" spans="1:16384">
      <c r="A13" s="407" t="s">
        <v>2710</v>
      </c>
      <c r="B13" s="407" t="s">
        <v>2711</v>
      </c>
      <c r="C13" s="407" t="s">
        <v>2662</v>
      </c>
      <c r="D13" s="407">
        <v>4280.58</v>
      </c>
      <c r="E13" s="407">
        <v>3424</v>
      </c>
      <c r="F13" s="407">
        <v>0.8</v>
      </c>
      <c r="G13" s="407" t="s">
        <v>2664</v>
      </c>
      <c r="H13" s="407" t="s">
        <v>2712</v>
      </c>
      <c r="I13" s="415">
        <v>43094.0004976852</v>
      </c>
      <c r="J13" s="407" t="s">
        <v>2666</v>
      </c>
      <c r="K13" s="407" t="s">
        <v>2713</v>
      </c>
      <c r="L13" s="407">
        <v>642.09</v>
      </c>
      <c r="M13" s="407">
        <v>100</v>
      </c>
      <c r="N13" s="407">
        <v>1875</v>
      </c>
      <c r="O13" s="407">
        <v>0</v>
      </c>
      <c r="P13" s="407" t="s">
        <v>2681</v>
      </c>
      <c r="S13" s="407">
        <f t="shared" si="0"/>
        <v>1500</v>
      </c>
      <c r="T13" s="407">
        <f>S13</f>
        <v>1500</v>
      </c>
      <c r="XFB13" s="419"/>
      <c r="XFC13" s="419"/>
      <c r="XFD13" s="419"/>
    </row>
    <row r="14" s="407" customFormat="1" spans="1:16384">
      <c r="A14" s="407" t="s">
        <v>2714</v>
      </c>
      <c r="B14" s="407" t="s">
        <v>2715</v>
      </c>
      <c r="C14" s="407" t="s">
        <v>2662</v>
      </c>
      <c r="D14" s="407">
        <v>31386.9</v>
      </c>
      <c r="E14" s="407">
        <v>25110</v>
      </c>
      <c r="F14" s="407">
        <v>0.8</v>
      </c>
      <c r="G14" s="407" t="s">
        <v>2664</v>
      </c>
      <c r="H14" s="407" t="s">
        <v>2716</v>
      </c>
      <c r="I14" s="415">
        <v>42859.0004976852</v>
      </c>
      <c r="J14" s="407" t="s">
        <v>2666</v>
      </c>
      <c r="K14" s="407" t="s">
        <v>2717</v>
      </c>
      <c r="L14" s="407">
        <v>11547.52</v>
      </c>
      <c r="M14" s="407">
        <v>245.27</v>
      </c>
      <c r="N14" s="407">
        <v>4599</v>
      </c>
      <c r="O14" s="407">
        <v>0</v>
      </c>
      <c r="P14" s="407" t="s">
        <v>2681</v>
      </c>
      <c r="S14" s="407">
        <f t="shared" si="0"/>
        <v>3679</v>
      </c>
      <c r="T14" s="407">
        <f>S14</f>
        <v>3679</v>
      </c>
      <c r="XFB14" s="419"/>
      <c r="XFC14" s="419"/>
      <c r="XFD14" s="419"/>
    </row>
    <row r="15" s="407" customFormat="1" spans="1:16384">
      <c r="A15" s="407" t="s">
        <v>2718</v>
      </c>
      <c r="B15" s="407" t="s">
        <v>2719</v>
      </c>
      <c r="C15" s="407" t="s">
        <v>2662</v>
      </c>
      <c r="D15" s="407">
        <v>45231.1</v>
      </c>
      <c r="E15" s="407">
        <v>36185</v>
      </c>
      <c r="F15" s="407">
        <v>0.8</v>
      </c>
      <c r="G15" s="407" t="s">
        <v>2664</v>
      </c>
      <c r="H15" s="407" t="s">
        <v>2716</v>
      </c>
      <c r="I15" s="415">
        <v>42846.0004976852</v>
      </c>
      <c r="J15" s="407" t="s">
        <v>2666</v>
      </c>
      <c r="K15" s="407" t="s">
        <v>2720</v>
      </c>
      <c r="L15" s="407">
        <v>13943.25</v>
      </c>
      <c r="M15" s="407">
        <v>205.51</v>
      </c>
      <c r="N15" s="407">
        <v>3853</v>
      </c>
      <c r="O15" s="407">
        <v>0</v>
      </c>
      <c r="P15" s="407" t="s">
        <v>2681</v>
      </c>
      <c r="S15" s="407">
        <f t="shared" si="0"/>
        <v>3083</v>
      </c>
      <c r="T15" s="407">
        <f>S15</f>
        <v>3083</v>
      </c>
      <c r="XFB15" s="419"/>
      <c r="XFC15" s="419"/>
      <c r="XFD15" s="419"/>
    </row>
    <row r="16" s="407" customFormat="1" spans="1:16384">
      <c r="A16" s="407" t="s">
        <v>2721</v>
      </c>
      <c r="B16" s="407" t="s">
        <v>2722</v>
      </c>
      <c r="C16" s="407" t="s">
        <v>2662</v>
      </c>
      <c r="D16" s="407">
        <v>401615.3</v>
      </c>
      <c r="E16" s="407">
        <v>401615</v>
      </c>
      <c r="F16" s="407">
        <v>1</v>
      </c>
      <c r="G16" s="407" t="s">
        <v>2664</v>
      </c>
      <c r="H16" s="407" t="s">
        <v>2712</v>
      </c>
      <c r="I16" s="415">
        <v>42846.0004976852</v>
      </c>
      <c r="J16" s="407" t="s">
        <v>2666</v>
      </c>
      <c r="K16" s="407" t="s">
        <v>2723</v>
      </c>
      <c r="L16" s="407">
        <v>109378.8</v>
      </c>
      <c r="M16" s="407">
        <v>181.56</v>
      </c>
      <c r="N16" s="407">
        <v>2723</v>
      </c>
      <c r="O16" s="407">
        <v>0</v>
      </c>
      <c r="P16" s="407" t="s">
        <v>2681</v>
      </c>
      <c r="S16" s="407">
        <f t="shared" si="0"/>
        <v>2723</v>
      </c>
      <c r="T16" s="407">
        <f>S16</f>
        <v>2723</v>
      </c>
      <c r="XFB16" s="419"/>
      <c r="XFC16" s="419"/>
      <c r="XFD16" s="419"/>
    </row>
    <row r="18" s="409" customFormat="1" spans="1:16">
      <c r="A18" s="406" t="s">
        <v>2643</v>
      </c>
      <c r="B18" s="406" t="s">
        <v>2644</v>
      </c>
      <c r="C18" s="406" t="s">
        <v>2645</v>
      </c>
      <c r="D18" s="406" t="s">
        <v>2646</v>
      </c>
      <c r="E18" s="406" t="s">
        <v>2647</v>
      </c>
      <c r="F18" s="406" t="s">
        <v>2039</v>
      </c>
      <c r="G18" s="406" t="s">
        <v>2648</v>
      </c>
      <c r="H18" s="406" t="s">
        <v>2649</v>
      </c>
      <c r="I18" s="406" t="s">
        <v>2650</v>
      </c>
      <c r="J18" s="406" t="s">
        <v>2651</v>
      </c>
      <c r="K18" s="406" t="s">
        <v>2652</v>
      </c>
      <c r="L18" s="406" t="s">
        <v>2653</v>
      </c>
      <c r="M18" s="406" t="s">
        <v>2654</v>
      </c>
      <c r="N18" s="406" t="s">
        <v>2655</v>
      </c>
      <c r="O18" s="406" t="s">
        <v>2656</v>
      </c>
      <c r="P18" s="406" t="s">
        <v>2657</v>
      </c>
    </row>
    <row r="19" s="409" customFormat="1" spans="1:20">
      <c r="A19" s="406" t="s">
        <v>2724</v>
      </c>
      <c r="B19" s="406" t="s">
        <v>2725</v>
      </c>
      <c r="C19" s="406" t="s">
        <v>2662</v>
      </c>
      <c r="D19" s="406">
        <v>36256.68</v>
      </c>
      <c r="E19" s="406">
        <v>47133.69</v>
      </c>
      <c r="F19" s="406" t="s">
        <v>2673</v>
      </c>
      <c r="G19" s="406" t="s">
        <v>2664</v>
      </c>
      <c r="H19" s="406" t="s">
        <v>2726</v>
      </c>
      <c r="I19" s="414">
        <v>44770.0004976852</v>
      </c>
      <c r="J19" s="406" t="s">
        <v>2666</v>
      </c>
      <c r="K19" s="406" t="s">
        <v>2727</v>
      </c>
      <c r="L19" s="406">
        <v>9897.48</v>
      </c>
      <c r="M19" s="406">
        <v>181.99</v>
      </c>
      <c r="N19" s="406">
        <v>2100</v>
      </c>
      <c r="O19" s="406">
        <v>0</v>
      </c>
      <c r="P19" s="406">
        <v>50</v>
      </c>
      <c r="S19" s="406">
        <f t="shared" ref="S17:S33" si="2">ROUND(L19*10000/D19,0)</f>
        <v>2730</v>
      </c>
      <c r="T19" s="406">
        <f>S19</f>
        <v>2730</v>
      </c>
    </row>
    <row r="20" s="410" customFormat="1" spans="1:16384">
      <c r="A20" s="413" t="s">
        <v>2728</v>
      </c>
      <c r="B20" s="413" t="s">
        <v>2729</v>
      </c>
      <c r="C20" s="413" t="s">
        <v>2662</v>
      </c>
      <c r="D20" s="413">
        <v>59880.32</v>
      </c>
      <c r="E20" s="413">
        <v>89820.49</v>
      </c>
      <c r="F20" s="413" t="s">
        <v>2663</v>
      </c>
      <c r="G20" s="413" t="s">
        <v>2664</v>
      </c>
      <c r="H20" s="413" t="s">
        <v>2712</v>
      </c>
      <c r="I20" s="417">
        <v>44746.0004976852</v>
      </c>
      <c r="J20" s="413" t="s">
        <v>2666</v>
      </c>
      <c r="K20" s="413" t="s">
        <v>2730</v>
      </c>
      <c r="L20" s="413">
        <v>15107.81</v>
      </c>
      <c r="M20" s="413">
        <v>168.2</v>
      </c>
      <c r="N20" s="413">
        <v>1682</v>
      </c>
      <c r="O20" s="413">
        <v>0</v>
      </c>
      <c r="P20" s="413" t="s">
        <v>2731</v>
      </c>
      <c r="Q20" s="413"/>
      <c r="R20" s="413"/>
      <c r="S20" s="413">
        <f t="shared" si="2"/>
        <v>2523</v>
      </c>
      <c r="T20" s="413">
        <f>ROUND(S20*$Q$7,0)</f>
        <v>3696</v>
      </c>
      <c r="U20" s="413">
        <f>T7/T20</f>
        <v>1.21834415584416</v>
      </c>
      <c r="V20" s="413"/>
      <c r="W20" s="413"/>
      <c r="X20" s="413"/>
      <c r="Y20" s="413"/>
      <c r="Z20" s="413"/>
      <c r="AA20" s="413"/>
      <c r="AB20" s="413"/>
      <c r="AC20" s="413"/>
      <c r="AD20" s="413"/>
      <c r="AE20" s="413"/>
      <c r="AF20" s="413"/>
      <c r="AG20" s="413"/>
      <c r="AH20" s="413"/>
      <c r="AI20" s="413"/>
      <c r="AJ20" s="413"/>
      <c r="AK20" s="413"/>
      <c r="AL20" s="413"/>
      <c r="AM20" s="413"/>
      <c r="AN20" s="413"/>
      <c r="AO20" s="413"/>
      <c r="AP20" s="413"/>
      <c r="AQ20" s="413"/>
      <c r="AR20" s="413"/>
      <c r="AS20" s="413"/>
      <c r="AT20" s="413"/>
      <c r="AU20" s="413"/>
      <c r="AV20" s="413"/>
      <c r="AW20" s="413"/>
      <c r="AX20" s="413"/>
      <c r="AY20" s="413"/>
      <c r="AZ20" s="413"/>
      <c r="BA20" s="413"/>
      <c r="BB20" s="413"/>
      <c r="BC20" s="413"/>
      <c r="BD20" s="413"/>
      <c r="BE20" s="413"/>
      <c r="BF20" s="413"/>
      <c r="BG20" s="413"/>
      <c r="BH20" s="413"/>
      <c r="BI20" s="413"/>
      <c r="BJ20" s="413"/>
      <c r="BK20" s="413"/>
      <c r="BL20" s="413"/>
      <c r="BM20" s="413"/>
      <c r="BN20" s="413"/>
      <c r="BO20" s="413"/>
      <c r="BP20" s="413"/>
      <c r="BQ20" s="413"/>
      <c r="BR20" s="413"/>
      <c r="BS20" s="413"/>
      <c r="BT20" s="413"/>
      <c r="BU20" s="413"/>
      <c r="BV20" s="413"/>
      <c r="BW20" s="413"/>
      <c r="BX20" s="413"/>
      <c r="BY20" s="413"/>
      <c r="BZ20" s="413"/>
      <c r="CA20" s="413"/>
      <c r="CB20" s="413"/>
      <c r="CC20" s="413"/>
      <c r="CD20" s="413"/>
      <c r="CE20" s="413"/>
      <c r="CF20" s="413"/>
      <c r="CG20" s="413"/>
      <c r="CH20" s="413"/>
      <c r="CI20" s="413"/>
      <c r="CJ20" s="413"/>
      <c r="CK20" s="413"/>
      <c r="CL20" s="413"/>
      <c r="CM20" s="413"/>
      <c r="CN20" s="413"/>
      <c r="CO20" s="413"/>
      <c r="CP20" s="413"/>
      <c r="CQ20" s="413"/>
      <c r="CR20" s="413"/>
      <c r="CS20" s="413"/>
      <c r="CT20" s="413"/>
      <c r="CU20" s="413"/>
      <c r="CV20" s="413"/>
      <c r="CW20" s="413"/>
      <c r="CX20" s="413"/>
      <c r="CY20" s="413"/>
      <c r="CZ20" s="413"/>
      <c r="DA20" s="413"/>
      <c r="DB20" s="413"/>
      <c r="DC20" s="413"/>
      <c r="DD20" s="413"/>
      <c r="DE20" s="413"/>
      <c r="DF20" s="413"/>
      <c r="DG20" s="413"/>
      <c r="DH20" s="413"/>
      <c r="DI20" s="413"/>
      <c r="DJ20" s="413"/>
      <c r="DK20" s="413"/>
      <c r="DL20" s="413"/>
      <c r="DM20" s="413"/>
      <c r="DN20" s="413"/>
      <c r="DO20" s="413"/>
      <c r="DP20" s="413"/>
      <c r="DQ20" s="413"/>
      <c r="DR20" s="413"/>
      <c r="DS20" s="413"/>
      <c r="DT20" s="413"/>
      <c r="DU20" s="413"/>
      <c r="DV20" s="413"/>
      <c r="DW20" s="413"/>
      <c r="DX20" s="413"/>
      <c r="DY20" s="413"/>
      <c r="DZ20" s="413"/>
      <c r="EA20" s="413"/>
      <c r="EB20" s="413"/>
      <c r="EC20" s="413"/>
      <c r="ED20" s="413"/>
      <c r="EE20" s="413"/>
      <c r="EF20" s="413"/>
      <c r="EG20" s="413"/>
      <c r="EH20" s="413"/>
      <c r="EI20" s="413"/>
      <c r="EJ20" s="413"/>
      <c r="EK20" s="413"/>
      <c r="EL20" s="413"/>
      <c r="EM20" s="413"/>
      <c r="EN20" s="413"/>
      <c r="EO20" s="413"/>
      <c r="EP20" s="413"/>
      <c r="EQ20" s="413"/>
      <c r="ER20" s="413"/>
      <c r="ES20" s="413"/>
      <c r="ET20" s="413"/>
      <c r="EU20" s="413"/>
      <c r="EV20" s="413"/>
      <c r="EW20" s="413"/>
      <c r="EX20" s="413"/>
      <c r="EY20" s="413"/>
      <c r="EZ20" s="413"/>
      <c r="FA20" s="413"/>
      <c r="FB20" s="413"/>
      <c r="FC20" s="413"/>
      <c r="FD20" s="413"/>
      <c r="FE20" s="413"/>
      <c r="FF20" s="413"/>
      <c r="FG20" s="413"/>
      <c r="FH20" s="413"/>
      <c r="FI20" s="413"/>
      <c r="FJ20" s="413"/>
      <c r="FK20" s="413"/>
      <c r="FL20" s="413"/>
      <c r="FM20" s="413"/>
      <c r="FN20" s="413"/>
      <c r="FO20" s="413"/>
      <c r="FP20" s="413"/>
      <c r="FQ20" s="413"/>
      <c r="FR20" s="413"/>
      <c r="FS20" s="413"/>
      <c r="FT20" s="413"/>
      <c r="FU20" s="413"/>
      <c r="FV20" s="413"/>
      <c r="FW20" s="413"/>
      <c r="FX20" s="413"/>
      <c r="FY20" s="413"/>
      <c r="FZ20" s="413"/>
      <c r="GA20" s="413"/>
      <c r="GB20" s="413"/>
      <c r="GC20" s="413"/>
      <c r="GD20" s="413"/>
      <c r="GE20" s="413"/>
      <c r="GF20" s="413"/>
      <c r="GG20" s="413"/>
      <c r="GH20" s="413"/>
      <c r="GI20" s="413"/>
      <c r="GJ20" s="413"/>
      <c r="GK20" s="413"/>
      <c r="GL20" s="413"/>
      <c r="GM20" s="413"/>
      <c r="GN20" s="413"/>
      <c r="GO20" s="413"/>
      <c r="GP20" s="413"/>
      <c r="GQ20" s="413"/>
      <c r="GR20" s="413"/>
      <c r="GS20" s="413"/>
      <c r="GT20" s="413"/>
      <c r="GU20" s="413"/>
      <c r="GV20" s="413"/>
      <c r="GW20" s="413"/>
      <c r="GX20" s="413"/>
      <c r="GY20" s="413"/>
      <c r="GZ20" s="413"/>
      <c r="HA20" s="413"/>
      <c r="HB20" s="413"/>
      <c r="HC20" s="413"/>
      <c r="HD20" s="413"/>
      <c r="HE20" s="413"/>
      <c r="HF20" s="413"/>
      <c r="HG20" s="413"/>
      <c r="HH20" s="413"/>
      <c r="HI20" s="413"/>
      <c r="HJ20" s="413"/>
      <c r="HK20" s="413"/>
      <c r="HL20" s="413"/>
      <c r="HM20" s="413"/>
      <c r="HN20" s="413"/>
      <c r="HO20" s="413"/>
      <c r="HP20" s="413"/>
      <c r="HQ20" s="413"/>
      <c r="HR20" s="413"/>
      <c r="HS20" s="413"/>
      <c r="HT20" s="413"/>
      <c r="HU20" s="413"/>
      <c r="HV20" s="413"/>
      <c r="HW20" s="413"/>
      <c r="HX20" s="413"/>
      <c r="HY20" s="413"/>
      <c r="HZ20" s="413"/>
      <c r="IA20" s="413"/>
      <c r="IB20" s="413"/>
      <c r="IC20" s="413"/>
      <c r="ID20" s="413"/>
      <c r="IE20" s="413"/>
      <c r="IF20" s="413"/>
      <c r="IG20" s="413"/>
      <c r="IH20" s="413"/>
      <c r="II20" s="413"/>
      <c r="IJ20" s="413"/>
      <c r="IK20" s="413"/>
      <c r="IL20" s="413"/>
      <c r="IM20" s="413"/>
      <c r="IN20" s="413"/>
      <c r="IO20" s="413"/>
      <c r="IP20" s="413"/>
      <c r="IQ20" s="413"/>
      <c r="IR20" s="413"/>
      <c r="IS20" s="413"/>
      <c r="IT20" s="413"/>
      <c r="IU20" s="413"/>
      <c r="IV20" s="413"/>
      <c r="IW20" s="413"/>
      <c r="IX20" s="413"/>
      <c r="IY20" s="413"/>
      <c r="IZ20" s="413"/>
      <c r="JA20" s="413"/>
      <c r="JB20" s="413"/>
      <c r="JC20" s="413"/>
      <c r="JD20" s="413"/>
      <c r="JE20" s="413"/>
      <c r="JF20" s="413"/>
      <c r="JG20" s="413"/>
      <c r="JH20" s="413"/>
      <c r="JI20" s="413"/>
      <c r="JJ20" s="413"/>
      <c r="JK20" s="413"/>
      <c r="JL20" s="413"/>
      <c r="JM20" s="413"/>
      <c r="JN20" s="413"/>
      <c r="JO20" s="413"/>
      <c r="JP20" s="413"/>
      <c r="JQ20" s="413"/>
      <c r="JR20" s="413"/>
      <c r="JS20" s="413"/>
      <c r="JT20" s="413"/>
      <c r="JU20" s="413"/>
      <c r="JV20" s="413"/>
      <c r="JW20" s="413"/>
      <c r="JX20" s="413"/>
      <c r="JY20" s="413"/>
      <c r="JZ20" s="413"/>
      <c r="KA20" s="413"/>
      <c r="KB20" s="413"/>
      <c r="KC20" s="413"/>
      <c r="KD20" s="413"/>
      <c r="KE20" s="413"/>
      <c r="KF20" s="413"/>
      <c r="KG20" s="413"/>
      <c r="KH20" s="413"/>
      <c r="KI20" s="413"/>
      <c r="KJ20" s="413"/>
      <c r="KK20" s="413"/>
      <c r="KL20" s="413"/>
      <c r="KM20" s="413"/>
      <c r="KN20" s="413"/>
      <c r="KO20" s="413"/>
      <c r="KP20" s="413"/>
      <c r="KQ20" s="413"/>
      <c r="KR20" s="413"/>
      <c r="KS20" s="413"/>
      <c r="KT20" s="413"/>
      <c r="KU20" s="413"/>
      <c r="KV20" s="413"/>
      <c r="KW20" s="413"/>
      <c r="KX20" s="413"/>
      <c r="KY20" s="413"/>
      <c r="KZ20" s="413"/>
      <c r="LA20" s="413"/>
      <c r="LB20" s="413"/>
      <c r="LC20" s="413"/>
      <c r="LD20" s="413"/>
      <c r="LE20" s="413"/>
      <c r="LF20" s="413"/>
      <c r="LG20" s="413"/>
      <c r="LH20" s="413"/>
      <c r="LI20" s="413"/>
      <c r="LJ20" s="413"/>
      <c r="LK20" s="413"/>
      <c r="LL20" s="413"/>
      <c r="LM20" s="413"/>
      <c r="LN20" s="413"/>
      <c r="LO20" s="413"/>
      <c r="LP20" s="413"/>
      <c r="LQ20" s="413"/>
      <c r="LR20" s="413"/>
      <c r="LS20" s="413"/>
      <c r="LT20" s="413"/>
      <c r="LU20" s="413"/>
      <c r="LV20" s="413"/>
      <c r="LW20" s="413"/>
      <c r="LX20" s="413"/>
      <c r="LY20" s="413"/>
      <c r="LZ20" s="413"/>
      <c r="MA20" s="413"/>
      <c r="MB20" s="413"/>
      <c r="MC20" s="413"/>
      <c r="MD20" s="413"/>
      <c r="ME20" s="413"/>
      <c r="MF20" s="413"/>
      <c r="MG20" s="413"/>
      <c r="MH20" s="413"/>
      <c r="MI20" s="413"/>
      <c r="MJ20" s="413"/>
      <c r="MK20" s="413"/>
      <c r="ML20" s="413"/>
      <c r="MM20" s="413"/>
      <c r="MN20" s="413"/>
      <c r="MO20" s="413"/>
      <c r="MP20" s="413"/>
      <c r="MQ20" s="413"/>
      <c r="MR20" s="413"/>
      <c r="MS20" s="413"/>
      <c r="MT20" s="413"/>
      <c r="MU20" s="413"/>
      <c r="MV20" s="413"/>
      <c r="MW20" s="413"/>
      <c r="MX20" s="413"/>
      <c r="MY20" s="413"/>
      <c r="MZ20" s="413"/>
      <c r="NA20" s="413"/>
      <c r="NB20" s="413"/>
      <c r="NC20" s="413"/>
      <c r="ND20" s="413"/>
      <c r="NE20" s="413"/>
      <c r="NF20" s="413"/>
      <c r="NG20" s="413"/>
      <c r="NH20" s="413"/>
      <c r="NI20" s="413"/>
      <c r="NJ20" s="413"/>
      <c r="NK20" s="413"/>
      <c r="NL20" s="413"/>
      <c r="NM20" s="413"/>
      <c r="NN20" s="413"/>
      <c r="NO20" s="413"/>
      <c r="NP20" s="413"/>
      <c r="NQ20" s="413"/>
      <c r="NR20" s="413"/>
      <c r="NS20" s="413"/>
      <c r="NT20" s="413"/>
      <c r="NU20" s="413"/>
      <c r="NV20" s="413"/>
      <c r="NW20" s="413"/>
      <c r="NX20" s="413"/>
      <c r="NY20" s="413"/>
      <c r="NZ20" s="413"/>
      <c r="OA20" s="413"/>
      <c r="OB20" s="413"/>
      <c r="OC20" s="413"/>
      <c r="OD20" s="413"/>
      <c r="OE20" s="413"/>
      <c r="OF20" s="413"/>
      <c r="OG20" s="413"/>
      <c r="OH20" s="413"/>
      <c r="OI20" s="413"/>
      <c r="OJ20" s="413"/>
      <c r="OK20" s="413"/>
      <c r="OL20" s="413"/>
      <c r="OM20" s="413"/>
      <c r="ON20" s="413"/>
      <c r="OO20" s="413"/>
      <c r="OP20" s="413"/>
      <c r="OQ20" s="413"/>
      <c r="OR20" s="413"/>
      <c r="OS20" s="413"/>
      <c r="OT20" s="413"/>
      <c r="OU20" s="413"/>
      <c r="OV20" s="413"/>
      <c r="OW20" s="413"/>
      <c r="OX20" s="413"/>
      <c r="OY20" s="413"/>
      <c r="OZ20" s="413"/>
      <c r="PA20" s="413"/>
      <c r="PB20" s="413"/>
      <c r="PC20" s="413"/>
      <c r="PD20" s="413"/>
      <c r="PE20" s="413"/>
      <c r="PF20" s="413"/>
      <c r="PG20" s="413"/>
      <c r="PH20" s="413"/>
      <c r="PI20" s="413"/>
      <c r="PJ20" s="413"/>
      <c r="PK20" s="413"/>
      <c r="PL20" s="413"/>
      <c r="PM20" s="413"/>
      <c r="PN20" s="413"/>
      <c r="PO20" s="413"/>
      <c r="PP20" s="413"/>
      <c r="PQ20" s="413"/>
      <c r="PR20" s="413"/>
      <c r="PS20" s="413"/>
      <c r="PT20" s="413"/>
      <c r="PU20" s="413"/>
      <c r="PV20" s="413"/>
      <c r="PW20" s="413"/>
      <c r="PX20" s="413"/>
      <c r="PY20" s="413"/>
      <c r="PZ20" s="413"/>
      <c r="QA20" s="413"/>
      <c r="QB20" s="413"/>
      <c r="QC20" s="413"/>
      <c r="QD20" s="413"/>
      <c r="QE20" s="413"/>
      <c r="QF20" s="413"/>
      <c r="QG20" s="413"/>
      <c r="QH20" s="413"/>
      <c r="QI20" s="413"/>
      <c r="QJ20" s="413"/>
      <c r="QK20" s="413"/>
      <c r="QL20" s="413"/>
      <c r="QM20" s="413"/>
      <c r="QN20" s="413"/>
      <c r="QO20" s="413"/>
      <c r="QP20" s="413"/>
      <c r="QQ20" s="413"/>
      <c r="QR20" s="413"/>
      <c r="QS20" s="413"/>
      <c r="QT20" s="413"/>
      <c r="QU20" s="413"/>
      <c r="QV20" s="413"/>
      <c r="QW20" s="413"/>
      <c r="QX20" s="413"/>
      <c r="QY20" s="413"/>
      <c r="QZ20" s="413"/>
      <c r="RA20" s="413"/>
      <c r="RB20" s="413"/>
      <c r="RC20" s="413"/>
      <c r="RD20" s="413"/>
      <c r="RE20" s="413"/>
      <c r="RF20" s="413"/>
      <c r="RG20" s="413"/>
      <c r="RH20" s="413"/>
      <c r="RI20" s="413"/>
      <c r="RJ20" s="413"/>
      <c r="RK20" s="413"/>
      <c r="RL20" s="413"/>
      <c r="RM20" s="413"/>
      <c r="RN20" s="413"/>
      <c r="RO20" s="413"/>
      <c r="RP20" s="413"/>
      <c r="RQ20" s="413"/>
      <c r="RR20" s="413"/>
      <c r="RS20" s="413"/>
      <c r="RT20" s="413"/>
      <c r="RU20" s="413"/>
      <c r="RV20" s="413"/>
      <c r="RW20" s="413"/>
      <c r="RX20" s="413"/>
      <c r="RY20" s="413"/>
      <c r="RZ20" s="413"/>
      <c r="SA20" s="413"/>
      <c r="SB20" s="413"/>
      <c r="SC20" s="413"/>
      <c r="SD20" s="413"/>
      <c r="SE20" s="413"/>
      <c r="SF20" s="413"/>
      <c r="SG20" s="413"/>
      <c r="SH20" s="413"/>
      <c r="SI20" s="413"/>
      <c r="SJ20" s="413"/>
      <c r="SK20" s="413"/>
      <c r="SL20" s="413"/>
      <c r="SM20" s="413"/>
      <c r="SN20" s="413"/>
      <c r="SO20" s="413"/>
      <c r="SP20" s="413"/>
      <c r="SQ20" s="413"/>
      <c r="SR20" s="413"/>
      <c r="SS20" s="413"/>
      <c r="ST20" s="413"/>
      <c r="SU20" s="413"/>
      <c r="SV20" s="413"/>
      <c r="SW20" s="413"/>
      <c r="SX20" s="413"/>
      <c r="SY20" s="413"/>
      <c r="SZ20" s="413"/>
      <c r="TA20" s="413"/>
      <c r="TB20" s="413"/>
      <c r="TC20" s="413"/>
      <c r="TD20" s="413"/>
      <c r="TE20" s="413"/>
      <c r="TF20" s="413"/>
      <c r="TG20" s="413"/>
      <c r="TH20" s="413"/>
      <c r="TI20" s="413"/>
      <c r="TJ20" s="413"/>
      <c r="TK20" s="413"/>
      <c r="TL20" s="413"/>
      <c r="TM20" s="413"/>
      <c r="TN20" s="413"/>
      <c r="TO20" s="413"/>
      <c r="TP20" s="413"/>
      <c r="TQ20" s="413"/>
      <c r="TR20" s="413"/>
      <c r="TS20" s="413"/>
      <c r="TT20" s="413"/>
      <c r="TU20" s="413"/>
      <c r="TV20" s="413"/>
      <c r="TW20" s="413"/>
      <c r="TX20" s="413"/>
      <c r="TY20" s="413"/>
      <c r="TZ20" s="413"/>
      <c r="UA20" s="413"/>
      <c r="UB20" s="413"/>
      <c r="UC20" s="413"/>
      <c r="UD20" s="413"/>
      <c r="UE20" s="413"/>
      <c r="UF20" s="413"/>
      <c r="UG20" s="413"/>
      <c r="UH20" s="413"/>
      <c r="UI20" s="413"/>
      <c r="UJ20" s="413"/>
      <c r="UK20" s="413"/>
      <c r="UL20" s="413"/>
      <c r="UM20" s="413"/>
      <c r="UN20" s="413"/>
      <c r="UO20" s="413"/>
      <c r="UP20" s="413"/>
      <c r="UQ20" s="413"/>
      <c r="UR20" s="413"/>
      <c r="US20" s="413"/>
      <c r="UT20" s="413"/>
      <c r="UU20" s="413"/>
      <c r="UV20" s="413"/>
      <c r="UW20" s="413"/>
      <c r="UX20" s="413"/>
      <c r="UY20" s="413"/>
      <c r="UZ20" s="413"/>
      <c r="VA20" s="413"/>
      <c r="VB20" s="413"/>
      <c r="VC20" s="413"/>
      <c r="VD20" s="413"/>
      <c r="VE20" s="413"/>
      <c r="VF20" s="413"/>
      <c r="VG20" s="413"/>
      <c r="VH20" s="413"/>
      <c r="VI20" s="413"/>
      <c r="VJ20" s="413"/>
      <c r="VK20" s="413"/>
      <c r="VL20" s="413"/>
      <c r="VM20" s="413"/>
      <c r="VN20" s="413"/>
      <c r="VO20" s="413"/>
      <c r="VP20" s="413"/>
      <c r="VQ20" s="413"/>
      <c r="VR20" s="413"/>
      <c r="VS20" s="413"/>
      <c r="VT20" s="413"/>
      <c r="VU20" s="413"/>
      <c r="VV20" s="413"/>
      <c r="VW20" s="413"/>
      <c r="VX20" s="413"/>
      <c r="VY20" s="413"/>
      <c r="VZ20" s="413"/>
      <c r="WA20" s="413"/>
      <c r="WB20" s="413"/>
      <c r="WC20" s="413"/>
      <c r="WD20" s="413"/>
      <c r="WE20" s="413"/>
      <c r="WF20" s="413"/>
      <c r="WG20" s="413"/>
      <c r="WH20" s="413"/>
      <c r="WI20" s="413"/>
      <c r="WJ20" s="413"/>
      <c r="WK20" s="413"/>
      <c r="WL20" s="413"/>
      <c r="WM20" s="413"/>
      <c r="WN20" s="413"/>
      <c r="WO20" s="413"/>
      <c r="WP20" s="413"/>
      <c r="WQ20" s="413"/>
      <c r="WR20" s="413"/>
      <c r="WS20" s="413"/>
      <c r="WT20" s="413"/>
      <c r="WU20" s="413"/>
      <c r="WV20" s="413"/>
      <c r="WW20" s="413"/>
      <c r="WX20" s="413"/>
      <c r="WY20" s="413"/>
      <c r="WZ20" s="413"/>
      <c r="XA20" s="413"/>
      <c r="XB20" s="413"/>
      <c r="XC20" s="413"/>
      <c r="XD20" s="413"/>
      <c r="XE20" s="413"/>
      <c r="XF20" s="413"/>
      <c r="XG20" s="413"/>
      <c r="XH20" s="413"/>
      <c r="XI20" s="413"/>
      <c r="XJ20" s="413"/>
      <c r="XK20" s="413"/>
      <c r="XL20" s="413"/>
      <c r="XM20" s="413"/>
      <c r="XN20" s="413"/>
      <c r="XO20" s="413"/>
      <c r="XP20" s="413"/>
      <c r="XQ20" s="413"/>
      <c r="XR20" s="413"/>
      <c r="XS20" s="413"/>
      <c r="XT20" s="413"/>
      <c r="XU20" s="413"/>
      <c r="XV20" s="413"/>
      <c r="XW20" s="413"/>
      <c r="XX20" s="413"/>
      <c r="XY20" s="413"/>
      <c r="XZ20" s="413"/>
      <c r="YA20" s="413"/>
      <c r="YB20" s="413"/>
      <c r="YC20" s="413"/>
      <c r="YD20" s="413"/>
      <c r="YE20" s="413"/>
      <c r="YF20" s="413"/>
      <c r="YG20" s="413"/>
      <c r="YH20" s="413"/>
      <c r="YI20" s="413"/>
      <c r="YJ20" s="413"/>
      <c r="YK20" s="413"/>
      <c r="YL20" s="413"/>
      <c r="YM20" s="413"/>
      <c r="YN20" s="413"/>
      <c r="YO20" s="413"/>
      <c r="YP20" s="413"/>
      <c r="YQ20" s="413"/>
      <c r="YR20" s="413"/>
      <c r="YS20" s="413"/>
      <c r="YT20" s="413"/>
      <c r="YU20" s="413"/>
      <c r="YV20" s="413"/>
      <c r="YW20" s="413"/>
      <c r="YX20" s="413"/>
      <c r="YY20" s="413"/>
      <c r="YZ20" s="413"/>
      <c r="ZA20" s="413"/>
      <c r="ZB20" s="413"/>
      <c r="ZC20" s="413"/>
      <c r="ZD20" s="413"/>
      <c r="ZE20" s="413"/>
      <c r="ZF20" s="413"/>
      <c r="ZG20" s="413"/>
      <c r="ZH20" s="413"/>
      <c r="ZI20" s="413"/>
      <c r="ZJ20" s="413"/>
      <c r="ZK20" s="413"/>
      <c r="ZL20" s="413"/>
      <c r="ZM20" s="413"/>
      <c r="ZN20" s="413"/>
      <c r="ZO20" s="413"/>
      <c r="ZP20" s="413"/>
      <c r="ZQ20" s="413"/>
      <c r="ZR20" s="413"/>
      <c r="ZS20" s="413"/>
      <c r="ZT20" s="413"/>
      <c r="ZU20" s="413"/>
      <c r="ZV20" s="413"/>
      <c r="ZW20" s="413"/>
      <c r="ZX20" s="413"/>
      <c r="ZY20" s="413"/>
      <c r="ZZ20" s="413"/>
      <c r="AAA20" s="413"/>
      <c r="AAB20" s="413"/>
      <c r="AAC20" s="413"/>
      <c r="AAD20" s="413"/>
      <c r="AAE20" s="413"/>
      <c r="AAF20" s="413"/>
      <c r="AAG20" s="413"/>
      <c r="AAH20" s="413"/>
      <c r="AAI20" s="413"/>
      <c r="AAJ20" s="413"/>
      <c r="AAK20" s="413"/>
      <c r="AAL20" s="413"/>
      <c r="AAM20" s="413"/>
      <c r="AAN20" s="413"/>
      <c r="AAO20" s="413"/>
      <c r="AAP20" s="413"/>
      <c r="AAQ20" s="413"/>
      <c r="AAR20" s="413"/>
      <c r="AAS20" s="413"/>
      <c r="AAT20" s="413"/>
      <c r="AAU20" s="413"/>
      <c r="AAV20" s="413"/>
      <c r="AAW20" s="413"/>
      <c r="AAX20" s="413"/>
      <c r="AAY20" s="413"/>
      <c r="AAZ20" s="413"/>
      <c r="ABA20" s="413"/>
      <c r="ABB20" s="413"/>
      <c r="ABC20" s="413"/>
      <c r="ABD20" s="413"/>
      <c r="ABE20" s="413"/>
      <c r="ABF20" s="413"/>
      <c r="ABG20" s="413"/>
      <c r="ABH20" s="413"/>
      <c r="ABI20" s="413"/>
      <c r="ABJ20" s="413"/>
      <c r="ABK20" s="413"/>
      <c r="ABL20" s="413"/>
      <c r="ABM20" s="413"/>
      <c r="ABN20" s="413"/>
      <c r="ABO20" s="413"/>
      <c r="ABP20" s="413"/>
      <c r="ABQ20" s="413"/>
      <c r="ABR20" s="413"/>
      <c r="ABS20" s="413"/>
      <c r="ABT20" s="413"/>
      <c r="ABU20" s="413"/>
      <c r="ABV20" s="413"/>
      <c r="ABW20" s="413"/>
      <c r="ABX20" s="413"/>
      <c r="ABY20" s="413"/>
      <c r="ABZ20" s="413"/>
      <c r="ACA20" s="413"/>
      <c r="ACB20" s="413"/>
      <c r="ACC20" s="413"/>
      <c r="ACD20" s="413"/>
      <c r="ACE20" s="413"/>
      <c r="ACF20" s="413"/>
      <c r="ACG20" s="413"/>
      <c r="ACH20" s="413"/>
      <c r="ACI20" s="413"/>
      <c r="ACJ20" s="413"/>
      <c r="ACK20" s="413"/>
      <c r="ACL20" s="413"/>
      <c r="ACM20" s="413"/>
      <c r="ACN20" s="413"/>
      <c r="ACO20" s="413"/>
      <c r="ACP20" s="413"/>
      <c r="ACQ20" s="413"/>
      <c r="ACR20" s="413"/>
      <c r="ACS20" s="413"/>
      <c r="ACT20" s="413"/>
      <c r="ACU20" s="413"/>
      <c r="ACV20" s="413"/>
      <c r="ACW20" s="413"/>
      <c r="ACX20" s="413"/>
      <c r="ACY20" s="413"/>
      <c r="ACZ20" s="413"/>
      <c r="ADA20" s="413"/>
      <c r="ADB20" s="413"/>
      <c r="ADC20" s="413"/>
      <c r="ADD20" s="413"/>
      <c r="ADE20" s="413"/>
      <c r="ADF20" s="413"/>
      <c r="ADG20" s="413"/>
      <c r="ADH20" s="413"/>
      <c r="ADI20" s="413"/>
      <c r="ADJ20" s="413"/>
      <c r="ADK20" s="413"/>
      <c r="ADL20" s="413"/>
      <c r="ADM20" s="413"/>
      <c r="ADN20" s="413"/>
      <c r="ADO20" s="413"/>
      <c r="ADP20" s="413"/>
      <c r="ADQ20" s="413"/>
      <c r="ADR20" s="413"/>
      <c r="ADS20" s="413"/>
      <c r="ADT20" s="413"/>
      <c r="ADU20" s="413"/>
      <c r="ADV20" s="413"/>
      <c r="ADW20" s="413"/>
      <c r="ADX20" s="413"/>
      <c r="ADY20" s="413"/>
      <c r="ADZ20" s="413"/>
      <c r="AEA20" s="413"/>
      <c r="AEB20" s="413"/>
      <c r="AEC20" s="413"/>
      <c r="AED20" s="413"/>
      <c r="AEE20" s="413"/>
      <c r="AEF20" s="413"/>
      <c r="AEG20" s="413"/>
      <c r="AEH20" s="413"/>
      <c r="AEI20" s="413"/>
      <c r="AEJ20" s="413"/>
      <c r="AEK20" s="413"/>
      <c r="AEL20" s="413"/>
      <c r="AEM20" s="413"/>
      <c r="AEN20" s="413"/>
      <c r="AEO20" s="413"/>
      <c r="AEP20" s="413"/>
      <c r="AEQ20" s="413"/>
      <c r="AER20" s="413"/>
      <c r="AES20" s="413"/>
      <c r="AET20" s="413"/>
      <c r="AEU20" s="413"/>
      <c r="AEV20" s="413"/>
      <c r="AEW20" s="413"/>
      <c r="AEX20" s="413"/>
      <c r="AEY20" s="413"/>
      <c r="AEZ20" s="413"/>
      <c r="AFA20" s="413"/>
      <c r="AFB20" s="413"/>
      <c r="AFC20" s="413"/>
      <c r="AFD20" s="413"/>
      <c r="AFE20" s="413"/>
      <c r="AFF20" s="413"/>
      <c r="AFG20" s="413"/>
      <c r="AFH20" s="413"/>
      <c r="AFI20" s="413"/>
      <c r="AFJ20" s="413"/>
      <c r="AFK20" s="413"/>
      <c r="AFL20" s="413"/>
      <c r="AFM20" s="413"/>
      <c r="AFN20" s="413"/>
      <c r="AFO20" s="413"/>
      <c r="AFP20" s="413"/>
      <c r="AFQ20" s="413"/>
      <c r="AFR20" s="413"/>
      <c r="AFS20" s="413"/>
      <c r="AFT20" s="413"/>
      <c r="AFU20" s="413"/>
      <c r="AFV20" s="413"/>
      <c r="AFW20" s="413"/>
      <c r="AFX20" s="413"/>
      <c r="AFY20" s="413"/>
      <c r="AFZ20" s="413"/>
      <c r="AGA20" s="413"/>
      <c r="AGB20" s="413"/>
      <c r="AGC20" s="413"/>
      <c r="AGD20" s="413"/>
      <c r="AGE20" s="413"/>
      <c r="AGF20" s="413"/>
      <c r="AGG20" s="413"/>
      <c r="AGH20" s="413"/>
      <c r="AGI20" s="413"/>
      <c r="AGJ20" s="413"/>
      <c r="AGK20" s="413"/>
      <c r="AGL20" s="413"/>
      <c r="AGM20" s="413"/>
      <c r="AGN20" s="413"/>
      <c r="AGO20" s="413"/>
      <c r="AGP20" s="413"/>
      <c r="AGQ20" s="413"/>
      <c r="AGR20" s="413"/>
      <c r="AGS20" s="413"/>
      <c r="AGT20" s="413"/>
      <c r="AGU20" s="413"/>
      <c r="AGV20" s="413"/>
      <c r="AGW20" s="413"/>
      <c r="AGX20" s="413"/>
      <c r="AGY20" s="413"/>
      <c r="AGZ20" s="413"/>
      <c r="AHA20" s="413"/>
      <c r="AHB20" s="413"/>
      <c r="AHC20" s="413"/>
      <c r="AHD20" s="413"/>
      <c r="AHE20" s="413"/>
      <c r="AHF20" s="413"/>
      <c r="AHG20" s="413"/>
      <c r="AHH20" s="413"/>
      <c r="AHI20" s="413"/>
      <c r="AHJ20" s="413"/>
      <c r="AHK20" s="413"/>
      <c r="AHL20" s="413"/>
      <c r="AHM20" s="413"/>
      <c r="AHN20" s="413"/>
      <c r="AHO20" s="413"/>
      <c r="AHP20" s="413"/>
      <c r="AHQ20" s="413"/>
      <c r="AHR20" s="413"/>
      <c r="AHS20" s="413"/>
      <c r="AHT20" s="413"/>
      <c r="AHU20" s="413"/>
      <c r="AHV20" s="413"/>
      <c r="AHW20" s="413"/>
      <c r="AHX20" s="413"/>
      <c r="AHY20" s="413"/>
      <c r="AHZ20" s="413"/>
      <c r="AIA20" s="413"/>
      <c r="AIB20" s="413"/>
      <c r="AIC20" s="413"/>
      <c r="AID20" s="413"/>
      <c r="AIE20" s="413"/>
      <c r="AIF20" s="413"/>
      <c r="AIG20" s="413"/>
      <c r="AIH20" s="413"/>
      <c r="AII20" s="413"/>
      <c r="AIJ20" s="413"/>
      <c r="AIK20" s="413"/>
      <c r="AIL20" s="413"/>
      <c r="AIM20" s="413"/>
      <c r="AIN20" s="413"/>
      <c r="AIO20" s="413"/>
      <c r="AIP20" s="413"/>
      <c r="AIQ20" s="413"/>
      <c r="AIR20" s="413"/>
      <c r="AIS20" s="413"/>
      <c r="AIT20" s="413"/>
      <c r="AIU20" s="413"/>
      <c r="AIV20" s="413"/>
      <c r="AIW20" s="413"/>
      <c r="AIX20" s="413"/>
      <c r="AIY20" s="413"/>
      <c r="AIZ20" s="413"/>
      <c r="AJA20" s="413"/>
      <c r="AJB20" s="413"/>
      <c r="AJC20" s="413"/>
      <c r="AJD20" s="413"/>
      <c r="AJE20" s="413"/>
      <c r="AJF20" s="413"/>
      <c r="AJG20" s="413"/>
      <c r="AJH20" s="413"/>
      <c r="AJI20" s="413"/>
      <c r="AJJ20" s="413"/>
      <c r="AJK20" s="413"/>
      <c r="AJL20" s="413"/>
      <c r="AJM20" s="413"/>
      <c r="AJN20" s="413"/>
      <c r="AJO20" s="413"/>
      <c r="AJP20" s="413"/>
      <c r="AJQ20" s="413"/>
      <c r="AJR20" s="413"/>
      <c r="AJS20" s="413"/>
      <c r="AJT20" s="413"/>
      <c r="AJU20" s="413"/>
      <c r="AJV20" s="413"/>
      <c r="AJW20" s="413"/>
      <c r="AJX20" s="413"/>
      <c r="AJY20" s="413"/>
      <c r="AJZ20" s="413"/>
      <c r="AKA20" s="413"/>
      <c r="AKB20" s="413"/>
      <c r="AKC20" s="413"/>
      <c r="AKD20" s="413"/>
      <c r="AKE20" s="413"/>
      <c r="AKF20" s="413"/>
      <c r="AKG20" s="413"/>
      <c r="AKH20" s="413"/>
      <c r="AKI20" s="413"/>
      <c r="AKJ20" s="413"/>
      <c r="AKK20" s="413"/>
      <c r="AKL20" s="413"/>
      <c r="AKM20" s="413"/>
      <c r="AKN20" s="413"/>
      <c r="AKO20" s="413"/>
      <c r="AKP20" s="413"/>
      <c r="AKQ20" s="413"/>
      <c r="AKR20" s="413"/>
      <c r="AKS20" s="413"/>
      <c r="AKT20" s="413"/>
      <c r="AKU20" s="413"/>
      <c r="AKV20" s="413"/>
      <c r="AKW20" s="413"/>
      <c r="AKX20" s="413"/>
      <c r="AKY20" s="413"/>
      <c r="AKZ20" s="413"/>
      <c r="ALA20" s="413"/>
      <c r="ALB20" s="413"/>
      <c r="ALC20" s="413"/>
      <c r="ALD20" s="413"/>
      <c r="ALE20" s="413"/>
      <c r="ALF20" s="413"/>
      <c r="ALG20" s="413"/>
      <c r="ALH20" s="413"/>
      <c r="ALI20" s="413"/>
      <c r="ALJ20" s="413"/>
      <c r="ALK20" s="413"/>
      <c r="ALL20" s="413"/>
      <c r="ALM20" s="413"/>
      <c r="ALN20" s="413"/>
      <c r="ALO20" s="413"/>
      <c r="ALP20" s="413"/>
      <c r="ALQ20" s="413"/>
      <c r="ALR20" s="413"/>
      <c r="ALS20" s="413"/>
      <c r="ALT20" s="413"/>
      <c r="ALU20" s="413"/>
      <c r="ALV20" s="413"/>
      <c r="ALW20" s="413"/>
      <c r="ALX20" s="413"/>
      <c r="ALY20" s="413"/>
      <c r="ALZ20" s="413"/>
      <c r="AMA20" s="413"/>
      <c r="AMB20" s="413"/>
      <c r="AMC20" s="413"/>
      <c r="AMD20" s="413"/>
      <c r="AME20" s="413"/>
      <c r="AMF20" s="413"/>
      <c r="AMG20" s="413"/>
      <c r="AMH20" s="413"/>
      <c r="AMI20" s="413"/>
      <c r="AMJ20" s="413"/>
      <c r="AMK20" s="413"/>
      <c r="AML20" s="413"/>
      <c r="AMM20" s="413"/>
      <c r="AMN20" s="413"/>
      <c r="AMO20" s="413"/>
      <c r="AMP20" s="413"/>
      <c r="AMQ20" s="413"/>
      <c r="AMR20" s="413"/>
      <c r="AMS20" s="413"/>
      <c r="AMT20" s="413"/>
      <c r="AMU20" s="413"/>
      <c r="AMV20" s="413"/>
      <c r="AMW20" s="413"/>
      <c r="AMX20" s="413"/>
      <c r="AMY20" s="413"/>
      <c r="AMZ20" s="413"/>
      <c r="ANA20" s="413"/>
      <c r="ANB20" s="413"/>
      <c r="ANC20" s="413"/>
      <c r="AND20" s="413"/>
      <c r="ANE20" s="413"/>
      <c r="ANF20" s="413"/>
      <c r="ANG20" s="413"/>
      <c r="ANH20" s="413"/>
      <c r="ANI20" s="413"/>
      <c r="ANJ20" s="413"/>
      <c r="ANK20" s="413"/>
      <c r="ANL20" s="413"/>
      <c r="ANM20" s="413"/>
      <c r="ANN20" s="413"/>
      <c r="ANO20" s="413"/>
      <c r="ANP20" s="413"/>
      <c r="ANQ20" s="413"/>
      <c r="ANR20" s="413"/>
      <c r="ANS20" s="413"/>
      <c r="ANT20" s="413"/>
      <c r="ANU20" s="413"/>
      <c r="ANV20" s="413"/>
      <c r="ANW20" s="413"/>
      <c r="ANX20" s="413"/>
      <c r="ANY20" s="413"/>
      <c r="ANZ20" s="413"/>
      <c r="AOA20" s="413"/>
      <c r="AOB20" s="413"/>
      <c r="AOC20" s="413"/>
      <c r="AOD20" s="413"/>
      <c r="AOE20" s="413"/>
      <c r="AOF20" s="413"/>
      <c r="AOG20" s="413"/>
      <c r="AOH20" s="413"/>
      <c r="AOI20" s="413"/>
      <c r="AOJ20" s="413"/>
      <c r="AOK20" s="413"/>
      <c r="AOL20" s="413"/>
      <c r="AOM20" s="413"/>
      <c r="AON20" s="413"/>
      <c r="AOO20" s="413"/>
      <c r="AOP20" s="413"/>
      <c r="AOQ20" s="413"/>
      <c r="AOR20" s="413"/>
      <c r="AOS20" s="413"/>
      <c r="AOT20" s="413"/>
      <c r="AOU20" s="413"/>
      <c r="AOV20" s="413"/>
      <c r="AOW20" s="413"/>
      <c r="AOX20" s="413"/>
      <c r="AOY20" s="413"/>
      <c r="AOZ20" s="413"/>
      <c r="APA20" s="413"/>
      <c r="APB20" s="413"/>
      <c r="APC20" s="413"/>
      <c r="APD20" s="413"/>
      <c r="APE20" s="413"/>
      <c r="APF20" s="413"/>
      <c r="APG20" s="413"/>
      <c r="APH20" s="413"/>
      <c r="API20" s="413"/>
      <c r="APJ20" s="413"/>
      <c r="APK20" s="413"/>
      <c r="APL20" s="413"/>
      <c r="APM20" s="413"/>
      <c r="APN20" s="413"/>
      <c r="APO20" s="413"/>
      <c r="APP20" s="413"/>
      <c r="APQ20" s="413"/>
      <c r="APR20" s="413"/>
      <c r="APS20" s="413"/>
      <c r="APT20" s="413"/>
      <c r="APU20" s="413"/>
      <c r="APV20" s="413"/>
      <c r="APW20" s="413"/>
      <c r="APX20" s="413"/>
      <c r="APY20" s="413"/>
      <c r="APZ20" s="413"/>
      <c r="AQA20" s="413"/>
      <c r="AQB20" s="413"/>
      <c r="AQC20" s="413"/>
      <c r="AQD20" s="413"/>
      <c r="AQE20" s="413"/>
      <c r="AQF20" s="413"/>
      <c r="AQG20" s="413"/>
      <c r="AQH20" s="413"/>
      <c r="AQI20" s="413"/>
      <c r="AQJ20" s="413"/>
      <c r="AQK20" s="413"/>
      <c r="AQL20" s="413"/>
      <c r="AQM20" s="413"/>
      <c r="AQN20" s="413"/>
      <c r="AQO20" s="413"/>
      <c r="AQP20" s="413"/>
      <c r="AQQ20" s="413"/>
      <c r="AQR20" s="413"/>
      <c r="AQS20" s="413"/>
      <c r="AQT20" s="413"/>
      <c r="AQU20" s="413"/>
      <c r="AQV20" s="413"/>
      <c r="AQW20" s="413"/>
      <c r="AQX20" s="413"/>
      <c r="AQY20" s="413"/>
      <c r="AQZ20" s="413"/>
      <c r="ARA20" s="413"/>
      <c r="ARB20" s="413"/>
      <c r="ARC20" s="413"/>
      <c r="ARD20" s="413"/>
      <c r="ARE20" s="413"/>
      <c r="ARF20" s="413"/>
      <c r="ARG20" s="413"/>
      <c r="ARH20" s="413"/>
      <c r="ARI20" s="413"/>
      <c r="ARJ20" s="413"/>
      <c r="ARK20" s="413"/>
      <c r="ARL20" s="413"/>
      <c r="ARM20" s="413"/>
      <c r="ARN20" s="413"/>
      <c r="ARO20" s="413"/>
      <c r="ARP20" s="413"/>
      <c r="ARQ20" s="413"/>
      <c r="ARR20" s="413"/>
      <c r="ARS20" s="413"/>
      <c r="ART20" s="413"/>
      <c r="ARU20" s="413"/>
      <c r="ARV20" s="413"/>
      <c r="ARW20" s="413"/>
      <c r="ARX20" s="413"/>
      <c r="ARY20" s="413"/>
      <c r="ARZ20" s="413"/>
      <c r="ASA20" s="413"/>
      <c r="ASB20" s="413"/>
      <c r="ASC20" s="413"/>
      <c r="ASD20" s="413"/>
      <c r="ASE20" s="413"/>
      <c r="ASF20" s="413"/>
      <c r="ASG20" s="413"/>
      <c r="ASH20" s="413"/>
      <c r="ASI20" s="413"/>
      <c r="ASJ20" s="413"/>
      <c r="ASK20" s="413"/>
      <c r="ASL20" s="413"/>
      <c r="ASM20" s="413"/>
      <c r="ASN20" s="413"/>
      <c r="ASO20" s="413"/>
      <c r="ASP20" s="413"/>
      <c r="ASQ20" s="413"/>
      <c r="ASR20" s="413"/>
      <c r="ASS20" s="413"/>
      <c r="AST20" s="413"/>
      <c r="ASU20" s="413"/>
      <c r="ASV20" s="413"/>
      <c r="ASW20" s="413"/>
      <c r="ASX20" s="413"/>
      <c r="ASY20" s="413"/>
      <c r="ASZ20" s="413"/>
      <c r="ATA20" s="413"/>
      <c r="ATB20" s="413"/>
      <c r="ATC20" s="413"/>
      <c r="ATD20" s="413"/>
      <c r="ATE20" s="413"/>
      <c r="ATF20" s="413"/>
      <c r="ATG20" s="413"/>
      <c r="ATH20" s="413"/>
      <c r="ATI20" s="413"/>
      <c r="ATJ20" s="413"/>
      <c r="ATK20" s="413"/>
      <c r="ATL20" s="413"/>
      <c r="ATM20" s="413"/>
      <c r="ATN20" s="413"/>
      <c r="ATO20" s="413"/>
      <c r="ATP20" s="413"/>
      <c r="ATQ20" s="413"/>
      <c r="ATR20" s="413"/>
      <c r="ATS20" s="413"/>
      <c r="ATT20" s="413"/>
      <c r="ATU20" s="413"/>
      <c r="ATV20" s="413"/>
      <c r="ATW20" s="413"/>
      <c r="ATX20" s="413"/>
      <c r="ATY20" s="413"/>
      <c r="ATZ20" s="413"/>
      <c r="AUA20" s="413"/>
      <c r="AUB20" s="413"/>
      <c r="AUC20" s="413"/>
      <c r="AUD20" s="413"/>
      <c r="AUE20" s="413"/>
      <c r="AUF20" s="413"/>
      <c r="AUG20" s="413"/>
      <c r="AUH20" s="413"/>
      <c r="AUI20" s="413"/>
      <c r="AUJ20" s="413"/>
      <c r="AUK20" s="413"/>
      <c r="AUL20" s="413"/>
      <c r="AUM20" s="413"/>
      <c r="AUN20" s="413"/>
      <c r="AUO20" s="413"/>
      <c r="AUP20" s="413"/>
      <c r="AUQ20" s="413"/>
      <c r="AUR20" s="413"/>
      <c r="AUS20" s="413"/>
      <c r="AUT20" s="413"/>
      <c r="AUU20" s="413"/>
      <c r="AUV20" s="413"/>
      <c r="AUW20" s="413"/>
      <c r="AUX20" s="413"/>
      <c r="AUY20" s="413"/>
      <c r="AUZ20" s="413"/>
      <c r="AVA20" s="413"/>
      <c r="AVB20" s="413"/>
      <c r="AVC20" s="413"/>
      <c r="AVD20" s="413"/>
      <c r="AVE20" s="413"/>
      <c r="AVF20" s="413"/>
      <c r="AVG20" s="413"/>
      <c r="AVH20" s="413"/>
      <c r="AVI20" s="413"/>
      <c r="AVJ20" s="413"/>
      <c r="AVK20" s="413"/>
      <c r="AVL20" s="413"/>
      <c r="AVM20" s="413"/>
      <c r="AVN20" s="413"/>
      <c r="AVO20" s="413"/>
      <c r="AVP20" s="413"/>
      <c r="AVQ20" s="413"/>
      <c r="AVR20" s="413"/>
      <c r="AVS20" s="413"/>
      <c r="AVT20" s="413"/>
      <c r="AVU20" s="413"/>
      <c r="AVV20" s="413"/>
      <c r="AVW20" s="413"/>
      <c r="AVX20" s="413"/>
      <c r="AVY20" s="413"/>
      <c r="AVZ20" s="413"/>
      <c r="AWA20" s="413"/>
      <c r="AWB20" s="413"/>
      <c r="AWC20" s="413"/>
      <c r="AWD20" s="413"/>
      <c r="AWE20" s="413"/>
      <c r="AWF20" s="413"/>
      <c r="AWG20" s="413"/>
      <c r="AWH20" s="413"/>
      <c r="AWI20" s="413"/>
      <c r="AWJ20" s="413"/>
      <c r="AWK20" s="413"/>
      <c r="AWL20" s="413"/>
      <c r="AWM20" s="413"/>
      <c r="AWN20" s="413"/>
      <c r="AWO20" s="413"/>
      <c r="AWP20" s="413"/>
      <c r="AWQ20" s="413"/>
      <c r="AWR20" s="413"/>
      <c r="AWS20" s="413"/>
      <c r="AWT20" s="413"/>
      <c r="AWU20" s="413"/>
      <c r="AWV20" s="413"/>
      <c r="AWW20" s="413"/>
      <c r="AWX20" s="413"/>
      <c r="AWY20" s="413"/>
      <c r="AWZ20" s="413"/>
      <c r="AXA20" s="413"/>
      <c r="AXB20" s="413"/>
      <c r="AXC20" s="413"/>
      <c r="AXD20" s="413"/>
      <c r="AXE20" s="413"/>
      <c r="AXF20" s="413"/>
      <c r="AXG20" s="413"/>
      <c r="AXH20" s="413"/>
      <c r="AXI20" s="413"/>
      <c r="AXJ20" s="413"/>
      <c r="AXK20" s="413"/>
      <c r="AXL20" s="413"/>
      <c r="AXM20" s="413"/>
      <c r="AXN20" s="413"/>
      <c r="AXO20" s="413"/>
      <c r="AXP20" s="413"/>
      <c r="AXQ20" s="413"/>
      <c r="AXR20" s="413"/>
      <c r="AXS20" s="413"/>
      <c r="AXT20" s="413"/>
      <c r="AXU20" s="413"/>
      <c r="AXV20" s="413"/>
      <c r="AXW20" s="413"/>
      <c r="AXX20" s="413"/>
      <c r="AXY20" s="413"/>
      <c r="AXZ20" s="413"/>
      <c r="AYA20" s="413"/>
      <c r="AYB20" s="413"/>
      <c r="AYC20" s="413"/>
      <c r="AYD20" s="413"/>
      <c r="AYE20" s="413"/>
      <c r="AYF20" s="413"/>
      <c r="AYG20" s="413"/>
      <c r="AYH20" s="413"/>
      <c r="AYI20" s="413"/>
      <c r="AYJ20" s="413"/>
      <c r="AYK20" s="413"/>
      <c r="AYL20" s="413"/>
      <c r="AYM20" s="413"/>
      <c r="AYN20" s="413"/>
      <c r="AYO20" s="413"/>
      <c r="AYP20" s="413"/>
      <c r="AYQ20" s="413"/>
      <c r="AYR20" s="413"/>
      <c r="AYS20" s="413"/>
      <c r="AYT20" s="413"/>
      <c r="AYU20" s="413"/>
      <c r="AYV20" s="413"/>
      <c r="AYW20" s="413"/>
      <c r="AYX20" s="413"/>
      <c r="AYY20" s="413"/>
      <c r="AYZ20" s="413"/>
      <c r="AZA20" s="413"/>
      <c r="AZB20" s="413"/>
      <c r="AZC20" s="413"/>
      <c r="AZD20" s="413"/>
      <c r="AZE20" s="413"/>
      <c r="AZF20" s="413"/>
      <c r="AZG20" s="413"/>
      <c r="AZH20" s="413"/>
      <c r="AZI20" s="413"/>
      <c r="AZJ20" s="413"/>
      <c r="AZK20" s="413"/>
      <c r="AZL20" s="413"/>
      <c r="AZM20" s="413"/>
      <c r="AZN20" s="413"/>
      <c r="AZO20" s="413"/>
      <c r="AZP20" s="413"/>
      <c r="AZQ20" s="413"/>
      <c r="AZR20" s="413"/>
      <c r="AZS20" s="413"/>
      <c r="AZT20" s="413"/>
      <c r="AZU20" s="413"/>
      <c r="AZV20" s="413"/>
      <c r="AZW20" s="413"/>
      <c r="AZX20" s="413"/>
      <c r="AZY20" s="413"/>
      <c r="AZZ20" s="413"/>
      <c r="BAA20" s="413"/>
      <c r="BAB20" s="413"/>
      <c r="BAC20" s="413"/>
      <c r="BAD20" s="413"/>
      <c r="BAE20" s="413"/>
      <c r="BAF20" s="413"/>
      <c r="BAG20" s="413"/>
      <c r="BAH20" s="413"/>
      <c r="BAI20" s="413"/>
      <c r="BAJ20" s="413"/>
      <c r="BAK20" s="413"/>
      <c r="BAL20" s="413"/>
      <c r="BAM20" s="413"/>
      <c r="BAN20" s="413"/>
      <c r="BAO20" s="413"/>
      <c r="BAP20" s="413"/>
      <c r="BAQ20" s="413"/>
      <c r="BAR20" s="413"/>
      <c r="BAS20" s="413"/>
      <c r="BAT20" s="413"/>
      <c r="BAU20" s="413"/>
      <c r="BAV20" s="413"/>
      <c r="BAW20" s="413"/>
      <c r="BAX20" s="413"/>
      <c r="BAY20" s="413"/>
      <c r="BAZ20" s="413"/>
      <c r="BBA20" s="413"/>
      <c r="BBB20" s="413"/>
      <c r="BBC20" s="413"/>
      <c r="BBD20" s="413"/>
      <c r="BBE20" s="413"/>
      <c r="BBF20" s="413"/>
      <c r="BBG20" s="413"/>
      <c r="BBH20" s="413"/>
      <c r="BBI20" s="413"/>
      <c r="BBJ20" s="413"/>
      <c r="BBK20" s="413"/>
      <c r="BBL20" s="413"/>
      <c r="BBM20" s="413"/>
      <c r="BBN20" s="413"/>
      <c r="BBO20" s="413"/>
      <c r="BBP20" s="413"/>
      <c r="BBQ20" s="413"/>
      <c r="BBR20" s="413"/>
      <c r="BBS20" s="413"/>
      <c r="BBT20" s="413"/>
      <c r="BBU20" s="413"/>
      <c r="BBV20" s="413"/>
      <c r="BBW20" s="413"/>
      <c r="BBX20" s="413"/>
      <c r="BBY20" s="413"/>
      <c r="BBZ20" s="413"/>
      <c r="BCA20" s="413"/>
      <c r="BCB20" s="413"/>
      <c r="BCC20" s="413"/>
      <c r="BCD20" s="413"/>
      <c r="BCE20" s="413"/>
      <c r="BCF20" s="413"/>
      <c r="BCG20" s="413"/>
      <c r="BCH20" s="413"/>
      <c r="BCI20" s="413"/>
      <c r="BCJ20" s="413"/>
      <c r="BCK20" s="413"/>
      <c r="BCL20" s="413"/>
      <c r="BCM20" s="413"/>
      <c r="BCN20" s="413"/>
      <c r="BCO20" s="413"/>
      <c r="BCP20" s="413"/>
      <c r="BCQ20" s="413"/>
      <c r="BCR20" s="413"/>
      <c r="BCS20" s="413"/>
      <c r="BCT20" s="413"/>
      <c r="BCU20" s="413"/>
      <c r="BCV20" s="413"/>
      <c r="BCW20" s="413"/>
      <c r="BCX20" s="413"/>
      <c r="BCY20" s="413"/>
      <c r="BCZ20" s="413"/>
      <c r="BDA20" s="413"/>
      <c r="BDB20" s="413"/>
      <c r="BDC20" s="413"/>
      <c r="BDD20" s="413"/>
      <c r="BDE20" s="413"/>
      <c r="BDF20" s="413"/>
      <c r="BDG20" s="413"/>
      <c r="BDH20" s="413"/>
      <c r="BDI20" s="413"/>
      <c r="BDJ20" s="413"/>
      <c r="BDK20" s="413"/>
      <c r="BDL20" s="413"/>
      <c r="BDM20" s="413"/>
      <c r="BDN20" s="413"/>
      <c r="BDO20" s="413"/>
      <c r="BDP20" s="413"/>
      <c r="BDQ20" s="413"/>
      <c r="BDR20" s="413"/>
      <c r="BDS20" s="413"/>
      <c r="BDT20" s="413"/>
      <c r="BDU20" s="413"/>
      <c r="BDV20" s="413"/>
      <c r="BDW20" s="413"/>
      <c r="BDX20" s="413"/>
      <c r="BDY20" s="413"/>
      <c r="BDZ20" s="413"/>
      <c r="BEA20" s="413"/>
      <c r="BEB20" s="413"/>
      <c r="BEC20" s="413"/>
      <c r="BED20" s="413"/>
      <c r="BEE20" s="413"/>
      <c r="BEF20" s="413"/>
      <c r="BEG20" s="413"/>
      <c r="BEH20" s="413"/>
      <c r="BEI20" s="413"/>
      <c r="BEJ20" s="413"/>
      <c r="BEK20" s="413"/>
      <c r="BEL20" s="413"/>
      <c r="BEM20" s="413"/>
      <c r="BEN20" s="413"/>
      <c r="BEO20" s="413"/>
      <c r="BEP20" s="413"/>
      <c r="BEQ20" s="413"/>
      <c r="BER20" s="413"/>
      <c r="BES20" s="413"/>
      <c r="BET20" s="413"/>
      <c r="BEU20" s="413"/>
      <c r="BEV20" s="413"/>
      <c r="BEW20" s="413"/>
      <c r="BEX20" s="413"/>
      <c r="BEY20" s="413"/>
      <c r="BEZ20" s="413"/>
      <c r="BFA20" s="413"/>
      <c r="BFB20" s="413"/>
      <c r="BFC20" s="413"/>
      <c r="BFD20" s="413"/>
      <c r="BFE20" s="413"/>
      <c r="BFF20" s="413"/>
      <c r="BFG20" s="413"/>
      <c r="BFH20" s="413"/>
      <c r="BFI20" s="413"/>
      <c r="BFJ20" s="413"/>
      <c r="BFK20" s="413"/>
      <c r="BFL20" s="413"/>
      <c r="BFM20" s="413"/>
      <c r="BFN20" s="413"/>
      <c r="BFO20" s="413"/>
      <c r="BFP20" s="413"/>
      <c r="BFQ20" s="413"/>
      <c r="BFR20" s="413"/>
      <c r="BFS20" s="413"/>
      <c r="BFT20" s="413"/>
      <c r="BFU20" s="413"/>
      <c r="BFV20" s="413"/>
      <c r="BFW20" s="413"/>
      <c r="BFX20" s="413"/>
      <c r="BFY20" s="413"/>
      <c r="BFZ20" s="413"/>
      <c r="BGA20" s="413"/>
      <c r="BGB20" s="413"/>
      <c r="BGC20" s="413"/>
      <c r="BGD20" s="413"/>
      <c r="BGE20" s="413"/>
      <c r="BGF20" s="413"/>
      <c r="BGG20" s="413"/>
      <c r="BGH20" s="413"/>
      <c r="BGI20" s="413"/>
      <c r="BGJ20" s="413"/>
      <c r="BGK20" s="413"/>
      <c r="BGL20" s="413"/>
      <c r="BGM20" s="413"/>
      <c r="BGN20" s="413"/>
      <c r="BGO20" s="413"/>
      <c r="BGP20" s="413"/>
      <c r="BGQ20" s="413"/>
      <c r="BGR20" s="413"/>
      <c r="BGS20" s="413"/>
      <c r="BGT20" s="413"/>
      <c r="BGU20" s="413"/>
      <c r="BGV20" s="413"/>
      <c r="BGW20" s="413"/>
      <c r="BGX20" s="413"/>
      <c r="BGY20" s="413"/>
      <c r="BGZ20" s="413"/>
      <c r="BHA20" s="413"/>
      <c r="BHB20" s="413"/>
      <c r="BHC20" s="413"/>
      <c r="BHD20" s="413"/>
      <c r="BHE20" s="413"/>
      <c r="BHF20" s="413"/>
      <c r="BHG20" s="413"/>
      <c r="BHH20" s="413"/>
      <c r="BHI20" s="413"/>
      <c r="BHJ20" s="413"/>
      <c r="BHK20" s="413"/>
      <c r="BHL20" s="413"/>
      <c r="BHM20" s="413"/>
      <c r="BHN20" s="413"/>
      <c r="BHO20" s="413"/>
      <c r="BHP20" s="413"/>
      <c r="BHQ20" s="413"/>
      <c r="BHR20" s="413"/>
      <c r="BHS20" s="413"/>
      <c r="BHT20" s="413"/>
      <c r="BHU20" s="413"/>
      <c r="BHV20" s="413"/>
      <c r="BHW20" s="413"/>
      <c r="BHX20" s="413"/>
      <c r="BHY20" s="413"/>
      <c r="BHZ20" s="413"/>
      <c r="BIA20" s="413"/>
      <c r="BIB20" s="413"/>
      <c r="BIC20" s="413"/>
      <c r="BID20" s="413"/>
      <c r="BIE20" s="413"/>
      <c r="BIF20" s="413"/>
      <c r="BIG20" s="413"/>
      <c r="BIH20" s="413"/>
      <c r="BII20" s="413"/>
      <c r="BIJ20" s="413"/>
      <c r="BIK20" s="413"/>
      <c r="BIL20" s="413"/>
      <c r="BIM20" s="413"/>
      <c r="BIN20" s="413"/>
      <c r="BIO20" s="413"/>
      <c r="BIP20" s="413"/>
      <c r="BIQ20" s="413"/>
      <c r="BIR20" s="413"/>
      <c r="BIS20" s="413"/>
      <c r="BIT20" s="413"/>
      <c r="BIU20" s="413"/>
      <c r="BIV20" s="413"/>
      <c r="BIW20" s="413"/>
      <c r="BIX20" s="413"/>
      <c r="BIY20" s="413"/>
      <c r="BIZ20" s="413"/>
      <c r="BJA20" s="413"/>
      <c r="BJB20" s="413"/>
      <c r="BJC20" s="413"/>
      <c r="BJD20" s="413"/>
      <c r="BJE20" s="413"/>
      <c r="BJF20" s="413"/>
      <c r="BJG20" s="413"/>
      <c r="BJH20" s="413"/>
      <c r="BJI20" s="413"/>
      <c r="BJJ20" s="413"/>
      <c r="BJK20" s="413"/>
      <c r="BJL20" s="413"/>
      <c r="BJM20" s="413"/>
      <c r="BJN20" s="413"/>
      <c r="BJO20" s="413"/>
      <c r="BJP20" s="413"/>
      <c r="BJQ20" s="413"/>
      <c r="BJR20" s="413"/>
      <c r="BJS20" s="413"/>
      <c r="BJT20" s="413"/>
      <c r="BJU20" s="413"/>
      <c r="BJV20" s="413"/>
      <c r="BJW20" s="413"/>
      <c r="BJX20" s="413"/>
      <c r="BJY20" s="413"/>
      <c r="BJZ20" s="413"/>
      <c r="BKA20" s="413"/>
      <c r="BKB20" s="413"/>
      <c r="BKC20" s="413"/>
      <c r="BKD20" s="413"/>
      <c r="BKE20" s="413"/>
      <c r="BKF20" s="413"/>
      <c r="BKG20" s="413"/>
      <c r="BKH20" s="413"/>
      <c r="BKI20" s="413"/>
      <c r="BKJ20" s="413"/>
      <c r="BKK20" s="413"/>
      <c r="BKL20" s="413"/>
      <c r="BKM20" s="413"/>
      <c r="BKN20" s="413"/>
      <c r="BKO20" s="413"/>
      <c r="BKP20" s="413"/>
      <c r="BKQ20" s="413"/>
      <c r="BKR20" s="413"/>
      <c r="BKS20" s="413"/>
      <c r="BKT20" s="413"/>
      <c r="BKU20" s="413"/>
      <c r="BKV20" s="413"/>
      <c r="BKW20" s="413"/>
      <c r="BKX20" s="413"/>
      <c r="BKY20" s="413"/>
      <c r="BKZ20" s="413"/>
      <c r="BLA20" s="413"/>
      <c r="BLB20" s="413"/>
      <c r="BLC20" s="413"/>
      <c r="BLD20" s="413"/>
      <c r="BLE20" s="413"/>
      <c r="BLF20" s="413"/>
      <c r="BLG20" s="413"/>
      <c r="BLH20" s="413"/>
      <c r="BLI20" s="413"/>
      <c r="BLJ20" s="413"/>
      <c r="BLK20" s="413"/>
      <c r="BLL20" s="413"/>
      <c r="BLM20" s="413"/>
      <c r="BLN20" s="413"/>
      <c r="BLO20" s="413"/>
      <c r="BLP20" s="413"/>
      <c r="BLQ20" s="413"/>
      <c r="BLR20" s="413"/>
      <c r="BLS20" s="413"/>
      <c r="BLT20" s="413"/>
      <c r="BLU20" s="413"/>
      <c r="BLV20" s="413"/>
      <c r="BLW20" s="413"/>
      <c r="BLX20" s="413"/>
      <c r="BLY20" s="413"/>
      <c r="BLZ20" s="413"/>
      <c r="BMA20" s="413"/>
      <c r="BMB20" s="413"/>
      <c r="BMC20" s="413"/>
      <c r="BMD20" s="413"/>
      <c r="BME20" s="413"/>
      <c r="BMF20" s="413"/>
      <c r="BMG20" s="413"/>
      <c r="BMH20" s="413"/>
      <c r="BMI20" s="413"/>
      <c r="BMJ20" s="413"/>
      <c r="BMK20" s="413"/>
      <c r="BML20" s="413"/>
      <c r="BMM20" s="413"/>
      <c r="BMN20" s="413"/>
      <c r="BMO20" s="413"/>
      <c r="BMP20" s="413"/>
      <c r="BMQ20" s="413"/>
      <c r="BMR20" s="413"/>
      <c r="BMS20" s="413"/>
      <c r="BMT20" s="413"/>
      <c r="BMU20" s="413"/>
      <c r="BMV20" s="413"/>
      <c r="BMW20" s="413"/>
      <c r="BMX20" s="413"/>
      <c r="BMY20" s="413"/>
      <c r="BMZ20" s="413"/>
      <c r="BNA20" s="413"/>
      <c r="BNB20" s="413"/>
      <c r="BNC20" s="413"/>
      <c r="BND20" s="413"/>
      <c r="BNE20" s="413"/>
      <c r="BNF20" s="413"/>
      <c r="BNG20" s="413"/>
      <c r="BNH20" s="413"/>
      <c r="BNI20" s="413"/>
      <c r="BNJ20" s="413"/>
      <c r="BNK20" s="413"/>
      <c r="BNL20" s="413"/>
      <c r="BNM20" s="413"/>
      <c r="BNN20" s="413"/>
      <c r="BNO20" s="413"/>
      <c r="BNP20" s="413"/>
      <c r="BNQ20" s="413"/>
      <c r="BNR20" s="413"/>
      <c r="BNS20" s="413"/>
      <c r="BNT20" s="413"/>
      <c r="BNU20" s="413"/>
      <c r="BNV20" s="413"/>
      <c r="BNW20" s="413"/>
      <c r="BNX20" s="413"/>
      <c r="BNY20" s="413"/>
      <c r="BNZ20" s="413"/>
      <c r="BOA20" s="413"/>
      <c r="BOB20" s="413"/>
      <c r="BOC20" s="413"/>
      <c r="BOD20" s="413"/>
      <c r="BOE20" s="413"/>
      <c r="BOF20" s="413"/>
      <c r="BOG20" s="413"/>
      <c r="BOH20" s="413"/>
      <c r="BOI20" s="413"/>
      <c r="BOJ20" s="413"/>
      <c r="BOK20" s="413"/>
      <c r="BOL20" s="413"/>
      <c r="BOM20" s="413"/>
      <c r="BON20" s="413"/>
      <c r="BOO20" s="413"/>
      <c r="BOP20" s="413"/>
      <c r="BOQ20" s="413"/>
      <c r="BOR20" s="413"/>
      <c r="BOS20" s="413"/>
      <c r="BOT20" s="413"/>
      <c r="BOU20" s="413"/>
      <c r="BOV20" s="413"/>
      <c r="BOW20" s="413"/>
      <c r="BOX20" s="413"/>
      <c r="BOY20" s="413"/>
      <c r="BOZ20" s="413"/>
      <c r="BPA20" s="413"/>
      <c r="BPB20" s="413"/>
      <c r="BPC20" s="413"/>
      <c r="BPD20" s="413"/>
      <c r="BPE20" s="413"/>
      <c r="BPF20" s="413"/>
      <c r="BPG20" s="413"/>
      <c r="BPH20" s="413"/>
      <c r="BPI20" s="413"/>
      <c r="BPJ20" s="413"/>
      <c r="BPK20" s="413"/>
      <c r="BPL20" s="413"/>
      <c r="BPM20" s="413"/>
      <c r="BPN20" s="413"/>
      <c r="BPO20" s="413"/>
      <c r="BPP20" s="413"/>
      <c r="BPQ20" s="413"/>
      <c r="BPR20" s="413"/>
      <c r="BPS20" s="413"/>
      <c r="BPT20" s="413"/>
      <c r="BPU20" s="413"/>
      <c r="BPV20" s="413"/>
      <c r="BPW20" s="413"/>
      <c r="BPX20" s="413"/>
      <c r="BPY20" s="413"/>
      <c r="BPZ20" s="413"/>
      <c r="BQA20" s="413"/>
      <c r="BQB20" s="413"/>
      <c r="BQC20" s="413"/>
      <c r="BQD20" s="413"/>
      <c r="BQE20" s="413"/>
      <c r="BQF20" s="413"/>
      <c r="BQG20" s="413"/>
      <c r="BQH20" s="413"/>
      <c r="BQI20" s="413"/>
      <c r="BQJ20" s="413"/>
      <c r="BQK20" s="413"/>
      <c r="BQL20" s="413"/>
      <c r="BQM20" s="413"/>
      <c r="BQN20" s="413"/>
      <c r="BQO20" s="413"/>
      <c r="BQP20" s="413"/>
      <c r="BQQ20" s="413"/>
      <c r="BQR20" s="413"/>
      <c r="BQS20" s="413"/>
      <c r="BQT20" s="413"/>
      <c r="BQU20" s="413"/>
      <c r="BQV20" s="413"/>
      <c r="BQW20" s="413"/>
      <c r="BQX20" s="413"/>
      <c r="BQY20" s="413"/>
      <c r="BQZ20" s="413"/>
      <c r="BRA20" s="413"/>
      <c r="BRB20" s="413"/>
      <c r="BRC20" s="413"/>
      <c r="BRD20" s="413"/>
      <c r="BRE20" s="413"/>
      <c r="BRF20" s="413"/>
      <c r="BRG20" s="413"/>
      <c r="BRH20" s="413"/>
      <c r="BRI20" s="413"/>
      <c r="BRJ20" s="413"/>
      <c r="BRK20" s="413"/>
      <c r="BRL20" s="413"/>
      <c r="BRM20" s="413"/>
      <c r="BRN20" s="413"/>
      <c r="BRO20" s="413"/>
      <c r="BRP20" s="413"/>
      <c r="BRQ20" s="413"/>
      <c r="BRR20" s="413"/>
      <c r="BRS20" s="413"/>
      <c r="BRT20" s="413"/>
      <c r="BRU20" s="413"/>
      <c r="BRV20" s="413"/>
      <c r="BRW20" s="413"/>
      <c r="BRX20" s="413"/>
      <c r="BRY20" s="413"/>
      <c r="BRZ20" s="413"/>
      <c r="BSA20" s="413"/>
      <c r="BSB20" s="413"/>
      <c r="BSC20" s="413"/>
      <c r="BSD20" s="413"/>
      <c r="BSE20" s="413"/>
      <c r="BSF20" s="413"/>
      <c r="BSG20" s="413"/>
      <c r="BSH20" s="413"/>
      <c r="BSI20" s="413"/>
      <c r="BSJ20" s="413"/>
      <c r="BSK20" s="413"/>
      <c r="BSL20" s="413"/>
      <c r="BSM20" s="413"/>
      <c r="BSN20" s="413"/>
      <c r="BSO20" s="413"/>
      <c r="BSP20" s="413"/>
      <c r="BSQ20" s="413"/>
      <c r="BSR20" s="413"/>
      <c r="BSS20" s="413"/>
      <c r="BST20" s="413"/>
      <c r="BSU20" s="413"/>
      <c r="BSV20" s="413"/>
      <c r="BSW20" s="413"/>
      <c r="BSX20" s="413"/>
      <c r="BSY20" s="413"/>
      <c r="BSZ20" s="413"/>
      <c r="BTA20" s="413"/>
      <c r="BTB20" s="413"/>
      <c r="BTC20" s="413"/>
      <c r="BTD20" s="413"/>
      <c r="BTE20" s="413"/>
      <c r="BTF20" s="413"/>
      <c r="BTG20" s="413"/>
      <c r="BTH20" s="413"/>
      <c r="BTI20" s="413"/>
      <c r="BTJ20" s="413"/>
      <c r="BTK20" s="413"/>
      <c r="BTL20" s="413"/>
      <c r="BTM20" s="413"/>
      <c r="BTN20" s="413"/>
      <c r="BTO20" s="413"/>
      <c r="BTP20" s="413"/>
      <c r="BTQ20" s="413"/>
      <c r="BTR20" s="413"/>
      <c r="BTS20" s="413"/>
      <c r="BTT20" s="413"/>
      <c r="BTU20" s="413"/>
      <c r="BTV20" s="413"/>
      <c r="BTW20" s="413"/>
      <c r="BTX20" s="413"/>
      <c r="BTY20" s="413"/>
      <c r="BTZ20" s="413"/>
      <c r="BUA20" s="413"/>
      <c r="BUB20" s="413"/>
      <c r="BUC20" s="413"/>
      <c r="BUD20" s="413"/>
      <c r="BUE20" s="413"/>
      <c r="BUF20" s="413"/>
      <c r="BUG20" s="413"/>
      <c r="BUH20" s="413"/>
      <c r="BUI20" s="413"/>
      <c r="BUJ20" s="413"/>
      <c r="BUK20" s="413"/>
      <c r="BUL20" s="413"/>
      <c r="BUM20" s="413"/>
      <c r="BUN20" s="413"/>
      <c r="BUO20" s="413"/>
      <c r="BUP20" s="413"/>
      <c r="BUQ20" s="413"/>
      <c r="BUR20" s="413"/>
      <c r="BUS20" s="413"/>
      <c r="BUT20" s="413"/>
      <c r="BUU20" s="413"/>
      <c r="BUV20" s="413"/>
      <c r="BUW20" s="413"/>
      <c r="BUX20" s="413"/>
      <c r="BUY20" s="413"/>
      <c r="BUZ20" s="413"/>
      <c r="BVA20" s="413"/>
      <c r="BVB20" s="413"/>
      <c r="BVC20" s="413"/>
      <c r="BVD20" s="413"/>
      <c r="BVE20" s="413"/>
      <c r="BVF20" s="413"/>
      <c r="BVG20" s="413"/>
      <c r="BVH20" s="413"/>
      <c r="BVI20" s="413"/>
      <c r="BVJ20" s="413"/>
      <c r="BVK20" s="413"/>
      <c r="BVL20" s="413"/>
      <c r="BVM20" s="413"/>
      <c r="BVN20" s="413"/>
      <c r="BVO20" s="413"/>
      <c r="BVP20" s="413"/>
      <c r="BVQ20" s="413"/>
      <c r="BVR20" s="413"/>
      <c r="BVS20" s="413"/>
      <c r="BVT20" s="413"/>
      <c r="BVU20" s="413"/>
      <c r="BVV20" s="413"/>
      <c r="BVW20" s="413"/>
      <c r="BVX20" s="413"/>
      <c r="BVY20" s="413"/>
      <c r="BVZ20" s="413"/>
      <c r="BWA20" s="413"/>
      <c r="BWB20" s="413"/>
      <c r="BWC20" s="413"/>
      <c r="BWD20" s="413"/>
      <c r="BWE20" s="413"/>
      <c r="BWF20" s="413"/>
      <c r="BWG20" s="413"/>
      <c r="BWH20" s="413"/>
      <c r="BWI20" s="413"/>
      <c r="BWJ20" s="413"/>
      <c r="BWK20" s="413"/>
      <c r="BWL20" s="413"/>
      <c r="BWM20" s="413"/>
      <c r="BWN20" s="413"/>
      <c r="BWO20" s="413"/>
      <c r="BWP20" s="413"/>
      <c r="BWQ20" s="413"/>
      <c r="BWR20" s="413"/>
      <c r="BWS20" s="413"/>
      <c r="BWT20" s="413"/>
      <c r="BWU20" s="413"/>
      <c r="BWV20" s="413"/>
      <c r="BWW20" s="413"/>
      <c r="BWX20" s="413"/>
      <c r="BWY20" s="413"/>
      <c r="BWZ20" s="413"/>
      <c r="BXA20" s="413"/>
      <c r="BXB20" s="413"/>
      <c r="BXC20" s="413"/>
      <c r="BXD20" s="413"/>
      <c r="BXE20" s="413"/>
      <c r="BXF20" s="413"/>
      <c r="BXG20" s="413"/>
      <c r="BXH20" s="413"/>
      <c r="BXI20" s="413"/>
      <c r="BXJ20" s="413"/>
      <c r="BXK20" s="413"/>
      <c r="BXL20" s="413"/>
      <c r="BXM20" s="413"/>
      <c r="BXN20" s="413"/>
      <c r="BXO20" s="413"/>
      <c r="BXP20" s="413"/>
      <c r="BXQ20" s="413"/>
      <c r="BXR20" s="413"/>
      <c r="BXS20" s="413"/>
      <c r="BXT20" s="413"/>
      <c r="BXU20" s="413"/>
      <c r="BXV20" s="413"/>
      <c r="BXW20" s="413"/>
      <c r="BXX20" s="413"/>
      <c r="BXY20" s="413"/>
      <c r="BXZ20" s="413"/>
      <c r="BYA20" s="413"/>
      <c r="BYB20" s="413"/>
      <c r="BYC20" s="413"/>
      <c r="BYD20" s="413"/>
      <c r="BYE20" s="413"/>
      <c r="BYF20" s="413"/>
      <c r="BYG20" s="413"/>
      <c r="BYH20" s="413"/>
      <c r="BYI20" s="413"/>
      <c r="BYJ20" s="413"/>
      <c r="BYK20" s="413"/>
      <c r="BYL20" s="413"/>
      <c r="BYM20" s="413"/>
      <c r="BYN20" s="413"/>
      <c r="BYO20" s="413"/>
      <c r="BYP20" s="413"/>
      <c r="BYQ20" s="413"/>
      <c r="BYR20" s="413"/>
      <c r="BYS20" s="413"/>
      <c r="BYT20" s="413"/>
      <c r="BYU20" s="413"/>
      <c r="BYV20" s="413"/>
      <c r="BYW20" s="413"/>
      <c r="BYX20" s="413"/>
      <c r="BYY20" s="413"/>
      <c r="BYZ20" s="413"/>
      <c r="BZA20" s="413"/>
      <c r="BZB20" s="413"/>
      <c r="BZC20" s="413"/>
      <c r="BZD20" s="413"/>
      <c r="BZE20" s="413"/>
      <c r="BZF20" s="413"/>
      <c r="BZG20" s="413"/>
      <c r="BZH20" s="413"/>
      <c r="BZI20" s="413"/>
      <c r="BZJ20" s="413"/>
      <c r="BZK20" s="413"/>
      <c r="BZL20" s="413"/>
      <c r="BZM20" s="413"/>
      <c r="BZN20" s="413"/>
      <c r="BZO20" s="413"/>
      <c r="BZP20" s="413"/>
      <c r="BZQ20" s="413"/>
      <c r="BZR20" s="413"/>
      <c r="BZS20" s="413"/>
      <c r="BZT20" s="413"/>
      <c r="BZU20" s="413"/>
      <c r="BZV20" s="413"/>
      <c r="BZW20" s="413"/>
      <c r="BZX20" s="413"/>
      <c r="BZY20" s="413"/>
      <c r="BZZ20" s="413"/>
      <c r="CAA20" s="413"/>
      <c r="CAB20" s="413"/>
      <c r="CAC20" s="413"/>
      <c r="CAD20" s="413"/>
      <c r="CAE20" s="413"/>
      <c r="CAF20" s="413"/>
      <c r="CAG20" s="413"/>
      <c r="CAH20" s="413"/>
      <c r="CAI20" s="413"/>
      <c r="CAJ20" s="413"/>
      <c r="CAK20" s="413"/>
      <c r="CAL20" s="413"/>
      <c r="CAM20" s="413"/>
      <c r="CAN20" s="413"/>
      <c r="CAO20" s="413"/>
      <c r="CAP20" s="413"/>
      <c r="CAQ20" s="413"/>
      <c r="CAR20" s="413"/>
      <c r="CAS20" s="413"/>
      <c r="CAT20" s="413"/>
      <c r="CAU20" s="413"/>
      <c r="CAV20" s="413"/>
      <c r="CAW20" s="413"/>
      <c r="CAX20" s="413"/>
      <c r="CAY20" s="413"/>
      <c r="CAZ20" s="413"/>
      <c r="CBA20" s="413"/>
      <c r="CBB20" s="413"/>
      <c r="CBC20" s="413"/>
      <c r="CBD20" s="413"/>
      <c r="CBE20" s="413"/>
      <c r="CBF20" s="413"/>
      <c r="CBG20" s="413"/>
      <c r="CBH20" s="413"/>
      <c r="CBI20" s="413"/>
      <c r="CBJ20" s="413"/>
      <c r="CBK20" s="413"/>
      <c r="CBL20" s="413"/>
      <c r="CBM20" s="413"/>
      <c r="CBN20" s="413"/>
      <c r="CBO20" s="413"/>
      <c r="CBP20" s="413"/>
      <c r="CBQ20" s="413"/>
      <c r="CBR20" s="413"/>
      <c r="CBS20" s="413"/>
      <c r="CBT20" s="413"/>
      <c r="CBU20" s="413"/>
      <c r="CBV20" s="413"/>
      <c r="CBW20" s="413"/>
      <c r="CBX20" s="413"/>
      <c r="CBY20" s="413"/>
      <c r="CBZ20" s="413"/>
      <c r="CCA20" s="413"/>
      <c r="CCB20" s="413"/>
      <c r="CCC20" s="413"/>
      <c r="CCD20" s="413"/>
      <c r="CCE20" s="413"/>
      <c r="CCF20" s="413"/>
      <c r="CCG20" s="413"/>
      <c r="CCH20" s="413"/>
      <c r="CCI20" s="413"/>
      <c r="CCJ20" s="413"/>
      <c r="CCK20" s="413"/>
      <c r="CCL20" s="413"/>
      <c r="CCM20" s="413"/>
      <c r="CCN20" s="413"/>
      <c r="CCO20" s="413"/>
      <c r="CCP20" s="413"/>
      <c r="CCQ20" s="413"/>
      <c r="CCR20" s="413"/>
      <c r="CCS20" s="413"/>
      <c r="CCT20" s="413"/>
      <c r="CCU20" s="413"/>
      <c r="CCV20" s="413"/>
      <c r="CCW20" s="413"/>
      <c r="CCX20" s="413"/>
      <c r="CCY20" s="413"/>
      <c r="CCZ20" s="413"/>
      <c r="CDA20" s="413"/>
      <c r="CDB20" s="413"/>
      <c r="CDC20" s="413"/>
      <c r="CDD20" s="413"/>
      <c r="CDE20" s="413"/>
      <c r="CDF20" s="413"/>
      <c r="CDG20" s="413"/>
      <c r="CDH20" s="413"/>
      <c r="CDI20" s="413"/>
      <c r="CDJ20" s="413"/>
      <c r="CDK20" s="413"/>
      <c r="CDL20" s="413"/>
      <c r="CDM20" s="413"/>
      <c r="CDN20" s="413"/>
      <c r="CDO20" s="413"/>
      <c r="CDP20" s="413"/>
      <c r="CDQ20" s="413"/>
      <c r="CDR20" s="413"/>
      <c r="CDS20" s="413"/>
      <c r="CDT20" s="413"/>
      <c r="CDU20" s="413"/>
      <c r="CDV20" s="413"/>
      <c r="CDW20" s="413"/>
      <c r="CDX20" s="413"/>
      <c r="CDY20" s="413"/>
      <c r="CDZ20" s="413"/>
      <c r="CEA20" s="413"/>
      <c r="CEB20" s="413"/>
      <c r="CEC20" s="413"/>
      <c r="CED20" s="413"/>
      <c r="CEE20" s="413"/>
      <c r="CEF20" s="413"/>
      <c r="CEG20" s="413"/>
      <c r="CEH20" s="413"/>
      <c r="CEI20" s="413"/>
      <c r="CEJ20" s="413"/>
      <c r="CEK20" s="413"/>
      <c r="CEL20" s="413"/>
      <c r="CEM20" s="413"/>
      <c r="CEN20" s="413"/>
      <c r="CEO20" s="413"/>
      <c r="CEP20" s="413"/>
      <c r="CEQ20" s="413"/>
      <c r="CER20" s="413"/>
      <c r="CES20" s="413"/>
      <c r="CET20" s="413"/>
      <c r="CEU20" s="413"/>
      <c r="CEV20" s="413"/>
      <c r="CEW20" s="413"/>
      <c r="CEX20" s="413"/>
      <c r="CEY20" s="413"/>
      <c r="CEZ20" s="413"/>
      <c r="CFA20" s="413"/>
      <c r="CFB20" s="413"/>
      <c r="CFC20" s="413"/>
      <c r="CFD20" s="413"/>
      <c r="CFE20" s="413"/>
      <c r="CFF20" s="413"/>
      <c r="CFG20" s="413"/>
      <c r="CFH20" s="413"/>
      <c r="CFI20" s="413"/>
      <c r="CFJ20" s="413"/>
      <c r="CFK20" s="413"/>
      <c r="CFL20" s="413"/>
      <c r="CFM20" s="413"/>
      <c r="CFN20" s="413"/>
      <c r="CFO20" s="413"/>
      <c r="CFP20" s="413"/>
      <c r="CFQ20" s="413"/>
      <c r="CFR20" s="413"/>
      <c r="CFS20" s="413"/>
      <c r="CFT20" s="413"/>
      <c r="CFU20" s="413"/>
      <c r="CFV20" s="413"/>
      <c r="CFW20" s="413"/>
      <c r="CFX20" s="413"/>
      <c r="CFY20" s="413"/>
      <c r="CFZ20" s="413"/>
      <c r="CGA20" s="413"/>
      <c r="CGB20" s="413"/>
      <c r="CGC20" s="413"/>
      <c r="CGD20" s="413"/>
      <c r="CGE20" s="413"/>
      <c r="CGF20" s="413"/>
      <c r="CGG20" s="413"/>
      <c r="CGH20" s="413"/>
      <c r="CGI20" s="413"/>
      <c r="CGJ20" s="413"/>
      <c r="CGK20" s="413"/>
      <c r="CGL20" s="413"/>
      <c r="CGM20" s="413"/>
      <c r="CGN20" s="413"/>
      <c r="CGO20" s="413"/>
      <c r="CGP20" s="413"/>
      <c r="CGQ20" s="413"/>
      <c r="CGR20" s="413"/>
      <c r="CGS20" s="413"/>
      <c r="CGT20" s="413"/>
      <c r="CGU20" s="413"/>
      <c r="CGV20" s="413"/>
      <c r="CGW20" s="413"/>
      <c r="CGX20" s="413"/>
      <c r="CGY20" s="413"/>
      <c r="CGZ20" s="413"/>
      <c r="CHA20" s="413"/>
      <c r="CHB20" s="413"/>
      <c r="CHC20" s="413"/>
      <c r="CHD20" s="413"/>
      <c r="CHE20" s="413"/>
      <c r="CHF20" s="413"/>
      <c r="CHG20" s="413"/>
      <c r="CHH20" s="413"/>
      <c r="CHI20" s="413"/>
      <c r="CHJ20" s="413"/>
      <c r="CHK20" s="413"/>
      <c r="CHL20" s="413"/>
      <c r="CHM20" s="413"/>
      <c r="CHN20" s="413"/>
      <c r="CHO20" s="413"/>
      <c r="CHP20" s="413"/>
      <c r="CHQ20" s="413"/>
      <c r="CHR20" s="413"/>
      <c r="CHS20" s="413"/>
      <c r="CHT20" s="413"/>
      <c r="CHU20" s="413"/>
      <c r="CHV20" s="413"/>
      <c r="CHW20" s="413"/>
      <c r="CHX20" s="413"/>
      <c r="CHY20" s="413"/>
      <c r="CHZ20" s="413"/>
      <c r="CIA20" s="413"/>
      <c r="CIB20" s="413"/>
      <c r="CIC20" s="413"/>
      <c r="CID20" s="413"/>
      <c r="CIE20" s="413"/>
      <c r="CIF20" s="413"/>
      <c r="CIG20" s="413"/>
      <c r="CIH20" s="413"/>
      <c r="CII20" s="413"/>
      <c r="CIJ20" s="413"/>
      <c r="CIK20" s="413"/>
      <c r="CIL20" s="413"/>
      <c r="CIM20" s="413"/>
      <c r="CIN20" s="413"/>
      <c r="CIO20" s="413"/>
      <c r="CIP20" s="413"/>
      <c r="CIQ20" s="413"/>
      <c r="CIR20" s="413"/>
      <c r="CIS20" s="413"/>
      <c r="CIT20" s="413"/>
      <c r="CIU20" s="413"/>
      <c r="CIV20" s="413"/>
      <c r="CIW20" s="413"/>
      <c r="CIX20" s="413"/>
      <c r="CIY20" s="413"/>
      <c r="CIZ20" s="413"/>
      <c r="CJA20" s="413"/>
      <c r="CJB20" s="413"/>
      <c r="CJC20" s="413"/>
      <c r="CJD20" s="413"/>
      <c r="CJE20" s="413"/>
      <c r="CJF20" s="413"/>
      <c r="CJG20" s="413"/>
      <c r="CJH20" s="413"/>
      <c r="CJI20" s="413"/>
      <c r="CJJ20" s="413"/>
      <c r="CJK20" s="413"/>
      <c r="CJL20" s="413"/>
      <c r="CJM20" s="413"/>
      <c r="CJN20" s="413"/>
      <c r="CJO20" s="413"/>
      <c r="CJP20" s="413"/>
      <c r="CJQ20" s="413"/>
      <c r="CJR20" s="413"/>
      <c r="CJS20" s="413"/>
      <c r="CJT20" s="413"/>
      <c r="CJU20" s="413"/>
      <c r="CJV20" s="413"/>
      <c r="CJW20" s="413"/>
      <c r="CJX20" s="413"/>
      <c r="CJY20" s="413"/>
      <c r="CJZ20" s="413"/>
      <c r="CKA20" s="413"/>
      <c r="CKB20" s="413"/>
      <c r="CKC20" s="413"/>
      <c r="CKD20" s="413"/>
      <c r="CKE20" s="413"/>
      <c r="CKF20" s="413"/>
      <c r="CKG20" s="413"/>
      <c r="CKH20" s="413"/>
      <c r="CKI20" s="413"/>
      <c r="CKJ20" s="413"/>
      <c r="CKK20" s="413"/>
      <c r="CKL20" s="413"/>
      <c r="CKM20" s="413"/>
      <c r="CKN20" s="413"/>
      <c r="CKO20" s="413"/>
      <c r="CKP20" s="413"/>
      <c r="CKQ20" s="413"/>
      <c r="CKR20" s="413"/>
      <c r="CKS20" s="413"/>
      <c r="CKT20" s="413"/>
      <c r="CKU20" s="413"/>
      <c r="CKV20" s="413"/>
      <c r="CKW20" s="413"/>
      <c r="CKX20" s="413"/>
      <c r="CKY20" s="413"/>
      <c r="CKZ20" s="413"/>
      <c r="CLA20" s="413"/>
      <c r="CLB20" s="413"/>
      <c r="CLC20" s="413"/>
      <c r="CLD20" s="413"/>
      <c r="CLE20" s="413"/>
      <c r="CLF20" s="413"/>
      <c r="CLG20" s="413"/>
      <c r="CLH20" s="413"/>
      <c r="CLI20" s="413"/>
      <c r="CLJ20" s="413"/>
      <c r="CLK20" s="413"/>
      <c r="CLL20" s="413"/>
      <c r="CLM20" s="413"/>
      <c r="CLN20" s="413"/>
      <c r="CLO20" s="413"/>
      <c r="CLP20" s="413"/>
      <c r="CLQ20" s="413"/>
      <c r="CLR20" s="413"/>
      <c r="CLS20" s="413"/>
      <c r="CLT20" s="413"/>
      <c r="CLU20" s="413"/>
      <c r="CLV20" s="413"/>
      <c r="CLW20" s="413"/>
      <c r="CLX20" s="413"/>
      <c r="CLY20" s="413"/>
      <c r="CLZ20" s="413"/>
      <c r="CMA20" s="413"/>
      <c r="CMB20" s="413"/>
      <c r="CMC20" s="413"/>
      <c r="CMD20" s="413"/>
      <c r="CME20" s="413"/>
      <c r="CMF20" s="413"/>
      <c r="CMG20" s="413"/>
      <c r="CMH20" s="413"/>
      <c r="CMI20" s="413"/>
      <c r="CMJ20" s="413"/>
      <c r="CMK20" s="413"/>
      <c r="CML20" s="413"/>
      <c r="CMM20" s="413"/>
      <c r="CMN20" s="413"/>
      <c r="CMO20" s="413"/>
      <c r="CMP20" s="413"/>
      <c r="CMQ20" s="413"/>
      <c r="CMR20" s="413"/>
      <c r="CMS20" s="413"/>
      <c r="CMT20" s="413"/>
      <c r="CMU20" s="413"/>
      <c r="CMV20" s="413"/>
      <c r="CMW20" s="413"/>
      <c r="CMX20" s="413"/>
      <c r="CMY20" s="413"/>
      <c r="CMZ20" s="413"/>
      <c r="CNA20" s="413"/>
      <c r="CNB20" s="413"/>
      <c r="CNC20" s="413"/>
      <c r="CND20" s="413"/>
      <c r="CNE20" s="413"/>
      <c r="CNF20" s="413"/>
      <c r="CNG20" s="413"/>
      <c r="CNH20" s="413"/>
      <c r="CNI20" s="413"/>
      <c r="CNJ20" s="413"/>
      <c r="CNK20" s="413"/>
      <c r="CNL20" s="413"/>
      <c r="CNM20" s="413"/>
      <c r="CNN20" s="413"/>
      <c r="CNO20" s="413"/>
      <c r="CNP20" s="413"/>
      <c r="CNQ20" s="413"/>
      <c r="CNR20" s="413"/>
      <c r="CNS20" s="413"/>
      <c r="CNT20" s="413"/>
      <c r="CNU20" s="413"/>
      <c r="CNV20" s="413"/>
      <c r="CNW20" s="413"/>
      <c r="CNX20" s="413"/>
      <c r="CNY20" s="413"/>
      <c r="CNZ20" s="413"/>
      <c r="COA20" s="413"/>
      <c r="COB20" s="413"/>
      <c r="COC20" s="413"/>
      <c r="COD20" s="413"/>
      <c r="COE20" s="413"/>
      <c r="COF20" s="413"/>
      <c r="COG20" s="413"/>
      <c r="COH20" s="413"/>
      <c r="COI20" s="413"/>
      <c r="COJ20" s="413"/>
      <c r="COK20" s="413"/>
      <c r="COL20" s="413"/>
      <c r="COM20" s="413"/>
      <c r="CON20" s="413"/>
      <c r="COO20" s="413"/>
      <c r="COP20" s="413"/>
      <c r="COQ20" s="413"/>
      <c r="COR20" s="413"/>
      <c r="COS20" s="413"/>
      <c r="COT20" s="413"/>
      <c r="COU20" s="413"/>
      <c r="COV20" s="413"/>
      <c r="COW20" s="413"/>
      <c r="COX20" s="413"/>
      <c r="COY20" s="413"/>
      <c r="COZ20" s="413"/>
      <c r="CPA20" s="413"/>
      <c r="CPB20" s="413"/>
      <c r="CPC20" s="413"/>
      <c r="CPD20" s="413"/>
      <c r="CPE20" s="413"/>
      <c r="CPF20" s="413"/>
      <c r="CPG20" s="413"/>
      <c r="CPH20" s="413"/>
      <c r="CPI20" s="413"/>
      <c r="CPJ20" s="413"/>
      <c r="CPK20" s="413"/>
      <c r="CPL20" s="413"/>
      <c r="CPM20" s="413"/>
      <c r="CPN20" s="413"/>
      <c r="CPO20" s="413"/>
      <c r="CPP20" s="413"/>
      <c r="CPQ20" s="413"/>
      <c r="CPR20" s="413"/>
      <c r="CPS20" s="413"/>
      <c r="CPT20" s="413"/>
      <c r="CPU20" s="413"/>
      <c r="CPV20" s="413"/>
      <c r="CPW20" s="413"/>
      <c r="CPX20" s="413"/>
      <c r="CPY20" s="413"/>
      <c r="CPZ20" s="413"/>
      <c r="CQA20" s="413"/>
      <c r="CQB20" s="413"/>
      <c r="CQC20" s="413"/>
      <c r="CQD20" s="413"/>
      <c r="CQE20" s="413"/>
      <c r="CQF20" s="413"/>
      <c r="CQG20" s="413"/>
      <c r="CQH20" s="413"/>
      <c r="CQI20" s="413"/>
      <c r="CQJ20" s="413"/>
      <c r="CQK20" s="413"/>
      <c r="CQL20" s="413"/>
      <c r="CQM20" s="413"/>
      <c r="CQN20" s="413"/>
      <c r="CQO20" s="413"/>
      <c r="CQP20" s="413"/>
      <c r="CQQ20" s="413"/>
      <c r="CQR20" s="413"/>
      <c r="CQS20" s="413"/>
      <c r="CQT20" s="413"/>
      <c r="CQU20" s="413"/>
      <c r="CQV20" s="413"/>
      <c r="CQW20" s="413"/>
      <c r="CQX20" s="413"/>
      <c r="CQY20" s="413"/>
      <c r="CQZ20" s="413"/>
      <c r="CRA20" s="413"/>
      <c r="CRB20" s="413"/>
      <c r="CRC20" s="413"/>
      <c r="CRD20" s="413"/>
      <c r="CRE20" s="413"/>
      <c r="CRF20" s="413"/>
      <c r="CRG20" s="413"/>
      <c r="CRH20" s="413"/>
      <c r="CRI20" s="413"/>
      <c r="CRJ20" s="413"/>
      <c r="CRK20" s="413"/>
      <c r="CRL20" s="413"/>
      <c r="CRM20" s="413"/>
      <c r="CRN20" s="413"/>
      <c r="CRO20" s="413"/>
      <c r="CRP20" s="413"/>
      <c r="CRQ20" s="413"/>
      <c r="CRR20" s="413"/>
      <c r="CRS20" s="413"/>
      <c r="CRT20" s="413"/>
      <c r="CRU20" s="413"/>
      <c r="CRV20" s="413"/>
      <c r="CRW20" s="413"/>
      <c r="CRX20" s="413"/>
      <c r="CRY20" s="413"/>
      <c r="CRZ20" s="413"/>
      <c r="CSA20" s="413"/>
      <c r="CSB20" s="413"/>
      <c r="CSC20" s="413"/>
      <c r="CSD20" s="413"/>
      <c r="CSE20" s="413"/>
      <c r="CSF20" s="413"/>
      <c r="CSG20" s="413"/>
      <c r="CSH20" s="413"/>
      <c r="CSI20" s="413"/>
      <c r="CSJ20" s="413"/>
      <c r="CSK20" s="413"/>
      <c r="CSL20" s="413"/>
      <c r="CSM20" s="413"/>
      <c r="CSN20" s="413"/>
      <c r="CSO20" s="413"/>
      <c r="CSP20" s="413"/>
      <c r="CSQ20" s="413"/>
      <c r="CSR20" s="413"/>
      <c r="CSS20" s="413"/>
      <c r="CST20" s="413"/>
      <c r="CSU20" s="413"/>
      <c r="CSV20" s="413"/>
      <c r="CSW20" s="413"/>
      <c r="CSX20" s="413"/>
      <c r="CSY20" s="413"/>
      <c r="CSZ20" s="413"/>
      <c r="CTA20" s="413"/>
      <c r="CTB20" s="413"/>
      <c r="CTC20" s="413"/>
      <c r="CTD20" s="413"/>
      <c r="CTE20" s="413"/>
      <c r="CTF20" s="413"/>
      <c r="CTG20" s="413"/>
      <c r="CTH20" s="413"/>
      <c r="CTI20" s="413"/>
      <c r="CTJ20" s="413"/>
      <c r="CTK20" s="413"/>
      <c r="CTL20" s="413"/>
      <c r="CTM20" s="413"/>
      <c r="CTN20" s="413"/>
      <c r="CTO20" s="413"/>
      <c r="CTP20" s="413"/>
      <c r="CTQ20" s="413"/>
      <c r="CTR20" s="413"/>
      <c r="CTS20" s="413"/>
      <c r="CTT20" s="413"/>
      <c r="CTU20" s="413"/>
      <c r="CTV20" s="413"/>
      <c r="CTW20" s="413"/>
      <c r="CTX20" s="413"/>
      <c r="CTY20" s="413"/>
      <c r="CTZ20" s="413"/>
      <c r="CUA20" s="413"/>
      <c r="CUB20" s="413"/>
      <c r="CUC20" s="413"/>
      <c r="CUD20" s="413"/>
      <c r="CUE20" s="413"/>
      <c r="CUF20" s="413"/>
      <c r="CUG20" s="413"/>
      <c r="CUH20" s="413"/>
      <c r="CUI20" s="413"/>
      <c r="CUJ20" s="413"/>
      <c r="CUK20" s="413"/>
      <c r="CUL20" s="413"/>
      <c r="CUM20" s="413"/>
      <c r="CUN20" s="413"/>
      <c r="CUO20" s="413"/>
      <c r="CUP20" s="413"/>
      <c r="CUQ20" s="413"/>
      <c r="CUR20" s="413"/>
      <c r="CUS20" s="413"/>
      <c r="CUT20" s="413"/>
      <c r="CUU20" s="413"/>
      <c r="CUV20" s="413"/>
      <c r="CUW20" s="413"/>
      <c r="CUX20" s="413"/>
      <c r="CUY20" s="413"/>
      <c r="CUZ20" s="413"/>
      <c r="CVA20" s="413"/>
      <c r="CVB20" s="413"/>
      <c r="CVC20" s="413"/>
      <c r="CVD20" s="413"/>
      <c r="CVE20" s="413"/>
      <c r="CVF20" s="413"/>
      <c r="CVG20" s="413"/>
      <c r="CVH20" s="413"/>
      <c r="CVI20" s="413"/>
      <c r="CVJ20" s="413"/>
      <c r="CVK20" s="413"/>
      <c r="CVL20" s="413"/>
      <c r="CVM20" s="413"/>
      <c r="CVN20" s="413"/>
      <c r="CVO20" s="413"/>
      <c r="CVP20" s="413"/>
      <c r="CVQ20" s="413"/>
      <c r="CVR20" s="413"/>
      <c r="CVS20" s="413"/>
      <c r="CVT20" s="413"/>
      <c r="CVU20" s="413"/>
      <c r="CVV20" s="413"/>
      <c r="CVW20" s="413"/>
      <c r="CVX20" s="413"/>
      <c r="CVY20" s="413"/>
      <c r="CVZ20" s="413"/>
      <c r="CWA20" s="413"/>
      <c r="CWB20" s="413"/>
      <c r="CWC20" s="413"/>
      <c r="CWD20" s="413"/>
      <c r="CWE20" s="413"/>
      <c r="CWF20" s="413"/>
      <c r="CWG20" s="413"/>
      <c r="CWH20" s="413"/>
      <c r="CWI20" s="413"/>
      <c r="CWJ20" s="413"/>
      <c r="CWK20" s="413"/>
      <c r="CWL20" s="413"/>
      <c r="CWM20" s="413"/>
      <c r="CWN20" s="413"/>
      <c r="CWO20" s="413"/>
      <c r="CWP20" s="413"/>
      <c r="CWQ20" s="413"/>
      <c r="CWR20" s="413"/>
      <c r="CWS20" s="413"/>
      <c r="CWT20" s="413"/>
      <c r="CWU20" s="413"/>
      <c r="CWV20" s="413"/>
      <c r="CWW20" s="413"/>
      <c r="CWX20" s="413"/>
      <c r="CWY20" s="413"/>
      <c r="CWZ20" s="413"/>
      <c r="CXA20" s="413"/>
      <c r="CXB20" s="413"/>
      <c r="CXC20" s="413"/>
      <c r="CXD20" s="413"/>
      <c r="CXE20" s="413"/>
      <c r="CXF20" s="413"/>
      <c r="CXG20" s="413"/>
      <c r="CXH20" s="413"/>
      <c r="CXI20" s="413"/>
      <c r="CXJ20" s="413"/>
      <c r="CXK20" s="413"/>
      <c r="CXL20" s="413"/>
      <c r="CXM20" s="413"/>
      <c r="CXN20" s="413"/>
      <c r="CXO20" s="413"/>
      <c r="CXP20" s="413"/>
      <c r="CXQ20" s="413"/>
      <c r="CXR20" s="413"/>
      <c r="CXS20" s="413"/>
      <c r="CXT20" s="413"/>
      <c r="CXU20" s="413"/>
      <c r="CXV20" s="413"/>
      <c r="CXW20" s="413"/>
      <c r="CXX20" s="413"/>
      <c r="CXY20" s="413"/>
      <c r="CXZ20" s="413"/>
      <c r="CYA20" s="413"/>
      <c r="CYB20" s="413"/>
      <c r="CYC20" s="413"/>
      <c r="CYD20" s="413"/>
      <c r="CYE20" s="413"/>
      <c r="CYF20" s="413"/>
      <c r="CYG20" s="413"/>
      <c r="CYH20" s="413"/>
      <c r="CYI20" s="413"/>
      <c r="CYJ20" s="413"/>
      <c r="CYK20" s="413"/>
      <c r="CYL20" s="413"/>
      <c r="CYM20" s="413"/>
      <c r="CYN20" s="413"/>
      <c r="CYO20" s="413"/>
      <c r="CYP20" s="413"/>
      <c r="CYQ20" s="413"/>
      <c r="CYR20" s="413"/>
      <c r="CYS20" s="413"/>
      <c r="CYT20" s="413"/>
      <c r="CYU20" s="413"/>
      <c r="CYV20" s="413"/>
      <c r="CYW20" s="413"/>
      <c r="CYX20" s="413"/>
      <c r="CYY20" s="413"/>
      <c r="CYZ20" s="413"/>
      <c r="CZA20" s="413"/>
      <c r="CZB20" s="413"/>
      <c r="CZC20" s="413"/>
      <c r="CZD20" s="413"/>
      <c r="CZE20" s="413"/>
      <c r="CZF20" s="413"/>
      <c r="CZG20" s="413"/>
      <c r="CZH20" s="413"/>
      <c r="CZI20" s="413"/>
      <c r="CZJ20" s="413"/>
      <c r="CZK20" s="413"/>
      <c r="CZL20" s="413"/>
      <c r="CZM20" s="413"/>
      <c r="CZN20" s="413"/>
      <c r="CZO20" s="413"/>
      <c r="CZP20" s="413"/>
      <c r="CZQ20" s="413"/>
      <c r="CZR20" s="413"/>
      <c r="CZS20" s="413"/>
      <c r="CZT20" s="413"/>
      <c r="CZU20" s="413"/>
      <c r="CZV20" s="413"/>
      <c r="CZW20" s="413"/>
      <c r="CZX20" s="413"/>
      <c r="CZY20" s="413"/>
      <c r="CZZ20" s="413"/>
      <c r="DAA20" s="413"/>
      <c r="DAB20" s="413"/>
      <c r="DAC20" s="413"/>
      <c r="DAD20" s="413"/>
      <c r="DAE20" s="413"/>
      <c r="DAF20" s="413"/>
      <c r="DAG20" s="413"/>
      <c r="DAH20" s="413"/>
      <c r="DAI20" s="413"/>
      <c r="DAJ20" s="413"/>
      <c r="DAK20" s="413"/>
      <c r="DAL20" s="413"/>
      <c r="DAM20" s="413"/>
      <c r="DAN20" s="413"/>
      <c r="DAO20" s="413"/>
      <c r="DAP20" s="413"/>
      <c r="DAQ20" s="413"/>
      <c r="DAR20" s="413"/>
      <c r="DAS20" s="413"/>
      <c r="DAT20" s="413"/>
      <c r="DAU20" s="413"/>
      <c r="DAV20" s="413"/>
      <c r="DAW20" s="413"/>
      <c r="DAX20" s="413"/>
      <c r="DAY20" s="413"/>
      <c r="DAZ20" s="413"/>
      <c r="DBA20" s="413"/>
      <c r="DBB20" s="413"/>
      <c r="DBC20" s="413"/>
      <c r="DBD20" s="413"/>
      <c r="DBE20" s="413"/>
      <c r="DBF20" s="413"/>
      <c r="DBG20" s="413"/>
      <c r="DBH20" s="413"/>
      <c r="DBI20" s="413"/>
      <c r="DBJ20" s="413"/>
      <c r="DBK20" s="413"/>
      <c r="DBL20" s="413"/>
      <c r="DBM20" s="413"/>
      <c r="DBN20" s="413"/>
      <c r="DBO20" s="413"/>
      <c r="DBP20" s="413"/>
      <c r="DBQ20" s="413"/>
      <c r="DBR20" s="413"/>
      <c r="DBS20" s="413"/>
      <c r="DBT20" s="413"/>
      <c r="DBU20" s="413"/>
      <c r="DBV20" s="413"/>
      <c r="DBW20" s="413"/>
      <c r="DBX20" s="413"/>
      <c r="DBY20" s="413"/>
      <c r="DBZ20" s="413"/>
      <c r="DCA20" s="413"/>
      <c r="DCB20" s="413"/>
      <c r="DCC20" s="413"/>
      <c r="DCD20" s="413"/>
      <c r="DCE20" s="413"/>
      <c r="DCF20" s="413"/>
      <c r="DCG20" s="413"/>
      <c r="DCH20" s="413"/>
      <c r="DCI20" s="413"/>
      <c r="DCJ20" s="413"/>
      <c r="DCK20" s="413"/>
      <c r="DCL20" s="413"/>
      <c r="DCM20" s="413"/>
      <c r="DCN20" s="413"/>
      <c r="DCO20" s="413"/>
      <c r="DCP20" s="413"/>
      <c r="DCQ20" s="413"/>
      <c r="DCR20" s="413"/>
      <c r="DCS20" s="413"/>
      <c r="DCT20" s="413"/>
      <c r="DCU20" s="413"/>
      <c r="DCV20" s="413"/>
      <c r="DCW20" s="413"/>
      <c r="DCX20" s="413"/>
      <c r="DCY20" s="413"/>
      <c r="DCZ20" s="413"/>
      <c r="DDA20" s="413"/>
      <c r="DDB20" s="413"/>
      <c r="DDC20" s="413"/>
      <c r="DDD20" s="413"/>
      <c r="DDE20" s="413"/>
      <c r="DDF20" s="413"/>
      <c r="DDG20" s="413"/>
      <c r="DDH20" s="413"/>
      <c r="DDI20" s="413"/>
      <c r="DDJ20" s="413"/>
      <c r="DDK20" s="413"/>
      <c r="DDL20" s="413"/>
      <c r="DDM20" s="413"/>
      <c r="DDN20" s="413"/>
      <c r="DDO20" s="413"/>
      <c r="DDP20" s="413"/>
      <c r="DDQ20" s="413"/>
      <c r="DDR20" s="413"/>
      <c r="DDS20" s="413"/>
      <c r="DDT20" s="413"/>
      <c r="DDU20" s="413"/>
      <c r="DDV20" s="413"/>
      <c r="DDW20" s="413"/>
      <c r="DDX20" s="413"/>
      <c r="DDY20" s="413"/>
      <c r="DDZ20" s="413"/>
      <c r="DEA20" s="413"/>
      <c r="DEB20" s="413"/>
      <c r="DEC20" s="413"/>
      <c r="DED20" s="413"/>
      <c r="DEE20" s="413"/>
      <c r="DEF20" s="413"/>
      <c r="DEG20" s="413"/>
      <c r="DEH20" s="413"/>
      <c r="DEI20" s="413"/>
      <c r="DEJ20" s="413"/>
      <c r="DEK20" s="413"/>
      <c r="DEL20" s="413"/>
      <c r="DEM20" s="413"/>
      <c r="DEN20" s="413"/>
      <c r="DEO20" s="413"/>
      <c r="DEP20" s="413"/>
      <c r="DEQ20" s="413"/>
      <c r="DER20" s="413"/>
      <c r="DES20" s="413"/>
      <c r="DET20" s="413"/>
      <c r="DEU20" s="413"/>
      <c r="DEV20" s="413"/>
      <c r="DEW20" s="413"/>
      <c r="DEX20" s="413"/>
      <c r="DEY20" s="413"/>
      <c r="DEZ20" s="413"/>
      <c r="DFA20" s="413"/>
      <c r="DFB20" s="413"/>
      <c r="DFC20" s="413"/>
      <c r="DFD20" s="413"/>
      <c r="DFE20" s="413"/>
      <c r="DFF20" s="413"/>
      <c r="DFG20" s="413"/>
      <c r="DFH20" s="413"/>
      <c r="DFI20" s="413"/>
      <c r="DFJ20" s="413"/>
      <c r="DFK20" s="413"/>
      <c r="DFL20" s="413"/>
      <c r="DFM20" s="413"/>
      <c r="DFN20" s="413"/>
      <c r="DFO20" s="413"/>
      <c r="DFP20" s="413"/>
      <c r="DFQ20" s="413"/>
      <c r="DFR20" s="413"/>
      <c r="DFS20" s="413"/>
      <c r="DFT20" s="413"/>
      <c r="DFU20" s="413"/>
      <c r="DFV20" s="413"/>
      <c r="DFW20" s="413"/>
      <c r="DFX20" s="413"/>
      <c r="DFY20" s="413"/>
      <c r="DFZ20" s="413"/>
      <c r="DGA20" s="413"/>
      <c r="DGB20" s="413"/>
      <c r="DGC20" s="413"/>
      <c r="DGD20" s="413"/>
      <c r="DGE20" s="413"/>
      <c r="DGF20" s="413"/>
      <c r="DGG20" s="413"/>
      <c r="DGH20" s="413"/>
      <c r="DGI20" s="413"/>
      <c r="DGJ20" s="413"/>
      <c r="DGK20" s="413"/>
      <c r="DGL20" s="413"/>
      <c r="DGM20" s="413"/>
      <c r="DGN20" s="413"/>
      <c r="DGO20" s="413"/>
      <c r="DGP20" s="413"/>
      <c r="DGQ20" s="413"/>
      <c r="DGR20" s="413"/>
      <c r="DGS20" s="413"/>
      <c r="DGT20" s="413"/>
      <c r="DGU20" s="413"/>
      <c r="DGV20" s="413"/>
      <c r="DGW20" s="413"/>
      <c r="DGX20" s="413"/>
      <c r="DGY20" s="413"/>
      <c r="DGZ20" s="413"/>
      <c r="DHA20" s="413"/>
      <c r="DHB20" s="413"/>
      <c r="DHC20" s="413"/>
      <c r="DHD20" s="413"/>
      <c r="DHE20" s="413"/>
      <c r="DHF20" s="413"/>
      <c r="DHG20" s="413"/>
      <c r="DHH20" s="413"/>
      <c r="DHI20" s="413"/>
      <c r="DHJ20" s="413"/>
      <c r="DHK20" s="413"/>
      <c r="DHL20" s="413"/>
      <c r="DHM20" s="413"/>
      <c r="DHN20" s="413"/>
      <c r="DHO20" s="413"/>
      <c r="DHP20" s="413"/>
      <c r="DHQ20" s="413"/>
      <c r="DHR20" s="413"/>
      <c r="DHS20" s="413"/>
      <c r="DHT20" s="413"/>
      <c r="DHU20" s="413"/>
      <c r="DHV20" s="413"/>
      <c r="DHW20" s="413"/>
      <c r="DHX20" s="413"/>
      <c r="DHY20" s="413"/>
      <c r="DHZ20" s="413"/>
      <c r="DIA20" s="413"/>
      <c r="DIB20" s="413"/>
      <c r="DIC20" s="413"/>
      <c r="DID20" s="413"/>
      <c r="DIE20" s="413"/>
      <c r="DIF20" s="413"/>
      <c r="DIG20" s="413"/>
      <c r="DIH20" s="413"/>
      <c r="DII20" s="413"/>
      <c r="DIJ20" s="413"/>
      <c r="DIK20" s="413"/>
      <c r="DIL20" s="413"/>
      <c r="DIM20" s="413"/>
      <c r="DIN20" s="413"/>
      <c r="DIO20" s="413"/>
      <c r="DIP20" s="413"/>
      <c r="DIQ20" s="413"/>
      <c r="DIR20" s="413"/>
      <c r="DIS20" s="413"/>
      <c r="DIT20" s="413"/>
      <c r="DIU20" s="413"/>
      <c r="DIV20" s="413"/>
      <c r="DIW20" s="413"/>
      <c r="DIX20" s="413"/>
      <c r="DIY20" s="413"/>
      <c r="DIZ20" s="413"/>
      <c r="DJA20" s="413"/>
      <c r="DJB20" s="413"/>
      <c r="DJC20" s="413"/>
      <c r="DJD20" s="413"/>
      <c r="DJE20" s="413"/>
      <c r="DJF20" s="413"/>
      <c r="DJG20" s="413"/>
      <c r="DJH20" s="413"/>
      <c r="DJI20" s="413"/>
      <c r="DJJ20" s="413"/>
      <c r="DJK20" s="413"/>
      <c r="DJL20" s="413"/>
      <c r="DJM20" s="413"/>
      <c r="DJN20" s="413"/>
      <c r="DJO20" s="413"/>
      <c r="DJP20" s="413"/>
      <c r="DJQ20" s="413"/>
      <c r="DJR20" s="413"/>
      <c r="DJS20" s="413"/>
      <c r="DJT20" s="413"/>
      <c r="DJU20" s="413"/>
      <c r="DJV20" s="413"/>
      <c r="DJW20" s="413"/>
      <c r="DJX20" s="413"/>
      <c r="DJY20" s="413"/>
      <c r="DJZ20" s="413"/>
      <c r="DKA20" s="413"/>
      <c r="DKB20" s="413"/>
      <c r="DKC20" s="413"/>
      <c r="DKD20" s="413"/>
      <c r="DKE20" s="413"/>
      <c r="DKF20" s="413"/>
      <c r="DKG20" s="413"/>
      <c r="DKH20" s="413"/>
      <c r="DKI20" s="413"/>
      <c r="DKJ20" s="413"/>
      <c r="DKK20" s="413"/>
      <c r="DKL20" s="413"/>
      <c r="DKM20" s="413"/>
      <c r="DKN20" s="413"/>
      <c r="DKO20" s="413"/>
      <c r="DKP20" s="413"/>
      <c r="DKQ20" s="413"/>
      <c r="DKR20" s="413"/>
      <c r="DKS20" s="413"/>
      <c r="DKT20" s="413"/>
      <c r="DKU20" s="413"/>
      <c r="DKV20" s="413"/>
      <c r="DKW20" s="413"/>
      <c r="DKX20" s="413"/>
      <c r="DKY20" s="413"/>
      <c r="DKZ20" s="413"/>
      <c r="DLA20" s="413"/>
      <c r="DLB20" s="413"/>
      <c r="DLC20" s="413"/>
      <c r="DLD20" s="413"/>
      <c r="DLE20" s="413"/>
      <c r="DLF20" s="413"/>
      <c r="DLG20" s="413"/>
      <c r="DLH20" s="413"/>
      <c r="DLI20" s="413"/>
      <c r="DLJ20" s="413"/>
      <c r="DLK20" s="413"/>
      <c r="DLL20" s="413"/>
      <c r="DLM20" s="413"/>
      <c r="DLN20" s="413"/>
      <c r="DLO20" s="413"/>
      <c r="DLP20" s="413"/>
      <c r="DLQ20" s="413"/>
      <c r="DLR20" s="413"/>
      <c r="DLS20" s="413"/>
      <c r="DLT20" s="413"/>
      <c r="DLU20" s="413"/>
      <c r="DLV20" s="413"/>
      <c r="DLW20" s="413"/>
      <c r="DLX20" s="413"/>
      <c r="DLY20" s="413"/>
      <c r="DLZ20" s="413"/>
      <c r="DMA20" s="413"/>
      <c r="DMB20" s="413"/>
      <c r="DMC20" s="413"/>
      <c r="DMD20" s="413"/>
      <c r="DME20" s="413"/>
      <c r="DMF20" s="413"/>
      <c r="DMG20" s="413"/>
      <c r="DMH20" s="413"/>
      <c r="DMI20" s="413"/>
      <c r="DMJ20" s="413"/>
      <c r="DMK20" s="413"/>
      <c r="DML20" s="413"/>
      <c r="DMM20" s="413"/>
      <c r="DMN20" s="413"/>
      <c r="DMO20" s="413"/>
      <c r="DMP20" s="413"/>
      <c r="DMQ20" s="413"/>
      <c r="DMR20" s="413"/>
      <c r="DMS20" s="413"/>
      <c r="DMT20" s="413"/>
      <c r="DMU20" s="413"/>
      <c r="DMV20" s="413"/>
      <c r="DMW20" s="413"/>
      <c r="DMX20" s="413"/>
      <c r="DMY20" s="413"/>
      <c r="DMZ20" s="413"/>
      <c r="DNA20" s="413"/>
      <c r="DNB20" s="413"/>
      <c r="DNC20" s="413"/>
      <c r="DND20" s="413"/>
      <c r="DNE20" s="413"/>
      <c r="DNF20" s="413"/>
      <c r="DNG20" s="413"/>
      <c r="DNH20" s="413"/>
      <c r="DNI20" s="413"/>
      <c r="DNJ20" s="413"/>
      <c r="DNK20" s="413"/>
      <c r="DNL20" s="413"/>
      <c r="DNM20" s="413"/>
      <c r="DNN20" s="413"/>
      <c r="DNO20" s="413"/>
      <c r="DNP20" s="413"/>
      <c r="DNQ20" s="413"/>
      <c r="DNR20" s="413"/>
      <c r="DNS20" s="413"/>
      <c r="DNT20" s="413"/>
      <c r="DNU20" s="413"/>
      <c r="DNV20" s="413"/>
      <c r="DNW20" s="413"/>
      <c r="DNX20" s="413"/>
      <c r="DNY20" s="413"/>
      <c r="DNZ20" s="413"/>
      <c r="DOA20" s="413"/>
      <c r="DOB20" s="413"/>
      <c r="DOC20" s="413"/>
      <c r="DOD20" s="413"/>
      <c r="DOE20" s="413"/>
      <c r="DOF20" s="413"/>
      <c r="DOG20" s="413"/>
      <c r="DOH20" s="413"/>
      <c r="DOI20" s="413"/>
      <c r="DOJ20" s="413"/>
      <c r="DOK20" s="413"/>
      <c r="DOL20" s="413"/>
      <c r="DOM20" s="413"/>
      <c r="DON20" s="413"/>
      <c r="DOO20" s="413"/>
      <c r="DOP20" s="413"/>
      <c r="DOQ20" s="413"/>
      <c r="DOR20" s="413"/>
      <c r="DOS20" s="413"/>
      <c r="DOT20" s="413"/>
      <c r="DOU20" s="413"/>
      <c r="DOV20" s="413"/>
      <c r="DOW20" s="413"/>
      <c r="DOX20" s="413"/>
      <c r="DOY20" s="413"/>
      <c r="DOZ20" s="413"/>
      <c r="DPA20" s="413"/>
      <c r="DPB20" s="413"/>
      <c r="DPC20" s="413"/>
      <c r="DPD20" s="413"/>
      <c r="DPE20" s="413"/>
      <c r="DPF20" s="413"/>
      <c r="DPG20" s="413"/>
      <c r="DPH20" s="413"/>
      <c r="DPI20" s="413"/>
      <c r="DPJ20" s="413"/>
      <c r="DPK20" s="413"/>
      <c r="DPL20" s="413"/>
      <c r="DPM20" s="413"/>
      <c r="DPN20" s="413"/>
      <c r="DPO20" s="413"/>
      <c r="DPP20" s="413"/>
      <c r="DPQ20" s="413"/>
      <c r="DPR20" s="413"/>
      <c r="DPS20" s="413"/>
      <c r="DPT20" s="413"/>
      <c r="DPU20" s="413"/>
      <c r="DPV20" s="413"/>
      <c r="DPW20" s="413"/>
      <c r="DPX20" s="413"/>
      <c r="DPY20" s="413"/>
      <c r="DPZ20" s="413"/>
      <c r="DQA20" s="413"/>
      <c r="DQB20" s="413"/>
      <c r="DQC20" s="413"/>
      <c r="DQD20" s="413"/>
      <c r="DQE20" s="413"/>
      <c r="DQF20" s="413"/>
      <c r="DQG20" s="413"/>
      <c r="DQH20" s="413"/>
      <c r="DQI20" s="413"/>
      <c r="DQJ20" s="413"/>
      <c r="DQK20" s="413"/>
      <c r="DQL20" s="413"/>
      <c r="DQM20" s="413"/>
      <c r="DQN20" s="413"/>
      <c r="DQO20" s="413"/>
      <c r="DQP20" s="413"/>
      <c r="DQQ20" s="413"/>
      <c r="DQR20" s="413"/>
      <c r="DQS20" s="413"/>
      <c r="DQT20" s="413"/>
      <c r="DQU20" s="413"/>
      <c r="DQV20" s="413"/>
      <c r="DQW20" s="413"/>
      <c r="DQX20" s="413"/>
      <c r="DQY20" s="413"/>
      <c r="DQZ20" s="413"/>
      <c r="DRA20" s="413"/>
      <c r="DRB20" s="413"/>
      <c r="DRC20" s="413"/>
      <c r="DRD20" s="413"/>
      <c r="DRE20" s="413"/>
      <c r="DRF20" s="413"/>
      <c r="DRG20" s="413"/>
      <c r="DRH20" s="413"/>
      <c r="DRI20" s="413"/>
      <c r="DRJ20" s="413"/>
      <c r="DRK20" s="413"/>
      <c r="DRL20" s="413"/>
      <c r="DRM20" s="413"/>
      <c r="DRN20" s="413"/>
      <c r="DRO20" s="413"/>
      <c r="DRP20" s="413"/>
      <c r="DRQ20" s="413"/>
      <c r="DRR20" s="413"/>
      <c r="DRS20" s="413"/>
      <c r="DRT20" s="413"/>
      <c r="DRU20" s="413"/>
      <c r="DRV20" s="413"/>
      <c r="DRW20" s="413"/>
      <c r="DRX20" s="413"/>
      <c r="DRY20" s="413"/>
      <c r="DRZ20" s="413"/>
      <c r="DSA20" s="413"/>
      <c r="DSB20" s="413"/>
      <c r="DSC20" s="413"/>
      <c r="DSD20" s="413"/>
      <c r="DSE20" s="413"/>
      <c r="DSF20" s="413"/>
      <c r="DSG20" s="413"/>
      <c r="DSH20" s="413"/>
      <c r="DSI20" s="413"/>
      <c r="DSJ20" s="413"/>
      <c r="DSK20" s="413"/>
      <c r="DSL20" s="413"/>
      <c r="DSM20" s="413"/>
      <c r="DSN20" s="413"/>
      <c r="DSO20" s="413"/>
      <c r="DSP20" s="413"/>
      <c r="DSQ20" s="413"/>
      <c r="DSR20" s="413"/>
      <c r="DSS20" s="413"/>
      <c r="DST20" s="413"/>
      <c r="DSU20" s="413"/>
      <c r="DSV20" s="413"/>
      <c r="DSW20" s="413"/>
      <c r="DSX20" s="413"/>
      <c r="DSY20" s="413"/>
      <c r="DSZ20" s="413"/>
      <c r="DTA20" s="413"/>
      <c r="DTB20" s="413"/>
      <c r="DTC20" s="413"/>
      <c r="DTD20" s="413"/>
      <c r="DTE20" s="413"/>
      <c r="DTF20" s="413"/>
      <c r="DTG20" s="413"/>
      <c r="DTH20" s="413"/>
      <c r="DTI20" s="413"/>
      <c r="DTJ20" s="413"/>
      <c r="DTK20" s="413"/>
      <c r="DTL20" s="413"/>
      <c r="DTM20" s="413"/>
      <c r="DTN20" s="413"/>
      <c r="DTO20" s="413"/>
      <c r="DTP20" s="413"/>
      <c r="DTQ20" s="413"/>
      <c r="DTR20" s="413"/>
      <c r="DTS20" s="413"/>
      <c r="DTT20" s="413"/>
      <c r="DTU20" s="413"/>
      <c r="DTV20" s="413"/>
      <c r="DTW20" s="413"/>
      <c r="DTX20" s="413"/>
      <c r="DTY20" s="413"/>
      <c r="DTZ20" s="413"/>
      <c r="DUA20" s="413"/>
      <c r="DUB20" s="413"/>
      <c r="DUC20" s="413"/>
      <c r="DUD20" s="413"/>
      <c r="DUE20" s="413"/>
      <c r="DUF20" s="413"/>
      <c r="DUG20" s="413"/>
      <c r="DUH20" s="413"/>
      <c r="DUI20" s="413"/>
      <c r="DUJ20" s="413"/>
      <c r="DUK20" s="413"/>
      <c r="DUL20" s="413"/>
      <c r="DUM20" s="413"/>
      <c r="DUN20" s="413"/>
      <c r="DUO20" s="413"/>
      <c r="DUP20" s="413"/>
      <c r="DUQ20" s="413"/>
      <c r="DUR20" s="413"/>
      <c r="DUS20" s="413"/>
      <c r="DUT20" s="413"/>
      <c r="DUU20" s="413"/>
      <c r="DUV20" s="413"/>
      <c r="DUW20" s="413"/>
      <c r="DUX20" s="413"/>
      <c r="DUY20" s="413"/>
      <c r="DUZ20" s="413"/>
      <c r="DVA20" s="413"/>
      <c r="DVB20" s="413"/>
      <c r="DVC20" s="413"/>
      <c r="DVD20" s="413"/>
      <c r="DVE20" s="413"/>
      <c r="DVF20" s="413"/>
      <c r="DVG20" s="413"/>
      <c r="DVH20" s="413"/>
      <c r="DVI20" s="413"/>
      <c r="DVJ20" s="413"/>
      <c r="DVK20" s="413"/>
      <c r="DVL20" s="413"/>
      <c r="DVM20" s="413"/>
      <c r="DVN20" s="413"/>
      <c r="DVO20" s="413"/>
      <c r="DVP20" s="413"/>
      <c r="DVQ20" s="413"/>
      <c r="DVR20" s="413"/>
      <c r="DVS20" s="413"/>
      <c r="DVT20" s="413"/>
      <c r="DVU20" s="413"/>
      <c r="DVV20" s="413"/>
      <c r="DVW20" s="413"/>
      <c r="DVX20" s="413"/>
      <c r="DVY20" s="413"/>
      <c r="DVZ20" s="413"/>
      <c r="DWA20" s="413"/>
      <c r="DWB20" s="413"/>
      <c r="DWC20" s="413"/>
      <c r="DWD20" s="413"/>
      <c r="DWE20" s="413"/>
      <c r="DWF20" s="413"/>
      <c r="DWG20" s="413"/>
      <c r="DWH20" s="413"/>
      <c r="DWI20" s="413"/>
      <c r="DWJ20" s="413"/>
      <c r="DWK20" s="413"/>
      <c r="DWL20" s="413"/>
      <c r="DWM20" s="413"/>
      <c r="DWN20" s="413"/>
      <c r="DWO20" s="413"/>
      <c r="DWP20" s="413"/>
      <c r="DWQ20" s="413"/>
      <c r="DWR20" s="413"/>
      <c r="DWS20" s="413"/>
      <c r="DWT20" s="413"/>
      <c r="DWU20" s="413"/>
      <c r="DWV20" s="413"/>
      <c r="DWW20" s="413"/>
      <c r="DWX20" s="413"/>
      <c r="DWY20" s="413"/>
      <c r="DWZ20" s="413"/>
      <c r="DXA20" s="413"/>
      <c r="DXB20" s="413"/>
      <c r="DXC20" s="413"/>
      <c r="DXD20" s="413"/>
      <c r="DXE20" s="413"/>
      <c r="DXF20" s="413"/>
      <c r="DXG20" s="413"/>
      <c r="DXH20" s="413"/>
      <c r="DXI20" s="413"/>
      <c r="DXJ20" s="413"/>
      <c r="DXK20" s="413"/>
      <c r="DXL20" s="413"/>
      <c r="DXM20" s="413"/>
      <c r="DXN20" s="413"/>
      <c r="DXO20" s="413"/>
      <c r="DXP20" s="413"/>
      <c r="DXQ20" s="413"/>
      <c r="DXR20" s="413"/>
      <c r="DXS20" s="413"/>
      <c r="DXT20" s="413"/>
      <c r="DXU20" s="413"/>
      <c r="DXV20" s="413"/>
      <c r="DXW20" s="413"/>
      <c r="DXX20" s="413"/>
      <c r="DXY20" s="413"/>
      <c r="DXZ20" s="413"/>
      <c r="DYA20" s="413"/>
      <c r="DYB20" s="413"/>
      <c r="DYC20" s="413"/>
      <c r="DYD20" s="413"/>
      <c r="DYE20" s="413"/>
      <c r="DYF20" s="413"/>
      <c r="DYG20" s="413"/>
      <c r="DYH20" s="413"/>
      <c r="DYI20" s="413"/>
      <c r="DYJ20" s="413"/>
      <c r="DYK20" s="413"/>
      <c r="DYL20" s="413"/>
      <c r="DYM20" s="413"/>
      <c r="DYN20" s="413"/>
      <c r="DYO20" s="413"/>
      <c r="DYP20" s="413"/>
      <c r="DYQ20" s="413"/>
      <c r="DYR20" s="413"/>
      <c r="DYS20" s="413"/>
      <c r="DYT20" s="413"/>
      <c r="DYU20" s="413"/>
      <c r="DYV20" s="413"/>
      <c r="DYW20" s="413"/>
      <c r="DYX20" s="413"/>
      <c r="DYY20" s="413"/>
      <c r="DYZ20" s="413"/>
      <c r="DZA20" s="413"/>
      <c r="DZB20" s="413"/>
      <c r="DZC20" s="413"/>
      <c r="DZD20" s="413"/>
      <c r="DZE20" s="413"/>
      <c r="DZF20" s="413"/>
      <c r="DZG20" s="413"/>
      <c r="DZH20" s="413"/>
      <c r="DZI20" s="413"/>
      <c r="DZJ20" s="413"/>
      <c r="DZK20" s="413"/>
      <c r="DZL20" s="413"/>
      <c r="DZM20" s="413"/>
      <c r="DZN20" s="413"/>
      <c r="DZO20" s="413"/>
      <c r="DZP20" s="413"/>
      <c r="DZQ20" s="413"/>
      <c r="DZR20" s="413"/>
      <c r="DZS20" s="413"/>
      <c r="DZT20" s="413"/>
      <c r="DZU20" s="413"/>
      <c r="DZV20" s="413"/>
      <c r="DZW20" s="413"/>
      <c r="DZX20" s="413"/>
      <c r="DZY20" s="413"/>
      <c r="DZZ20" s="413"/>
      <c r="EAA20" s="413"/>
      <c r="EAB20" s="413"/>
      <c r="EAC20" s="413"/>
      <c r="EAD20" s="413"/>
      <c r="EAE20" s="413"/>
      <c r="EAF20" s="413"/>
      <c r="EAG20" s="413"/>
      <c r="EAH20" s="413"/>
      <c r="EAI20" s="413"/>
      <c r="EAJ20" s="413"/>
      <c r="EAK20" s="413"/>
      <c r="EAL20" s="413"/>
      <c r="EAM20" s="413"/>
      <c r="EAN20" s="413"/>
      <c r="EAO20" s="413"/>
      <c r="EAP20" s="413"/>
      <c r="EAQ20" s="413"/>
      <c r="EAR20" s="413"/>
      <c r="EAS20" s="413"/>
      <c r="EAT20" s="413"/>
      <c r="EAU20" s="413"/>
      <c r="EAV20" s="413"/>
      <c r="EAW20" s="413"/>
      <c r="EAX20" s="413"/>
      <c r="EAY20" s="413"/>
      <c r="EAZ20" s="413"/>
      <c r="EBA20" s="413"/>
      <c r="EBB20" s="413"/>
      <c r="EBC20" s="413"/>
      <c r="EBD20" s="413"/>
      <c r="EBE20" s="413"/>
      <c r="EBF20" s="413"/>
      <c r="EBG20" s="413"/>
      <c r="EBH20" s="413"/>
      <c r="EBI20" s="413"/>
      <c r="EBJ20" s="413"/>
      <c r="EBK20" s="413"/>
      <c r="EBL20" s="413"/>
      <c r="EBM20" s="413"/>
      <c r="EBN20" s="413"/>
      <c r="EBO20" s="413"/>
      <c r="EBP20" s="413"/>
      <c r="EBQ20" s="413"/>
      <c r="EBR20" s="413"/>
      <c r="EBS20" s="413"/>
      <c r="EBT20" s="413"/>
      <c r="EBU20" s="413"/>
      <c r="EBV20" s="413"/>
      <c r="EBW20" s="413"/>
      <c r="EBX20" s="413"/>
      <c r="EBY20" s="413"/>
      <c r="EBZ20" s="413"/>
      <c r="ECA20" s="413"/>
      <c r="ECB20" s="413"/>
      <c r="ECC20" s="413"/>
      <c r="ECD20" s="413"/>
      <c r="ECE20" s="413"/>
      <c r="ECF20" s="413"/>
      <c r="ECG20" s="413"/>
      <c r="ECH20" s="413"/>
      <c r="ECI20" s="413"/>
      <c r="ECJ20" s="413"/>
      <c r="ECK20" s="413"/>
      <c r="ECL20" s="413"/>
      <c r="ECM20" s="413"/>
      <c r="ECN20" s="413"/>
      <c r="ECO20" s="413"/>
      <c r="ECP20" s="413"/>
      <c r="ECQ20" s="413"/>
      <c r="ECR20" s="413"/>
      <c r="ECS20" s="413"/>
      <c r="ECT20" s="413"/>
      <c r="ECU20" s="413"/>
      <c r="ECV20" s="413"/>
      <c r="ECW20" s="413"/>
      <c r="ECX20" s="413"/>
      <c r="ECY20" s="413"/>
      <c r="ECZ20" s="413"/>
      <c r="EDA20" s="413"/>
      <c r="EDB20" s="413"/>
      <c r="EDC20" s="413"/>
      <c r="EDD20" s="413"/>
      <c r="EDE20" s="413"/>
      <c r="EDF20" s="413"/>
      <c r="EDG20" s="413"/>
      <c r="EDH20" s="413"/>
      <c r="EDI20" s="413"/>
      <c r="EDJ20" s="413"/>
      <c r="EDK20" s="413"/>
      <c r="EDL20" s="413"/>
      <c r="EDM20" s="413"/>
      <c r="EDN20" s="413"/>
      <c r="EDO20" s="413"/>
      <c r="EDP20" s="413"/>
      <c r="EDQ20" s="413"/>
      <c r="EDR20" s="413"/>
      <c r="EDS20" s="413"/>
      <c r="EDT20" s="413"/>
      <c r="EDU20" s="413"/>
      <c r="EDV20" s="413"/>
      <c r="EDW20" s="413"/>
      <c r="EDX20" s="413"/>
      <c r="EDY20" s="413"/>
      <c r="EDZ20" s="413"/>
      <c r="EEA20" s="413"/>
      <c r="EEB20" s="413"/>
      <c r="EEC20" s="413"/>
      <c r="EED20" s="413"/>
      <c r="EEE20" s="413"/>
      <c r="EEF20" s="413"/>
      <c r="EEG20" s="413"/>
      <c r="EEH20" s="413"/>
      <c r="EEI20" s="413"/>
      <c r="EEJ20" s="413"/>
      <c r="EEK20" s="413"/>
      <c r="EEL20" s="413"/>
      <c r="EEM20" s="413"/>
      <c r="EEN20" s="413"/>
      <c r="EEO20" s="413"/>
      <c r="EEP20" s="413"/>
      <c r="EEQ20" s="413"/>
      <c r="EER20" s="413"/>
      <c r="EES20" s="413"/>
      <c r="EET20" s="413"/>
      <c r="EEU20" s="413"/>
      <c r="EEV20" s="413"/>
      <c r="EEW20" s="413"/>
      <c r="EEX20" s="413"/>
      <c r="EEY20" s="413"/>
      <c r="EEZ20" s="413"/>
      <c r="EFA20" s="413"/>
      <c r="EFB20" s="413"/>
      <c r="EFC20" s="413"/>
      <c r="EFD20" s="413"/>
      <c r="EFE20" s="413"/>
      <c r="EFF20" s="413"/>
      <c r="EFG20" s="413"/>
      <c r="EFH20" s="413"/>
      <c r="EFI20" s="413"/>
      <c r="EFJ20" s="413"/>
      <c r="EFK20" s="413"/>
      <c r="EFL20" s="413"/>
      <c r="EFM20" s="413"/>
      <c r="EFN20" s="413"/>
      <c r="EFO20" s="413"/>
      <c r="EFP20" s="413"/>
      <c r="EFQ20" s="413"/>
      <c r="EFR20" s="413"/>
      <c r="EFS20" s="413"/>
      <c r="EFT20" s="413"/>
      <c r="EFU20" s="413"/>
      <c r="EFV20" s="413"/>
      <c r="EFW20" s="413"/>
      <c r="EFX20" s="413"/>
      <c r="EFY20" s="413"/>
      <c r="EFZ20" s="413"/>
      <c r="EGA20" s="413"/>
      <c r="EGB20" s="413"/>
      <c r="EGC20" s="413"/>
      <c r="EGD20" s="413"/>
      <c r="EGE20" s="413"/>
      <c r="EGF20" s="413"/>
      <c r="EGG20" s="413"/>
      <c r="EGH20" s="413"/>
      <c r="EGI20" s="413"/>
      <c r="EGJ20" s="413"/>
      <c r="EGK20" s="413"/>
      <c r="EGL20" s="413"/>
      <c r="EGM20" s="413"/>
      <c r="EGN20" s="413"/>
      <c r="EGO20" s="413"/>
      <c r="EGP20" s="413"/>
      <c r="EGQ20" s="413"/>
      <c r="EGR20" s="413"/>
      <c r="EGS20" s="413"/>
      <c r="EGT20" s="413"/>
      <c r="EGU20" s="413"/>
      <c r="EGV20" s="413"/>
      <c r="EGW20" s="413"/>
      <c r="EGX20" s="413"/>
      <c r="EGY20" s="413"/>
      <c r="EGZ20" s="413"/>
      <c r="EHA20" s="413"/>
      <c r="EHB20" s="413"/>
      <c r="EHC20" s="413"/>
      <c r="EHD20" s="413"/>
      <c r="EHE20" s="413"/>
      <c r="EHF20" s="413"/>
      <c r="EHG20" s="413"/>
      <c r="EHH20" s="413"/>
      <c r="EHI20" s="413"/>
      <c r="EHJ20" s="413"/>
      <c r="EHK20" s="413"/>
      <c r="EHL20" s="413"/>
      <c r="EHM20" s="413"/>
      <c r="EHN20" s="413"/>
      <c r="EHO20" s="413"/>
      <c r="EHP20" s="413"/>
      <c r="EHQ20" s="413"/>
      <c r="EHR20" s="413"/>
      <c r="EHS20" s="413"/>
      <c r="EHT20" s="413"/>
      <c r="EHU20" s="413"/>
      <c r="EHV20" s="413"/>
      <c r="EHW20" s="413"/>
      <c r="EHX20" s="413"/>
      <c r="EHY20" s="413"/>
      <c r="EHZ20" s="413"/>
      <c r="EIA20" s="413"/>
      <c r="EIB20" s="413"/>
      <c r="EIC20" s="413"/>
      <c r="EID20" s="413"/>
      <c r="EIE20" s="413"/>
      <c r="EIF20" s="413"/>
      <c r="EIG20" s="413"/>
      <c r="EIH20" s="413"/>
      <c r="EII20" s="413"/>
      <c r="EIJ20" s="413"/>
      <c r="EIK20" s="413"/>
      <c r="EIL20" s="413"/>
      <c r="EIM20" s="413"/>
      <c r="EIN20" s="413"/>
      <c r="EIO20" s="413"/>
      <c r="EIP20" s="413"/>
      <c r="EIQ20" s="413"/>
      <c r="EIR20" s="413"/>
      <c r="EIS20" s="413"/>
      <c r="EIT20" s="413"/>
      <c r="EIU20" s="413"/>
      <c r="EIV20" s="413"/>
      <c r="EIW20" s="413"/>
      <c r="EIX20" s="413"/>
      <c r="EIY20" s="413"/>
      <c r="EIZ20" s="413"/>
      <c r="EJA20" s="413"/>
      <c r="EJB20" s="413"/>
      <c r="EJC20" s="413"/>
      <c r="EJD20" s="413"/>
      <c r="EJE20" s="413"/>
      <c r="EJF20" s="413"/>
      <c r="EJG20" s="413"/>
      <c r="EJH20" s="413"/>
      <c r="EJI20" s="413"/>
      <c r="EJJ20" s="413"/>
      <c r="EJK20" s="413"/>
      <c r="EJL20" s="413"/>
      <c r="EJM20" s="413"/>
      <c r="EJN20" s="413"/>
      <c r="EJO20" s="413"/>
      <c r="EJP20" s="413"/>
      <c r="EJQ20" s="413"/>
      <c r="EJR20" s="413"/>
      <c r="EJS20" s="413"/>
      <c r="EJT20" s="413"/>
      <c r="EJU20" s="413"/>
      <c r="EJV20" s="413"/>
      <c r="EJW20" s="413"/>
      <c r="EJX20" s="413"/>
      <c r="EJY20" s="413"/>
      <c r="EJZ20" s="413"/>
      <c r="EKA20" s="413"/>
      <c r="EKB20" s="413"/>
      <c r="EKC20" s="413"/>
      <c r="EKD20" s="413"/>
      <c r="EKE20" s="413"/>
      <c r="EKF20" s="413"/>
      <c r="EKG20" s="413"/>
      <c r="EKH20" s="413"/>
      <c r="EKI20" s="413"/>
      <c r="EKJ20" s="413"/>
      <c r="EKK20" s="413"/>
      <c r="EKL20" s="413"/>
      <c r="EKM20" s="413"/>
      <c r="EKN20" s="413"/>
      <c r="EKO20" s="413"/>
      <c r="EKP20" s="413"/>
      <c r="EKQ20" s="413"/>
      <c r="EKR20" s="413"/>
      <c r="EKS20" s="413"/>
      <c r="EKT20" s="413"/>
      <c r="EKU20" s="413"/>
      <c r="EKV20" s="413"/>
      <c r="EKW20" s="413"/>
      <c r="EKX20" s="413"/>
      <c r="EKY20" s="413"/>
      <c r="EKZ20" s="413"/>
      <c r="ELA20" s="413"/>
      <c r="ELB20" s="413"/>
      <c r="ELC20" s="413"/>
      <c r="ELD20" s="413"/>
      <c r="ELE20" s="413"/>
      <c r="ELF20" s="413"/>
      <c r="ELG20" s="413"/>
      <c r="ELH20" s="413"/>
      <c r="ELI20" s="413"/>
      <c r="ELJ20" s="413"/>
      <c r="ELK20" s="413"/>
      <c r="ELL20" s="413"/>
      <c r="ELM20" s="413"/>
      <c r="ELN20" s="413"/>
      <c r="ELO20" s="413"/>
      <c r="ELP20" s="413"/>
      <c r="ELQ20" s="413"/>
      <c r="ELR20" s="413"/>
      <c r="ELS20" s="413"/>
      <c r="ELT20" s="413"/>
      <c r="ELU20" s="413"/>
      <c r="ELV20" s="413"/>
      <c r="ELW20" s="413"/>
      <c r="ELX20" s="413"/>
      <c r="ELY20" s="413"/>
      <c r="ELZ20" s="413"/>
      <c r="EMA20" s="413"/>
      <c r="EMB20" s="413"/>
      <c r="EMC20" s="413"/>
      <c r="EMD20" s="413"/>
      <c r="EME20" s="413"/>
      <c r="EMF20" s="413"/>
      <c r="EMG20" s="413"/>
      <c r="EMH20" s="413"/>
      <c r="EMI20" s="413"/>
      <c r="EMJ20" s="413"/>
      <c r="EMK20" s="413"/>
      <c r="EML20" s="413"/>
      <c r="EMM20" s="413"/>
      <c r="EMN20" s="413"/>
      <c r="EMO20" s="413"/>
      <c r="EMP20" s="413"/>
      <c r="EMQ20" s="413"/>
      <c r="EMR20" s="413"/>
      <c r="EMS20" s="413"/>
      <c r="EMT20" s="413"/>
      <c r="EMU20" s="413"/>
      <c r="EMV20" s="413"/>
      <c r="EMW20" s="413"/>
      <c r="EMX20" s="413"/>
      <c r="EMY20" s="413"/>
      <c r="EMZ20" s="413"/>
      <c r="ENA20" s="413"/>
      <c r="ENB20" s="413"/>
      <c r="ENC20" s="413"/>
      <c r="END20" s="413"/>
      <c r="ENE20" s="413"/>
      <c r="ENF20" s="413"/>
      <c r="ENG20" s="413"/>
      <c r="ENH20" s="413"/>
      <c r="ENI20" s="413"/>
      <c r="ENJ20" s="413"/>
      <c r="ENK20" s="413"/>
      <c r="ENL20" s="413"/>
      <c r="ENM20" s="413"/>
      <c r="ENN20" s="413"/>
      <c r="ENO20" s="413"/>
      <c r="ENP20" s="413"/>
      <c r="ENQ20" s="413"/>
      <c r="ENR20" s="413"/>
      <c r="ENS20" s="413"/>
      <c r="ENT20" s="413"/>
      <c r="ENU20" s="413"/>
      <c r="ENV20" s="413"/>
      <c r="ENW20" s="413"/>
      <c r="ENX20" s="413"/>
      <c r="ENY20" s="413"/>
      <c r="ENZ20" s="413"/>
      <c r="EOA20" s="413"/>
      <c r="EOB20" s="413"/>
      <c r="EOC20" s="413"/>
      <c r="EOD20" s="413"/>
      <c r="EOE20" s="413"/>
      <c r="EOF20" s="413"/>
      <c r="EOG20" s="413"/>
      <c r="EOH20" s="413"/>
      <c r="EOI20" s="413"/>
      <c r="EOJ20" s="413"/>
      <c r="EOK20" s="413"/>
      <c r="EOL20" s="413"/>
      <c r="EOM20" s="413"/>
      <c r="EON20" s="413"/>
      <c r="EOO20" s="413"/>
      <c r="EOP20" s="413"/>
      <c r="EOQ20" s="413"/>
      <c r="EOR20" s="413"/>
      <c r="EOS20" s="413"/>
      <c r="EOT20" s="413"/>
      <c r="EOU20" s="413"/>
      <c r="EOV20" s="413"/>
      <c r="EOW20" s="413"/>
      <c r="EOX20" s="413"/>
      <c r="EOY20" s="413"/>
      <c r="EOZ20" s="413"/>
      <c r="EPA20" s="413"/>
      <c r="EPB20" s="413"/>
      <c r="EPC20" s="413"/>
      <c r="EPD20" s="413"/>
      <c r="EPE20" s="413"/>
      <c r="EPF20" s="413"/>
      <c r="EPG20" s="413"/>
      <c r="EPH20" s="413"/>
      <c r="EPI20" s="413"/>
      <c r="EPJ20" s="413"/>
      <c r="EPK20" s="413"/>
      <c r="EPL20" s="413"/>
      <c r="EPM20" s="413"/>
      <c r="EPN20" s="413"/>
      <c r="EPO20" s="413"/>
      <c r="EPP20" s="413"/>
      <c r="EPQ20" s="413"/>
      <c r="EPR20" s="413"/>
      <c r="EPS20" s="413"/>
      <c r="EPT20" s="413"/>
      <c r="EPU20" s="413"/>
      <c r="EPV20" s="413"/>
      <c r="EPW20" s="413"/>
      <c r="EPX20" s="413"/>
      <c r="EPY20" s="413"/>
      <c r="EPZ20" s="413"/>
      <c r="EQA20" s="413"/>
      <c r="EQB20" s="413"/>
      <c r="EQC20" s="413"/>
      <c r="EQD20" s="413"/>
      <c r="EQE20" s="413"/>
      <c r="EQF20" s="413"/>
      <c r="EQG20" s="413"/>
      <c r="EQH20" s="413"/>
      <c r="EQI20" s="413"/>
      <c r="EQJ20" s="413"/>
      <c r="EQK20" s="413"/>
      <c r="EQL20" s="413"/>
      <c r="EQM20" s="413"/>
      <c r="EQN20" s="413"/>
      <c r="EQO20" s="413"/>
      <c r="EQP20" s="413"/>
      <c r="EQQ20" s="413"/>
      <c r="EQR20" s="413"/>
      <c r="EQS20" s="413"/>
      <c r="EQT20" s="413"/>
      <c r="EQU20" s="413"/>
      <c r="EQV20" s="413"/>
      <c r="EQW20" s="413"/>
      <c r="EQX20" s="413"/>
      <c r="EQY20" s="413"/>
      <c r="EQZ20" s="413"/>
      <c r="ERA20" s="413"/>
      <c r="ERB20" s="413"/>
      <c r="ERC20" s="413"/>
      <c r="ERD20" s="413"/>
      <c r="ERE20" s="413"/>
      <c r="ERF20" s="413"/>
      <c r="ERG20" s="413"/>
      <c r="ERH20" s="413"/>
      <c r="ERI20" s="413"/>
      <c r="ERJ20" s="413"/>
      <c r="ERK20" s="413"/>
      <c r="ERL20" s="413"/>
      <c r="ERM20" s="413"/>
      <c r="ERN20" s="413"/>
      <c r="ERO20" s="413"/>
      <c r="ERP20" s="413"/>
      <c r="ERQ20" s="413"/>
      <c r="ERR20" s="413"/>
      <c r="ERS20" s="413"/>
      <c r="ERT20" s="413"/>
      <c r="ERU20" s="413"/>
      <c r="ERV20" s="413"/>
      <c r="ERW20" s="413"/>
      <c r="ERX20" s="413"/>
      <c r="ERY20" s="413"/>
      <c r="ERZ20" s="413"/>
      <c r="ESA20" s="413"/>
      <c r="ESB20" s="413"/>
      <c r="ESC20" s="413"/>
      <c r="ESD20" s="413"/>
      <c r="ESE20" s="413"/>
      <c r="ESF20" s="413"/>
      <c r="ESG20" s="413"/>
      <c r="ESH20" s="413"/>
      <c r="ESI20" s="413"/>
      <c r="ESJ20" s="413"/>
      <c r="ESK20" s="413"/>
      <c r="ESL20" s="413"/>
      <c r="ESM20" s="413"/>
      <c r="ESN20" s="413"/>
      <c r="ESO20" s="413"/>
      <c r="ESP20" s="413"/>
      <c r="ESQ20" s="413"/>
      <c r="ESR20" s="413"/>
      <c r="ESS20" s="413"/>
      <c r="EST20" s="413"/>
      <c r="ESU20" s="413"/>
      <c r="ESV20" s="413"/>
      <c r="ESW20" s="413"/>
      <c r="ESX20" s="413"/>
      <c r="ESY20" s="413"/>
      <c r="ESZ20" s="413"/>
      <c r="ETA20" s="413"/>
      <c r="ETB20" s="413"/>
      <c r="ETC20" s="413"/>
      <c r="ETD20" s="413"/>
      <c r="ETE20" s="413"/>
      <c r="ETF20" s="413"/>
      <c r="ETG20" s="413"/>
      <c r="ETH20" s="413"/>
      <c r="ETI20" s="413"/>
      <c r="ETJ20" s="413"/>
      <c r="ETK20" s="413"/>
      <c r="ETL20" s="413"/>
      <c r="ETM20" s="413"/>
      <c r="ETN20" s="413"/>
      <c r="ETO20" s="413"/>
      <c r="ETP20" s="413"/>
      <c r="ETQ20" s="413"/>
      <c r="ETR20" s="413"/>
      <c r="ETS20" s="413"/>
      <c r="ETT20" s="413"/>
      <c r="ETU20" s="413"/>
      <c r="ETV20" s="413"/>
      <c r="ETW20" s="413"/>
      <c r="ETX20" s="413"/>
      <c r="ETY20" s="413"/>
      <c r="ETZ20" s="413"/>
      <c r="EUA20" s="413"/>
      <c r="EUB20" s="413"/>
      <c r="EUC20" s="413"/>
      <c r="EUD20" s="413"/>
      <c r="EUE20" s="413"/>
      <c r="EUF20" s="413"/>
      <c r="EUG20" s="413"/>
      <c r="EUH20" s="413"/>
      <c r="EUI20" s="413"/>
      <c r="EUJ20" s="413"/>
      <c r="EUK20" s="413"/>
      <c r="EUL20" s="413"/>
      <c r="EUM20" s="413"/>
      <c r="EUN20" s="413"/>
      <c r="EUO20" s="413"/>
      <c r="EUP20" s="413"/>
      <c r="EUQ20" s="413"/>
      <c r="EUR20" s="413"/>
      <c r="EUS20" s="413"/>
      <c r="EUT20" s="413"/>
      <c r="EUU20" s="413"/>
      <c r="EUV20" s="413"/>
      <c r="EUW20" s="413"/>
      <c r="EUX20" s="413"/>
      <c r="EUY20" s="413"/>
      <c r="EUZ20" s="413"/>
      <c r="EVA20" s="413"/>
      <c r="EVB20" s="413"/>
      <c r="EVC20" s="413"/>
      <c r="EVD20" s="413"/>
      <c r="EVE20" s="413"/>
      <c r="EVF20" s="413"/>
      <c r="EVG20" s="413"/>
      <c r="EVH20" s="413"/>
      <c r="EVI20" s="413"/>
      <c r="EVJ20" s="413"/>
      <c r="EVK20" s="413"/>
      <c r="EVL20" s="413"/>
      <c r="EVM20" s="413"/>
      <c r="EVN20" s="413"/>
      <c r="EVO20" s="413"/>
      <c r="EVP20" s="413"/>
      <c r="EVQ20" s="413"/>
      <c r="EVR20" s="413"/>
      <c r="EVS20" s="413"/>
      <c r="EVT20" s="413"/>
      <c r="EVU20" s="413"/>
      <c r="EVV20" s="413"/>
      <c r="EVW20" s="413"/>
      <c r="EVX20" s="413"/>
      <c r="EVY20" s="413"/>
      <c r="EVZ20" s="413"/>
      <c r="EWA20" s="413"/>
      <c r="EWB20" s="413"/>
      <c r="EWC20" s="413"/>
      <c r="EWD20" s="413"/>
      <c r="EWE20" s="413"/>
      <c r="EWF20" s="413"/>
      <c r="EWG20" s="413"/>
      <c r="EWH20" s="413"/>
      <c r="EWI20" s="413"/>
      <c r="EWJ20" s="413"/>
      <c r="EWK20" s="413"/>
      <c r="EWL20" s="413"/>
      <c r="EWM20" s="413"/>
      <c r="EWN20" s="413"/>
      <c r="EWO20" s="413"/>
      <c r="EWP20" s="413"/>
      <c r="EWQ20" s="413"/>
      <c r="EWR20" s="413"/>
      <c r="EWS20" s="413"/>
      <c r="EWT20" s="413"/>
      <c r="EWU20" s="413"/>
      <c r="EWV20" s="413"/>
      <c r="EWW20" s="413"/>
      <c r="EWX20" s="413"/>
      <c r="EWY20" s="413"/>
      <c r="EWZ20" s="413"/>
      <c r="EXA20" s="413"/>
      <c r="EXB20" s="413"/>
      <c r="EXC20" s="413"/>
      <c r="EXD20" s="413"/>
      <c r="EXE20" s="413"/>
      <c r="EXF20" s="413"/>
      <c r="EXG20" s="413"/>
      <c r="EXH20" s="413"/>
      <c r="EXI20" s="413"/>
      <c r="EXJ20" s="413"/>
      <c r="EXK20" s="413"/>
      <c r="EXL20" s="413"/>
      <c r="EXM20" s="413"/>
      <c r="EXN20" s="413"/>
      <c r="EXO20" s="413"/>
      <c r="EXP20" s="413"/>
      <c r="EXQ20" s="413"/>
      <c r="EXR20" s="413"/>
      <c r="EXS20" s="413"/>
      <c r="EXT20" s="413"/>
      <c r="EXU20" s="413"/>
      <c r="EXV20" s="413"/>
      <c r="EXW20" s="413"/>
      <c r="EXX20" s="413"/>
      <c r="EXY20" s="413"/>
      <c r="EXZ20" s="413"/>
      <c r="EYA20" s="413"/>
      <c r="EYB20" s="413"/>
      <c r="EYC20" s="413"/>
      <c r="EYD20" s="413"/>
      <c r="EYE20" s="413"/>
      <c r="EYF20" s="413"/>
      <c r="EYG20" s="413"/>
      <c r="EYH20" s="413"/>
      <c r="EYI20" s="413"/>
      <c r="EYJ20" s="413"/>
      <c r="EYK20" s="413"/>
      <c r="EYL20" s="413"/>
      <c r="EYM20" s="413"/>
      <c r="EYN20" s="413"/>
      <c r="EYO20" s="413"/>
      <c r="EYP20" s="413"/>
      <c r="EYQ20" s="413"/>
      <c r="EYR20" s="413"/>
      <c r="EYS20" s="413"/>
      <c r="EYT20" s="413"/>
      <c r="EYU20" s="413"/>
      <c r="EYV20" s="413"/>
      <c r="EYW20" s="413"/>
      <c r="EYX20" s="413"/>
      <c r="EYY20" s="413"/>
      <c r="EYZ20" s="413"/>
      <c r="EZA20" s="413"/>
      <c r="EZB20" s="413"/>
      <c r="EZC20" s="413"/>
      <c r="EZD20" s="413"/>
      <c r="EZE20" s="413"/>
      <c r="EZF20" s="413"/>
      <c r="EZG20" s="413"/>
      <c r="EZH20" s="413"/>
      <c r="EZI20" s="413"/>
      <c r="EZJ20" s="413"/>
      <c r="EZK20" s="413"/>
      <c r="EZL20" s="413"/>
      <c r="EZM20" s="413"/>
      <c r="EZN20" s="413"/>
      <c r="EZO20" s="413"/>
      <c r="EZP20" s="413"/>
      <c r="EZQ20" s="413"/>
      <c r="EZR20" s="413"/>
      <c r="EZS20" s="413"/>
      <c r="EZT20" s="413"/>
      <c r="EZU20" s="413"/>
      <c r="EZV20" s="413"/>
      <c r="EZW20" s="413"/>
      <c r="EZX20" s="413"/>
      <c r="EZY20" s="413"/>
      <c r="EZZ20" s="413"/>
      <c r="FAA20" s="413"/>
      <c r="FAB20" s="413"/>
      <c r="FAC20" s="413"/>
      <c r="FAD20" s="413"/>
      <c r="FAE20" s="413"/>
      <c r="FAF20" s="413"/>
      <c r="FAG20" s="413"/>
      <c r="FAH20" s="413"/>
      <c r="FAI20" s="413"/>
      <c r="FAJ20" s="413"/>
      <c r="FAK20" s="413"/>
      <c r="FAL20" s="413"/>
      <c r="FAM20" s="413"/>
      <c r="FAN20" s="413"/>
      <c r="FAO20" s="413"/>
      <c r="FAP20" s="413"/>
      <c r="FAQ20" s="413"/>
      <c r="FAR20" s="413"/>
      <c r="FAS20" s="413"/>
      <c r="FAT20" s="413"/>
      <c r="FAU20" s="413"/>
      <c r="FAV20" s="413"/>
      <c r="FAW20" s="413"/>
      <c r="FAX20" s="413"/>
      <c r="FAY20" s="413"/>
      <c r="FAZ20" s="413"/>
      <c r="FBA20" s="413"/>
      <c r="FBB20" s="413"/>
      <c r="FBC20" s="413"/>
      <c r="FBD20" s="413"/>
      <c r="FBE20" s="413"/>
      <c r="FBF20" s="413"/>
      <c r="FBG20" s="413"/>
      <c r="FBH20" s="413"/>
      <c r="FBI20" s="413"/>
      <c r="FBJ20" s="413"/>
      <c r="FBK20" s="413"/>
      <c r="FBL20" s="413"/>
      <c r="FBM20" s="413"/>
      <c r="FBN20" s="413"/>
      <c r="FBO20" s="413"/>
      <c r="FBP20" s="413"/>
      <c r="FBQ20" s="413"/>
      <c r="FBR20" s="413"/>
      <c r="FBS20" s="413"/>
      <c r="FBT20" s="413"/>
      <c r="FBU20" s="413"/>
      <c r="FBV20" s="413"/>
      <c r="FBW20" s="413"/>
      <c r="FBX20" s="413"/>
      <c r="FBY20" s="413"/>
      <c r="FBZ20" s="413"/>
      <c r="FCA20" s="413"/>
      <c r="FCB20" s="413"/>
      <c r="FCC20" s="413"/>
      <c r="FCD20" s="413"/>
      <c r="FCE20" s="413"/>
      <c r="FCF20" s="413"/>
      <c r="FCG20" s="413"/>
      <c r="FCH20" s="413"/>
      <c r="FCI20" s="413"/>
      <c r="FCJ20" s="413"/>
      <c r="FCK20" s="413"/>
      <c r="FCL20" s="413"/>
      <c r="FCM20" s="413"/>
      <c r="FCN20" s="413"/>
      <c r="FCO20" s="413"/>
      <c r="FCP20" s="413"/>
      <c r="FCQ20" s="413"/>
      <c r="FCR20" s="413"/>
      <c r="FCS20" s="413"/>
      <c r="FCT20" s="413"/>
      <c r="FCU20" s="413"/>
      <c r="FCV20" s="413"/>
      <c r="FCW20" s="413"/>
      <c r="FCX20" s="413"/>
      <c r="FCY20" s="413"/>
      <c r="FCZ20" s="413"/>
      <c r="FDA20" s="413"/>
      <c r="FDB20" s="413"/>
      <c r="FDC20" s="413"/>
      <c r="FDD20" s="413"/>
      <c r="FDE20" s="413"/>
      <c r="FDF20" s="413"/>
      <c r="FDG20" s="413"/>
      <c r="FDH20" s="413"/>
      <c r="FDI20" s="413"/>
      <c r="FDJ20" s="413"/>
      <c r="FDK20" s="413"/>
      <c r="FDL20" s="413"/>
      <c r="FDM20" s="413"/>
      <c r="FDN20" s="413"/>
      <c r="FDO20" s="413"/>
      <c r="FDP20" s="413"/>
      <c r="FDQ20" s="413"/>
      <c r="FDR20" s="413"/>
      <c r="FDS20" s="413"/>
      <c r="FDT20" s="413"/>
      <c r="FDU20" s="413"/>
      <c r="FDV20" s="413"/>
      <c r="FDW20" s="413"/>
      <c r="FDX20" s="413"/>
      <c r="FDY20" s="413"/>
      <c r="FDZ20" s="413"/>
      <c r="FEA20" s="413"/>
      <c r="FEB20" s="413"/>
      <c r="FEC20" s="413"/>
      <c r="FED20" s="413"/>
      <c r="FEE20" s="413"/>
      <c r="FEF20" s="413"/>
      <c r="FEG20" s="413"/>
      <c r="FEH20" s="413"/>
      <c r="FEI20" s="413"/>
      <c r="FEJ20" s="413"/>
      <c r="FEK20" s="413"/>
      <c r="FEL20" s="413"/>
      <c r="FEM20" s="413"/>
      <c r="FEN20" s="413"/>
      <c r="FEO20" s="413"/>
      <c r="FEP20" s="413"/>
      <c r="FEQ20" s="413"/>
      <c r="FER20" s="413"/>
      <c r="FES20" s="413"/>
      <c r="FET20" s="413"/>
      <c r="FEU20" s="413"/>
      <c r="FEV20" s="413"/>
      <c r="FEW20" s="413"/>
      <c r="FEX20" s="413"/>
      <c r="FEY20" s="413"/>
      <c r="FEZ20" s="413"/>
      <c r="FFA20" s="413"/>
      <c r="FFB20" s="413"/>
      <c r="FFC20" s="413"/>
      <c r="FFD20" s="413"/>
      <c r="FFE20" s="413"/>
      <c r="FFF20" s="413"/>
      <c r="FFG20" s="413"/>
      <c r="FFH20" s="413"/>
      <c r="FFI20" s="413"/>
      <c r="FFJ20" s="413"/>
      <c r="FFK20" s="413"/>
      <c r="FFL20" s="413"/>
      <c r="FFM20" s="413"/>
      <c r="FFN20" s="413"/>
      <c r="FFO20" s="413"/>
      <c r="FFP20" s="413"/>
      <c r="FFQ20" s="413"/>
      <c r="FFR20" s="413"/>
      <c r="FFS20" s="413"/>
      <c r="FFT20" s="413"/>
      <c r="FFU20" s="413"/>
      <c r="FFV20" s="413"/>
      <c r="FFW20" s="413"/>
      <c r="FFX20" s="413"/>
      <c r="FFY20" s="413"/>
      <c r="FFZ20" s="413"/>
      <c r="FGA20" s="413"/>
      <c r="FGB20" s="413"/>
      <c r="FGC20" s="413"/>
      <c r="FGD20" s="413"/>
      <c r="FGE20" s="413"/>
      <c r="FGF20" s="413"/>
      <c r="FGG20" s="413"/>
      <c r="FGH20" s="413"/>
      <c r="FGI20" s="413"/>
      <c r="FGJ20" s="413"/>
      <c r="FGK20" s="413"/>
      <c r="FGL20" s="413"/>
      <c r="FGM20" s="413"/>
      <c r="FGN20" s="413"/>
      <c r="FGO20" s="413"/>
      <c r="FGP20" s="413"/>
      <c r="FGQ20" s="413"/>
      <c r="FGR20" s="413"/>
      <c r="FGS20" s="413"/>
      <c r="FGT20" s="413"/>
      <c r="FGU20" s="413"/>
      <c r="FGV20" s="413"/>
      <c r="FGW20" s="413"/>
      <c r="FGX20" s="413"/>
      <c r="FGY20" s="413"/>
      <c r="FGZ20" s="413"/>
      <c r="FHA20" s="413"/>
      <c r="FHB20" s="413"/>
      <c r="FHC20" s="413"/>
      <c r="FHD20" s="413"/>
      <c r="FHE20" s="413"/>
      <c r="FHF20" s="413"/>
      <c r="FHG20" s="413"/>
      <c r="FHH20" s="413"/>
      <c r="FHI20" s="413"/>
      <c r="FHJ20" s="413"/>
      <c r="FHK20" s="413"/>
      <c r="FHL20" s="413"/>
      <c r="FHM20" s="413"/>
      <c r="FHN20" s="413"/>
      <c r="FHO20" s="413"/>
      <c r="FHP20" s="413"/>
      <c r="FHQ20" s="413"/>
      <c r="FHR20" s="413"/>
      <c r="FHS20" s="413"/>
      <c r="FHT20" s="413"/>
      <c r="FHU20" s="413"/>
      <c r="FHV20" s="413"/>
      <c r="FHW20" s="413"/>
      <c r="FHX20" s="413"/>
      <c r="FHY20" s="413"/>
      <c r="FHZ20" s="413"/>
      <c r="FIA20" s="413"/>
      <c r="FIB20" s="413"/>
      <c r="FIC20" s="413"/>
      <c r="FID20" s="413"/>
      <c r="FIE20" s="413"/>
      <c r="FIF20" s="413"/>
      <c r="FIG20" s="413"/>
      <c r="FIH20" s="413"/>
      <c r="FII20" s="413"/>
      <c r="FIJ20" s="413"/>
      <c r="FIK20" s="413"/>
      <c r="FIL20" s="413"/>
      <c r="FIM20" s="413"/>
      <c r="FIN20" s="413"/>
      <c r="FIO20" s="413"/>
      <c r="FIP20" s="413"/>
      <c r="FIQ20" s="413"/>
      <c r="FIR20" s="413"/>
      <c r="FIS20" s="413"/>
      <c r="FIT20" s="413"/>
      <c r="FIU20" s="413"/>
      <c r="FIV20" s="413"/>
      <c r="FIW20" s="413"/>
      <c r="FIX20" s="413"/>
      <c r="FIY20" s="413"/>
      <c r="FIZ20" s="413"/>
      <c r="FJA20" s="413"/>
      <c r="FJB20" s="413"/>
      <c r="FJC20" s="413"/>
      <c r="FJD20" s="413"/>
      <c r="FJE20" s="413"/>
      <c r="FJF20" s="413"/>
      <c r="FJG20" s="413"/>
      <c r="FJH20" s="413"/>
      <c r="FJI20" s="413"/>
      <c r="FJJ20" s="413"/>
      <c r="FJK20" s="413"/>
      <c r="FJL20" s="413"/>
      <c r="FJM20" s="413"/>
      <c r="FJN20" s="413"/>
      <c r="FJO20" s="413"/>
      <c r="FJP20" s="413"/>
      <c r="FJQ20" s="413"/>
      <c r="FJR20" s="413"/>
      <c r="FJS20" s="413"/>
      <c r="FJT20" s="413"/>
      <c r="FJU20" s="413"/>
      <c r="FJV20" s="413"/>
      <c r="FJW20" s="413"/>
      <c r="FJX20" s="413"/>
      <c r="FJY20" s="413"/>
      <c r="FJZ20" s="413"/>
      <c r="FKA20" s="413"/>
      <c r="FKB20" s="413"/>
      <c r="FKC20" s="413"/>
      <c r="FKD20" s="413"/>
      <c r="FKE20" s="413"/>
      <c r="FKF20" s="413"/>
      <c r="FKG20" s="413"/>
      <c r="FKH20" s="413"/>
      <c r="FKI20" s="413"/>
      <c r="FKJ20" s="413"/>
      <c r="FKK20" s="413"/>
      <c r="FKL20" s="413"/>
      <c r="FKM20" s="413"/>
      <c r="FKN20" s="413"/>
      <c r="FKO20" s="413"/>
      <c r="FKP20" s="413"/>
      <c r="FKQ20" s="413"/>
      <c r="FKR20" s="413"/>
      <c r="FKS20" s="413"/>
      <c r="FKT20" s="413"/>
      <c r="FKU20" s="413"/>
      <c r="FKV20" s="413"/>
      <c r="FKW20" s="413"/>
      <c r="FKX20" s="413"/>
      <c r="FKY20" s="413"/>
      <c r="FKZ20" s="413"/>
      <c r="FLA20" s="413"/>
      <c r="FLB20" s="413"/>
      <c r="FLC20" s="413"/>
      <c r="FLD20" s="413"/>
      <c r="FLE20" s="413"/>
      <c r="FLF20" s="413"/>
      <c r="FLG20" s="413"/>
      <c r="FLH20" s="413"/>
      <c r="FLI20" s="413"/>
      <c r="FLJ20" s="413"/>
      <c r="FLK20" s="413"/>
      <c r="FLL20" s="413"/>
      <c r="FLM20" s="413"/>
      <c r="FLN20" s="413"/>
      <c r="FLO20" s="413"/>
      <c r="FLP20" s="413"/>
      <c r="FLQ20" s="413"/>
      <c r="FLR20" s="413"/>
      <c r="FLS20" s="413"/>
      <c r="FLT20" s="413"/>
      <c r="FLU20" s="413"/>
      <c r="FLV20" s="413"/>
      <c r="FLW20" s="413"/>
      <c r="FLX20" s="413"/>
      <c r="FLY20" s="413"/>
      <c r="FLZ20" s="413"/>
      <c r="FMA20" s="413"/>
      <c r="FMB20" s="413"/>
      <c r="FMC20" s="413"/>
      <c r="FMD20" s="413"/>
      <c r="FME20" s="413"/>
      <c r="FMF20" s="413"/>
      <c r="FMG20" s="413"/>
      <c r="FMH20" s="413"/>
      <c r="FMI20" s="413"/>
      <c r="FMJ20" s="413"/>
      <c r="FMK20" s="413"/>
      <c r="FML20" s="413"/>
      <c r="FMM20" s="413"/>
      <c r="FMN20" s="413"/>
      <c r="FMO20" s="413"/>
      <c r="FMP20" s="413"/>
      <c r="FMQ20" s="413"/>
      <c r="FMR20" s="413"/>
      <c r="FMS20" s="413"/>
      <c r="FMT20" s="413"/>
      <c r="FMU20" s="413"/>
      <c r="FMV20" s="413"/>
      <c r="FMW20" s="413"/>
      <c r="FMX20" s="413"/>
      <c r="FMY20" s="413"/>
      <c r="FMZ20" s="413"/>
      <c r="FNA20" s="413"/>
      <c r="FNB20" s="413"/>
      <c r="FNC20" s="413"/>
      <c r="FND20" s="413"/>
      <c r="FNE20" s="413"/>
      <c r="FNF20" s="413"/>
      <c r="FNG20" s="413"/>
      <c r="FNH20" s="413"/>
      <c r="FNI20" s="413"/>
      <c r="FNJ20" s="413"/>
      <c r="FNK20" s="413"/>
      <c r="FNL20" s="413"/>
      <c r="FNM20" s="413"/>
      <c r="FNN20" s="413"/>
      <c r="FNO20" s="413"/>
      <c r="FNP20" s="413"/>
      <c r="FNQ20" s="413"/>
      <c r="FNR20" s="413"/>
      <c r="FNS20" s="413"/>
      <c r="FNT20" s="413"/>
      <c r="FNU20" s="413"/>
      <c r="FNV20" s="413"/>
      <c r="FNW20" s="413"/>
      <c r="FNX20" s="413"/>
      <c r="FNY20" s="413"/>
      <c r="FNZ20" s="413"/>
      <c r="FOA20" s="413"/>
      <c r="FOB20" s="413"/>
      <c r="FOC20" s="413"/>
      <c r="FOD20" s="413"/>
      <c r="FOE20" s="413"/>
      <c r="FOF20" s="413"/>
      <c r="FOG20" s="413"/>
      <c r="FOH20" s="413"/>
      <c r="FOI20" s="413"/>
      <c r="FOJ20" s="413"/>
      <c r="FOK20" s="413"/>
      <c r="FOL20" s="413"/>
      <c r="FOM20" s="413"/>
      <c r="FON20" s="413"/>
      <c r="FOO20" s="413"/>
      <c r="FOP20" s="413"/>
      <c r="FOQ20" s="413"/>
      <c r="FOR20" s="413"/>
      <c r="FOS20" s="413"/>
      <c r="FOT20" s="413"/>
      <c r="FOU20" s="413"/>
      <c r="FOV20" s="413"/>
      <c r="FOW20" s="413"/>
      <c r="FOX20" s="413"/>
      <c r="FOY20" s="413"/>
      <c r="FOZ20" s="413"/>
      <c r="FPA20" s="413"/>
      <c r="FPB20" s="413"/>
      <c r="FPC20" s="413"/>
      <c r="FPD20" s="413"/>
      <c r="FPE20" s="413"/>
      <c r="FPF20" s="413"/>
      <c r="FPG20" s="413"/>
      <c r="FPH20" s="413"/>
      <c r="FPI20" s="413"/>
      <c r="FPJ20" s="413"/>
      <c r="FPK20" s="413"/>
      <c r="FPL20" s="413"/>
      <c r="FPM20" s="413"/>
      <c r="FPN20" s="413"/>
      <c r="FPO20" s="413"/>
      <c r="FPP20" s="413"/>
      <c r="FPQ20" s="413"/>
      <c r="FPR20" s="413"/>
      <c r="FPS20" s="413"/>
      <c r="FPT20" s="413"/>
      <c r="FPU20" s="413"/>
      <c r="FPV20" s="413"/>
      <c r="FPW20" s="413"/>
      <c r="FPX20" s="413"/>
      <c r="FPY20" s="413"/>
      <c r="FPZ20" s="413"/>
      <c r="FQA20" s="413"/>
      <c r="FQB20" s="413"/>
      <c r="FQC20" s="413"/>
      <c r="FQD20" s="413"/>
      <c r="FQE20" s="413"/>
      <c r="FQF20" s="413"/>
      <c r="FQG20" s="413"/>
      <c r="FQH20" s="413"/>
      <c r="FQI20" s="413"/>
      <c r="FQJ20" s="413"/>
      <c r="FQK20" s="413"/>
      <c r="FQL20" s="413"/>
      <c r="FQM20" s="413"/>
      <c r="FQN20" s="413"/>
      <c r="FQO20" s="413"/>
      <c r="FQP20" s="413"/>
      <c r="FQQ20" s="413"/>
      <c r="FQR20" s="413"/>
      <c r="FQS20" s="413"/>
      <c r="FQT20" s="413"/>
      <c r="FQU20" s="413"/>
      <c r="FQV20" s="413"/>
      <c r="FQW20" s="413"/>
      <c r="FQX20" s="413"/>
      <c r="FQY20" s="413"/>
      <c r="FQZ20" s="413"/>
      <c r="FRA20" s="413"/>
      <c r="FRB20" s="413"/>
      <c r="FRC20" s="413"/>
      <c r="FRD20" s="413"/>
      <c r="FRE20" s="413"/>
      <c r="FRF20" s="413"/>
      <c r="FRG20" s="413"/>
      <c r="FRH20" s="413"/>
      <c r="FRI20" s="413"/>
      <c r="FRJ20" s="413"/>
      <c r="FRK20" s="413"/>
      <c r="FRL20" s="413"/>
      <c r="FRM20" s="413"/>
      <c r="FRN20" s="413"/>
      <c r="FRO20" s="413"/>
      <c r="FRP20" s="413"/>
      <c r="FRQ20" s="413"/>
      <c r="FRR20" s="413"/>
      <c r="FRS20" s="413"/>
      <c r="FRT20" s="413"/>
      <c r="FRU20" s="413"/>
      <c r="FRV20" s="413"/>
      <c r="FRW20" s="413"/>
      <c r="FRX20" s="413"/>
      <c r="FRY20" s="413"/>
      <c r="FRZ20" s="413"/>
      <c r="FSA20" s="413"/>
      <c r="FSB20" s="413"/>
      <c r="FSC20" s="413"/>
      <c r="FSD20" s="413"/>
      <c r="FSE20" s="413"/>
      <c r="FSF20" s="413"/>
      <c r="FSG20" s="413"/>
      <c r="FSH20" s="413"/>
      <c r="FSI20" s="413"/>
      <c r="FSJ20" s="413"/>
      <c r="FSK20" s="413"/>
      <c r="FSL20" s="413"/>
      <c r="FSM20" s="413"/>
      <c r="FSN20" s="413"/>
      <c r="FSO20" s="413"/>
      <c r="FSP20" s="413"/>
      <c r="FSQ20" s="413"/>
      <c r="FSR20" s="413"/>
      <c r="FSS20" s="413"/>
      <c r="FST20" s="413"/>
      <c r="FSU20" s="413"/>
      <c r="FSV20" s="413"/>
      <c r="FSW20" s="413"/>
      <c r="FSX20" s="413"/>
      <c r="FSY20" s="413"/>
      <c r="FSZ20" s="413"/>
      <c r="FTA20" s="413"/>
      <c r="FTB20" s="413"/>
      <c r="FTC20" s="413"/>
      <c r="FTD20" s="413"/>
      <c r="FTE20" s="413"/>
      <c r="FTF20" s="413"/>
      <c r="FTG20" s="413"/>
      <c r="FTH20" s="413"/>
      <c r="FTI20" s="413"/>
      <c r="FTJ20" s="413"/>
      <c r="FTK20" s="413"/>
      <c r="FTL20" s="413"/>
      <c r="FTM20" s="413"/>
      <c r="FTN20" s="413"/>
      <c r="FTO20" s="413"/>
      <c r="FTP20" s="413"/>
      <c r="FTQ20" s="413"/>
      <c r="FTR20" s="413"/>
      <c r="FTS20" s="413"/>
      <c r="FTT20" s="413"/>
      <c r="FTU20" s="413"/>
      <c r="FTV20" s="413"/>
      <c r="FTW20" s="413"/>
      <c r="FTX20" s="413"/>
      <c r="FTY20" s="413"/>
      <c r="FTZ20" s="413"/>
      <c r="FUA20" s="413"/>
      <c r="FUB20" s="413"/>
      <c r="FUC20" s="413"/>
      <c r="FUD20" s="413"/>
      <c r="FUE20" s="413"/>
      <c r="FUF20" s="413"/>
      <c r="FUG20" s="413"/>
      <c r="FUH20" s="413"/>
      <c r="FUI20" s="413"/>
      <c r="FUJ20" s="413"/>
      <c r="FUK20" s="413"/>
      <c r="FUL20" s="413"/>
      <c r="FUM20" s="413"/>
      <c r="FUN20" s="413"/>
      <c r="FUO20" s="413"/>
      <c r="FUP20" s="413"/>
      <c r="FUQ20" s="413"/>
      <c r="FUR20" s="413"/>
      <c r="FUS20" s="413"/>
      <c r="FUT20" s="413"/>
      <c r="FUU20" s="413"/>
      <c r="FUV20" s="413"/>
      <c r="FUW20" s="413"/>
      <c r="FUX20" s="413"/>
      <c r="FUY20" s="413"/>
      <c r="FUZ20" s="413"/>
      <c r="FVA20" s="413"/>
      <c r="FVB20" s="413"/>
      <c r="FVC20" s="413"/>
      <c r="FVD20" s="413"/>
      <c r="FVE20" s="413"/>
      <c r="FVF20" s="413"/>
      <c r="FVG20" s="413"/>
      <c r="FVH20" s="413"/>
      <c r="FVI20" s="413"/>
      <c r="FVJ20" s="413"/>
      <c r="FVK20" s="413"/>
      <c r="FVL20" s="413"/>
      <c r="FVM20" s="413"/>
      <c r="FVN20" s="413"/>
      <c r="FVO20" s="413"/>
      <c r="FVP20" s="413"/>
      <c r="FVQ20" s="413"/>
      <c r="FVR20" s="413"/>
      <c r="FVS20" s="413"/>
      <c r="FVT20" s="413"/>
      <c r="FVU20" s="413"/>
      <c r="FVV20" s="413"/>
      <c r="FVW20" s="413"/>
      <c r="FVX20" s="413"/>
      <c r="FVY20" s="413"/>
      <c r="FVZ20" s="413"/>
      <c r="FWA20" s="413"/>
      <c r="FWB20" s="413"/>
      <c r="FWC20" s="413"/>
      <c r="FWD20" s="413"/>
      <c r="FWE20" s="413"/>
      <c r="FWF20" s="413"/>
      <c r="FWG20" s="413"/>
      <c r="FWH20" s="413"/>
      <c r="FWI20" s="413"/>
      <c r="FWJ20" s="413"/>
      <c r="FWK20" s="413"/>
      <c r="FWL20" s="413"/>
      <c r="FWM20" s="413"/>
      <c r="FWN20" s="413"/>
      <c r="FWO20" s="413"/>
      <c r="FWP20" s="413"/>
      <c r="FWQ20" s="413"/>
      <c r="FWR20" s="413"/>
      <c r="FWS20" s="413"/>
      <c r="FWT20" s="413"/>
      <c r="FWU20" s="413"/>
      <c r="FWV20" s="413"/>
      <c r="FWW20" s="413"/>
      <c r="FWX20" s="413"/>
      <c r="FWY20" s="413"/>
      <c r="FWZ20" s="413"/>
      <c r="FXA20" s="413"/>
      <c r="FXB20" s="413"/>
      <c r="FXC20" s="413"/>
      <c r="FXD20" s="413"/>
      <c r="FXE20" s="413"/>
      <c r="FXF20" s="413"/>
      <c r="FXG20" s="413"/>
      <c r="FXH20" s="413"/>
      <c r="FXI20" s="413"/>
      <c r="FXJ20" s="413"/>
      <c r="FXK20" s="413"/>
      <c r="FXL20" s="413"/>
      <c r="FXM20" s="413"/>
      <c r="FXN20" s="413"/>
      <c r="FXO20" s="413"/>
      <c r="FXP20" s="413"/>
      <c r="FXQ20" s="413"/>
      <c r="FXR20" s="413"/>
      <c r="FXS20" s="413"/>
      <c r="FXT20" s="413"/>
      <c r="FXU20" s="413"/>
      <c r="FXV20" s="413"/>
      <c r="FXW20" s="413"/>
      <c r="FXX20" s="413"/>
      <c r="FXY20" s="413"/>
      <c r="FXZ20" s="413"/>
      <c r="FYA20" s="413"/>
      <c r="FYB20" s="413"/>
      <c r="FYC20" s="413"/>
      <c r="FYD20" s="413"/>
      <c r="FYE20" s="413"/>
      <c r="FYF20" s="413"/>
      <c r="FYG20" s="413"/>
      <c r="FYH20" s="413"/>
      <c r="FYI20" s="413"/>
      <c r="FYJ20" s="413"/>
      <c r="FYK20" s="413"/>
      <c r="FYL20" s="413"/>
      <c r="FYM20" s="413"/>
      <c r="FYN20" s="413"/>
      <c r="FYO20" s="413"/>
      <c r="FYP20" s="413"/>
      <c r="FYQ20" s="413"/>
      <c r="FYR20" s="413"/>
      <c r="FYS20" s="413"/>
      <c r="FYT20" s="413"/>
      <c r="FYU20" s="413"/>
      <c r="FYV20" s="413"/>
      <c r="FYW20" s="413"/>
      <c r="FYX20" s="413"/>
      <c r="FYY20" s="413"/>
      <c r="FYZ20" s="413"/>
      <c r="FZA20" s="413"/>
      <c r="FZB20" s="413"/>
      <c r="FZC20" s="413"/>
      <c r="FZD20" s="413"/>
      <c r="FZE20" s="413"/>
      <c r="FZF20" s="413"/>
      <c r="FZG20" s="413"/>
      <c r="FZH20" s="413"/>
      <c r="FZI20" s="413"/>
      <c r="FZJ20" s="413"/>
      <c r="FZK20" s="413"/>
      <c r="FZL20" s="413"/>
      <c r="FZM20" s="413"/>
      <c r="FZN20" s="413"/>
      <c r="FZO20" s="413"/>
      <c r="FZP20" s="413"/>
      <c r="FZQ20" s="413"/>
      <c r="FZR20" s="413"/>
      <c r="FZS20" s="413"/>
      <c r="FZT20" s="413"/>
      <c r="FZU20" s="413"/>
      <c r="FZV20" s="413"/>
      <c r="FZW20" s="413"/>
      <c r="FZX20" s="413"/>
      <c r="FZY20" s="413"/>
      <c r="FZZ20" s="413"/>
      <c r="GAA20" s="413"/>
      <c r="GAB20" s="413"/>
      <c r="GAC20" s="413"/>
      <c r="GAD20" s="413"/>
      <c r="GAE20" s="413"/>
      <c r="GAF20" s="413"/>
      <c r="GAG20" s="413"/>
      <c r="GAH20" s="413"/>
      <c r="GAI20" s="413"/>
      <c r="GAJ20" s="413"/>
      <c r="GAK20" s="413"/>
      <c r="GAL20" s="413"/>
      <c r="GAM20" s="413"/>
      <c r="GAN20" s="413"/>
      <c r="GAO20" s="413"/>
      <c r="GAP20" s="413"/>
      <c r="GAQ20" s="413"/>
      <c r="GAR20" s="413"/>
      <c r="GAS20" s="413"/>
      <c r="GAT20" s="413"/>
      <c r="GAU20" s="413"/>
      <c r="GAV20" s="413"/>
      <c r="GAW20" s="413"/>
      <c r="GAX20" s="413"/>
      <c r="GAY20" s="413"/>
      <c r="GAZ20" s="413"/>
      <c r="GBA20" s="413"/>
      <c r="GBB20" s="413"/>
      <c r="GBC20" s="413"/>
      <c r="GBD20" s="413"/>
      <c r="GBE20" s="413"/>
      <c r="GBF20" s="413"/>
      <c r="GBG20" s="413"/>
      <c r="GBH20" s="413"/>
      <c r="GBI20" s="413"/>
      <c r="GBJ20" s="413"/>
      <c r="GBK20" s="413"/>
      <c r="GBL20" s="413"/>
      <c r="GBM20" s="413"/>
      <c r="GBN20" s="413"/>
      <c r="GBO20" s="413"/>
      <c r="GBP20" s="413"/>
      <c r="GBQ20" s="413"/>
      <c r="GBR20" s="413"/>
      <c r="GBS20" s="413"/>
      <c r="GBT20" s="413"/>
      <c r="GBU20" s="413"/>
      <c r="GBV20" s="413"/>
      <c r="GBW20" s="413"/>
      <c r="GBX20" s="413"/>
      <c r="GBY20" s="413"/>
      <c r="GBZ20" s="413"/>
      <c r="GCA20" s="413"/>
      <c r="GCB20" s="413"/>
      <c r="GCC20" s="413"/>
      <c r="GCD20" s="413"/>
      <c r="GCE20" s="413"/>
      <c r="GCF20" s="413"/>
      <c r="GCG20" s="413"/>
      <c r="GCH20" s="413"/>
      <c r="GCI20" s="413"/>
      <c r="GCJ20" s="413"/>
      <c r="GCK20" s="413"/>
      <c r="GCL20" s="413"/>
      <c r="GCM20" s="413"/>
      <c r="GCN20" s="413"/>
      <c r="GCO20" s="413"/>
      <c r="GCP20" s="413"/>
      <c r="GCQ20" s="413"/>
      <c r="GCR20" s="413"/>
      <c r="GCS20" s="413"/>
      <c r="GCT20" s="413"/>
      <c r="GCU20" s="413"/>
      <c r="GCV20" s="413"/>
      <c r="GCW20" s="413"/>
      <c r="GCX20" s="413"/>
      <c r="GCY20" s="413"/>
      <c r="GCZ20" s="413"/>
      <c r="GDA20" s="413"/>
      <c r="GDB20" s="413"/>
      <c r="GDC20" s="413"/>
      <c r="GDD20" s="413"/>
      <c r="GDE20" s="413"/>
      <c r="GDF20" s="413"/>
      <c r="GDG20" s="413"/>
      <c r="GDH20" s="413"/>
      <c r="GDI20" s="413"/>
      <c r="GDJ20" s="413"/>
      <c r="GDK20" s="413"/>
      <c r="GDL20" s="413"/>
      <c r="GDM20" s="413"/>
      <c r="GDN20" s="413"/>
      <c r="GDO20" s="413"/>
      <c r="GDP20" s="413"/>
      <c r="GDQ20" s="413"/>
      <c r="GDR20" s="413"/>
      <c r="GDS20" s="413"/>
      <c r="GDT20" s="413"/>
      <c r="GDU20" s="413"/>
      <c r="GDV20" s="413"/>
      <c r="GDW20" s="413"/>
      <c r="GDX20" s="413"/>
      <c r="GDY20" s="413"/>
      <c r="GDZ20" s="413"/>
      <c r="GEA20" s="413"/>
      <c r="GEB20" s="413"/>
      <c r="GEC20" s="413"/>
      <c r="GED20" s="413"/>
      <c r="GEE20" s="413"/>
      <c r="GEF20" s="413"/>
      <c r="GEG20" s="413"/>
      <c r="GEH20" s="413"/>
      <c r="GEI20" s="413"/>
      <c r="GEJ20" s="413"/>
      <c r="GEK20" s="413"/>
      <c r="GEL20" s="413"/>
      <c r="GEM20" s="413"/>
      <c r="GEN20" s="413"/>
      <c r="GEO20" s="413"/>
      <c r="GEP20" s="413"/>
      <c r="GEQ20" s="413"/>
      <c r="GER20" s="413"/>
      <c r="GES20" s="413"/>
      <c r="GET20" s="413"/>
      <c r="GEU20" s="413"/>
      <c r="GEV20" s="413"/>
      <c r="GEW20" s="413"/>
      <c r="GEX20" s="413"/>
      <c r="GEY20" s="413"/>
      <c r="GEZ20" s="413"/>
      <c r="GFA20" s="413"/>
      <c r="GFB20" s="413"/>
      <c r="GFC20" s="413"/>
      <c r="GFD20" s="413"/>
      <c r="GFE20" s="413"/>
      <c r="GFF20" s="413"/>
      <c r="GFG20" s="413"/>
      <c r="GFH20" s="413"/>
      <c r="GFI20" s="413"/>
      <c r="GFJ20" s="413"/>
      <c r="GFK20" s="413"/>
      <c r="GFL20" s="413"/>
      <c r="GFM20" s="413"/>
      <c r="GFN20" s="413"/>
      <c r="GFO20" s="413"/>
      <c r="GFP20" s="413"/>
      <c r="GFQ20" s="413"/>
      <c r="GFR20" s="413"/>
      <c r="GFS20" s="413"/>
      <c r="GFT20" s="413"/>
      <c r="GFU20" s="413"/>
      <c r="GFV20" s="413"/>
      <c r="GFW20" s="413"/>
      <c r="GFX20" s="413"/>
      <c r="GFY20" s="413"/>
      <c r="GFZ20" s="413"/>
      <c r="GGA20" s="413"/>
      <c r="GGB20" s="413"/>
      <c r="GGC20" s="413"/>
      <c r="GGD20" s="413"/>
      <c r="GGE20" s="413"/>
      <c r="GGF20" s="413"/>
      <c r="GGG20" s="413"/>
      <c r="GGH20" s="413"/>
      <c r="GGI20" s="413"/>
      <c r="GGJ20" s="413"/>
      <c r="GGK20" s="413"/>
      <c r="GGL20" s="413"/>
      <c r="GGM20" s="413"/>
      <c r="GGN20" s="413"/>
      <c r="GGO20" s="413"/>
      <c r="GGP20" s="413"/>
      <c r="GGQ20" s="413"/>
      <c r="GGR20" s="413"/>
      <c r="GGS20" s="413"/>
      <c r="GGT20" s="413"/>
      <c r="GGU20" s="413"/>
      <c r="GGV20" s="413"/>
      <c r="GGW20" s="413"/>
      <c r="GGX20" s="413"/>
      <c r="GGY20" s="413"/>
      <c r="GGZ20" s="413"/>
      <c r="GHA20" s="413"/>
      <c r="GHB20" s="413"/>
      <c r="GHC20" s="413"/>
      <c r="GHD20" s="413"/>
      <c r="GHE20" s="413"/>
      <c r="GHF20" s="413"/>
      <c r="GHG20" s="413"/>
      <c r="GHH20" s="413"/>
      <c r="GHI20" s="413"/>
      <c r="GHJ20" s="413"/>
      <c r="GHK20" s="413"/>
      <c r="GHL20" s="413"/>
      <c r="GHM20" s="413"/>
      <c r="GHN20" s="413"/>
      <c r="GHO20" s="413"/>
      <c r="GHP20" s="413"/>
      <c r="GHQ20" s="413"/>
      <c r="GHR20" s="413"/>
      <c r="GHS20" s="413"/>
      <c r="GHT20" s="413"/>
      <c r="GHU20" s="413"/>
      <c r="GHV20" s="413"/>
      <c r="GHW20" s="413"/>
      <c r="GHX20" s="413"/>
      <c r="GHY20" s="413"/>
      <c r="GHZ20" s="413"/>
      <c r="GIA20" s="413"/>
      <c r="GIB20" s="413"/>
      <c r="GIC20" s="413"/>
      <c r="GID20" s="413"/>
      <c r="GIE20" s="413"/>
      <c r="GIF20" s="413"/>
      <c r="GIG20" s="413"/>
      <c r="GIH20" s="413"/>
      <c r="GII20" s="413"/>
      <c r="GIJ20" s="413"/>
      <c r="GIK20" s="413"/>
      <c r="GIL20" s="413"/>
      <c r="GIM20" s="413"/>
      <c r="GIN20" s="413"/>
      <c r="GIO20" s="413"/>
      <c r="GIP20" s="413"/>
      <c r="GIQ20" s="413"/>
      <c r="GIR20" s="413"/>
      <c r="GIS20" s="413"/>
      <c r="GIT20" s="413"/>
      <c r="GIU20" s="413"/>
      <c r="GIV20" s="413"/>
      <c r="GIW20" s="413"/>
      <c r="GIX20" s="413"/>
      <c r="GIY20" s="413"/>
      <c r="GIZ20" s="413"/>
      <c r="GJA20" s="413"/>
      <c r="GJB20" s="413"/>
      <c r="GJC20" s="413"/>
      <c r="GJD20" s="413"/>
      <c r="GJE20" s="413"/>
      <c r="GJF20" s="413"/>
      <c r="GJG20" s="413"/>
      <c r="GJH20" s="413"/>
      <c r="GJI20" s="413"/>
      <c r="GJJ20" s="413"/>
      <c r="GJK20" s="413"/>
      <c r="GJL20" s="413"/>
      <c r="GJM20" s="413"/>
      <c r="GJN20" s="413"/>
      <c r="GJO20" s="413"/>
      <c r="GJP20" s="413"/>
      <c r="GJQ20" s="413"/>
      <c r="GJR20" s="413"/>
      <c r="GJS20" s="413"/>
      <c r="GJT20" s="413"/>
      <c r="GJU20" s="413"/>
      <c r="GJV20" s="413"/>
      <c r="GJW20" s="413"/>
      <c r="GJX20" s="413"/>
      <c r="GJY20" s="413"/>
      <c r="GJZ20" s="413"/>
      <c r="GKA20" s="413"/>
      <c r="GKB20" s="413"/>
      <c r="GKC20" s="413"/>
      <c r="GKD20" s="413"/>
      <c r="GKE20" s="413"/>
      <c r="GKF20" s="413"/>
      <c r="GKG20" s="413"/>
      <c r="GKH20" s="413"/>
      <c r="GKI20" s="413"/>
      <c r="GKJ20" s="413"/>
      <c r="GKK20" s="413"/>
      <c r="GKL20" s="413"/>
      <c r="GKM20" s="413"/>
      <c r="GKN20" s="413"/>
      <c r="GKO20" s="413"/>
      <c r="GKP20" s="413"/>
      <c r="GKQ20" s="413"/>
      <c r="GKR20" s="413"/>
      <c r="GKS20" s="413"/>
      <c r="GKT20" s="413"/>
      <c r="GKU20" s="413"/>
      <c r="GKV20" s="413"/>
      <c r="GKW20" s="413"/>
      <c r="GKX20" s="413"/>
      <c r="GKY20" s="413"/>
      <c r="GKZ20" s="413"/>
      <c r="GLA20" s="413"/>
      <c r="GLB20" s="413"/>
      <c r="GLC20" s="413"/>
      <c r="GLD20" s="413"/>
      <c r="GLE20" s="413"/>
      <c r="GLF20" s="413"/>
      <c r="GLG20" s="413"/>
      <c r="GLH20" s="413"/>
      <c r="GLI20" s="413"/>
      <c r="GLJ20" s="413"/>
      <c r="GLK20" s="413"/>
      <c r="GLL20" s="413"/>
      <c r="GLM20" s="413"/>
      <c r="GLN20" s="413"/>
      <c r="GLO20" s="413"/>
      <c r="GLP20" s="413"/>
      <c r="GLQ20" s="413"/>
      <c r="GLR20" s="413"/>
      <c r="GLS20" s="413"/>
      <c r="GLT20" s="413"/>
      <c r="GLU20" s="413"/>
      <c r="GLV20" s="413"/>
      <c r="GLW20" s="413"/>
      <c r="GLX20" s="413"/>
      <c r="GLY20" s="413"/>
      <c r="GLZ20" s="413"/>
      <c r="GMA20" s="413"/>
      <c r="GMB20" s="413"/>
      <c r="GMC20" s="413"/>
      <c r="GMD20" s="413"/>
      <c r="GME20" s="413"/>
      <c r="GMF20" s="413"/>
      <c r="GMG20" s="413"/>
      <c r="GMH20" s="413"/>
      <c r="GMI20" s="413"/>
      <c r="GMJ20" s="413"/>
      <c r="GMK20" s="413"/>
      <c r="GML20" s="413"/>
      <c r="GMM20" s="413"/>
      <c r="GMN20" s="413"/>
      <c r="GMO20" s="413"/>
      <c r="GMP20" s="413"/>
      <c r="GMQ20" s="413"/>
      <c r="GMR20" s="413"/>
      <c r="GMS20" s="413"/>
      <c r="GMT20" s="413"/>
      <c r="GMU20" s="413"/>
      <c r="GMV20" s="413"/>
      <c r="GMW20" s="413"/>
      <c r="GMX20" s="413"/>
      <c r="GMY20" s="413"/>
      <c r="GMZ20" s="413"/>
      <c r="GNA20" s="413"/>
      <c r="GNB20" s="413"/>
      <c r="GNC20" s="413"/>
      <c r="GND20" s="413"/>
      <c r="GNE20" s="413"/>
      <c r="GNF20" s="413"/>
      <c r="GNG20" s="413"/>
      <c r="GNH20" s="413"/>
      <c r="GNI20" s="413"/>
      <c r="GNJ20" s="413"/>
      <c r="GNK20" s="413"/>
      <c r="GNL20" s="413"/>
      <c r="GNM20" s="413"/>
      <c r="GNN20" s="413"/>
      <c r="GNO20" s="413"/>
      <c r="GNP20" s="413"/>
      <c r="GNQ20" s="413"/>
      <c r="GNR20" s="413"/>
      <c r="GNS20" s="413"/>
      <c r="GNT20" s="413"/>
      <c r="GNU20" s="413"/>
      <c r="GNV20" s="413"/>
      <c r="GNW20" s="413"/>
      <c r="GNX20" s="413"/>
      <c r="GNY20" s="413"/>
      <c r="GNZ20" s="413"/>
      <c r="GOA20" s="413"/>
      <c r="GOB20" s="413"/>
      <c r="GOC20" s="413"/>
      <c r="GOD20" s="413"/>
      <c r="GOE20" s="413"/>
      <c r="GOF20" s="413"/>
      <c r="GOG20" s="413"/>
      <c r="GOH20" s="413"/>
      <c r="GOI20" s="413"/>
      <c r="GOJ20" s="413"/>
      <c r="GOK20" s="413"/>
      <c r="GOL20" s="413"/>
      <c r="GOM20" s="413"/>
      <c r="GON20" s="413"/>
      <c r="GOO20" s="413"/>
      <c r="GOP20" s="413"/>
      <c r="GOQ20" s="413"/>
      <c r="GOR20" s="413"/>
      <c r="GOS20" s="413"/>
      <c r="GOT20" s="413"/>
      <c r="GOU20" s="413"/>
      <c r="GOV20" s="413"/>
      <c r="GOW20" s="413"/>
      <c r="GOX20" s="413"/>
      <c r="GOY20" s="413"/>
      <c r="GOZ20" s="413"/>
      <c r="GPA20" s="413"/>
      <c r="GPB20" s="413"/>
      <c r="GPC20" s="413"/>
      <c r="GPD20" s="413"/>
      <c r="GPE20" s="413"/>
      <c r="GPF20" s="413"/>
      <c r="GPG20" s="413"/>
      <c r="GPH20" s="413"/>
      <c r="GPI20" s="413"/>
      <c r="GPJ20" s="413"/>
      <c r="GPK20" s="413"/>
      <c r="GPL20" s="413"/>
      <c r="GPM20" s="413"/>
      <c r="GPN20" s="413"/>
      <c r="GPO20" s="413"/>
      <c r="GPP20" s="413"/>
      <c r="GPQ20" s="413"/>
      <c r="GPR20" s="413"/>
      <c r="GPS20" s="413"/>
      <c r="GPT20" s="413"/>
      <c r="GPU20" s="413"/>
      <c r="GPV20" s="413"/>
      <c r="GPW20" s="413"/>
      <c r="GPX20" s="413"/>
      <c r="GPY20" s="413"/>
      <c r="GPZ20" s="413"/>
      <c r="GQA20" s="413"/>
      <c r="GQB20" s="413"/>
      <c r="GQC20" s="413"/>
      <c r="GQD20" s="413"/>
      <c r="GQE20" s="413"/>
      <c r="GQF20" s="413"/>
      <c r="GQG20" s="413"/>
      <c r="GQH20" s="413"/>
      <c r="GQI20" s="413"/>
      <c r="GQJ20" s="413"/>
      <c r="GQK20" s="413"/>
      <c r="GQL20" s="413"/>
      <c r="GQM20" s="413"/>
      <c r="GQN20" s="413"/>
      <c r="GQO20" s="413"/>
      <c r="GQP20" s="413"/>
      <c r="GQQ20" s="413"/>
      <c r="GQR20" s="413"/>
      <c r="GQS20" s="413"/>
      <c r="GQT20" s="413"/>
      <c r="GQU20" s="413"/>
      <c r="GQV20" s="413"/>
      <c r="GQW20" s="413"/>
      <c r="GQX20" s="413"/>
      <c r="GQY20" s="413"/>
      <c r="GQZ20" s="413"/>
      <c r="GRA20" s="413"/>
      <c r="GRB20" s="413"/>
      <c r="GRC20" s="413"/>
      <c r="GRD20" s="413"/>
      <c r="GRE20" s="413"/>
      <c r="GRF20" s="413"/>
      <c r="GRG20" s="413"/>
      <c r="GRH20" s="413"/>
      <c r="GRI20" s="413"/>
      <c r="GRJ20" s="413"/>
      <c r="GRK20" s="413"/>
      <c r="GRL20" s="413"/>
      <c r="GRM20" s="413"/>
      <c r="GRN20" s="413"/>
      <c r="GRO20" s="413"/>
      <c r="GRP20" s="413"/>
      <c r="GRQ20" s="413"/>
      <c r="GRR20" s="413"/>
      <c r="GRS20" s="413"/>
      <c r="GRT20" s="413"/>
      <c r="GRU20" s="413"/>
      <c r="GRV20" s="413"/>
      <c r="GRW20" s="413"/>
      <c r="GRX20" s="413"/>
      <c r="GRY20" s="413"/>
      <c r="GRZ20" s="413"/>
      <c r="GSA20" s="413"/>
      <c r="GSB20" s="413"/>
      <c r="GSC20" s="413"/>
      <c r="GSD20" s="413"/>
      <c r="GSE20" s="413"/>
      <c r="GSF20" s="413"/>
      <c r="GSG20" s="413"/>
      <c r="GSH20" s="413"/>
      <c r="GSI20" s="413"/>
      <c r="GSJ20" s="413"/>
      <c r="GSK20" s="413"/>
      <c r="GSL20" s="413"/>
      <c r="GSM20" s="413"/>
      <c r="GSN20" s="413"/>
      <c r="GSO20" s="413"/>
      <c r="GSP20" s="413"/>
      <c r="GSQ20" s="413"/>
      <c r="GSR20" s="413"/>
      <c r="GSS20" s="413"/>
      <c r="GST20" s="413"/>
      <c r="GSU20" s="413"/>
      <c r="GSV20" s="413"/>
      <c r="GSW20" s="413"/>
      <c r="GSX20" s="413"/>
      <c r="GSY20" s="413"/>
      <c r="GSZ20" s="413"/>
      <c r="GTA20" s="413"/>
      <c r="GTB20" s="413"/>
      <c r="GTC20" s="413"/>
      <c r="GTD20" s="413"/>
      <c r="GTE20" s="413"/>
      <c r="GTF20" s="413"/>
      <c r="GTG20" s="413"/>
      <c r="GTH20" s="413"/>
      <c r="GTI20" s="413"/>
      <c r="GTJ20" s="413"/>
      <c r="GTK20" s="413"/>
      <c r="GTL20" s="413"/>
      <c r="GTM20" s="413"/>
      <c r="GTN20" s="413"/>
      <c r="GTO20" s="413"/>
      <c r="GTP20" s="413"/>
      <c r="GTQ20" s="413"/>
      <c r="GTR20" s="413"/>
      <c r="GTS20" s="413"/>
      <c r="GTT20" s="413"/>
      <c r="GTU20" s="413"/>
      <c r="GTV20" s="413"/>
      <c r="GTW20" s="413"/>
      <c r="GTX20" s="413"/>
      <c r="GTY20" s="413"/>
      <c r="GTZ20" s="413"/>
      <c r="GUA20" s="413"/>
      <c r="GUB20" s="413"/>
      <c r="GUC20" s="413"/>
      <c r="GUD20" s="413"/>
      <c r="GUE20" s="413"/>
      <c r="GUF20" s="413"/>
      <c r="GUG20" s="413"/>
      <c r="GUH20" s="413"/>
      <c r="GUI20" s="413"/>
      <c r="GUJ20" s="413"/>
      <c r="GUK20" s="413"/>
      <c r="GUL20" s="413"/>
      <c r="GUM20" s="413"/>
      <c r="GUN20" s="413"/>
      <c r="GUO20" s="413"/>
      <c r="GUP20" s="413"/>
      <c r="GUQ20" s="413"/>
      <c r="GUR20" s="413"/>
      <c r="GUS20" s="413"/>
      <c r="GUT20" s="413"/>
      <c r="GUU20" s="413"/>
      <c r="GUV20" s="413"/>
      <c r="GUW20" s="413"/>
      <c r="GUX20" s="413"/>
      <c r="GUY20" s="413"/>
      <c r="GUZ20" s="413"/>
      <c r="GVA20" s="413"/>
      <c r="GVB20" s="413"/>
      <c r="GVC20" s="413"/>
      <c r="GVD20" s="413"/>
      <c r="GVE20" s="413"/>
      <c r="GVF20" s="413"/>
      <c r="GVG20" s="413"/>
      <c r="GVH20" s="413"/>
      <c r="GVI20" s="413"/>
      <c r="GVJ20" s="413"/>
      <c r="GVK20" s="413"/>
      <c r="GVL20" s="413"/>
      <c r="GVM20" s="413"/>
      <c r="GVN20" s="413"/>
      <c r="GVO20" s="413"/>
      <c r="GVP20" s="413"/>
      <c r="GVQ20" s="413"/>
      <c r="GVR20" s="413"/>
      <c r="GVS20" s="413"/>
      <c r="GVT20" s="413"/>
      <c r="GVU20" s="413"/>
      <c r="GVV20" s="413"/>
      <c r="GVW20" s="413"/>
      <c r="GVX20" s="413"/>
      <c r="GVY20" s="413"/>
      <c r="GVZ20" s="413"/>
      <c r="GWA20" s="413"/>
      <c r="GWB20" s="413"/>
      <c r="GWC20" s="413"/>
      <c r="GWD20" s="413"/>
      <c r="GWE20" s="413"/>
      <c r="GWF20" s="413"/>
      <c r="GWG20" s="413"/>
      <c r="GWH20" s="413"/>
      <c r="GWI20" s="413"/>
      <c r="GWJ20" s="413"/>
      <c r="GWK20" s="413"/>
      <c r="GWL20" s="413"/>
      <c r="GWM20" s="413"/>
      <c r="GWN20" s="413"/>
      <c r="GWO20" s="413"/>
      <c r="GWP20" s="413"/>
      <c r="GWQ20" s="413"/>
      <c r="GWR20" s="413"/>
      <c r="GWS20" s="413"/>
      <c r="GWT20" s="413"/>
      <c r="GWU20" s="413"/>
      <c r="GWV20" s="413"/>
      <c r="GWW20" s="413"/>
      <c r="GWX20" s="413"/>
      <c r="GWY20" s="413"/>
      <c r="GWZ20" s="413"/>
      <c r="GXA20" s="413"/>
      <c r="GXB20" s="413"/>
      <c r="GXC20" s="413"/>
      <c r="GXD20" s="413"/>
      <c r="GXE20" s="413"/>
      <c r="GXF20" s="413"/>
      <c r="GXG20" s="413"/>
      <c r="GXH20" s="413"/>
      <c r="GXI20" s="413"/>
      <c r="GXJ20" s="413"/>
      <c r="GXK20" s="413"/>
      <c r="GXL20" s="413"/>
      <c r="GXM20" s="413"/>
      <c r="GXN20" s="413"/>
      <c r="GXO20" s="413"/>
      <c r="GXP20" s="413"/>
      <c r="GXQ20" s="413"/>
      <c r="GXR20" s="413"/>
      <c r="GXS20" s="413"/>
      <c r="GXT20" s="413"/>
      <c r="GXU20" s="413"/>
      <c r="GXV20" s="413"/>
      <c r="GXW20" s="413"/>
      <c r="GXX20" s="413"/>
      <c r="GXY20" s="413"/>
      <c r="GXZ20" s="413"/>
      <c r="GYA20" s="413"/>
      <c r="GYB20" s="413"/>
      <c r="GYC20" s="413"/>
      <c r="GYD20" s="413"/>
      <c r="GYE20" s="413"/>
      <c r="GYF20" s="413"/>
      <c r="GYG20" s="413"/>
      <c r="GYH20" s="413"/>
      <c r="GYI20" s="413"/>
      <c r="GYJ20" s="413"/>
      <c r="GYK20" s="413"/>
      <c r="GYL20" s="413"/>
      <c r="GYM20" s="413"/>
      <c r="GYN20" s="413"/>
      <c r="GYO20" s="413"/>
      <c r="GYP20" s="413"/>
      <c r="GYQ20" s="413"/>
      <c r="GYR20" s="413"/>
      <c r="GYS20" s="413"/>
      <c r="GYT20" s="413"/>
      <c r="GYU20" s="413"/>
      <c r="GYV20" s="413"/>
      <c r="GYW20" s="413"/>
      <c r="GYX20" s="413"/>
      <c r="GYY20" s="413"/>
      <c r="GYZ20" s="413"/>
      <c r="GZA20" s="413"/>
      <c r="GZB20" s="413"/>
      <c r="GZC20" s="413"/>
      <c r="GZD20" s="413"/>
      <c r="GZE20" s="413"/>
      <c r="GZF20" s="413"/>
      <c r="GZG20" s="413"/>
      <c r="GZH20" s="413"/>
      <c r="GZI20" s="413"/>
      <c r="GZJ20" s="413"/>
      <c r="GZK20" s="413"/>
      <c r="GZL20" s="413"/>
      <c r="GZM20" s="413"/>
      <c r="GZN20" s="413"/>
      <c r="GZO20" s="413"/>
      <c r="GZP20" s="413"/>
      <c r="GZQ20" s="413"/>
      <c r="GZR20" s="413"/>
      <c r="GZS20" s="413"/>
      <c r="GZT20" s="413"/>
      <c r="GZU20" s="413"/>
      <c r="GZV20" s="413"/>
      <c r="GZW20" s="413"/>
      <c r="GZX20" s="413"/>
      <c r="GZY20" s="413"/>
      <c r="GZZ20" s="413"/>
      <c r="HAA20" s="413"/>
      <c r="HAB20" s="413"/>
      <c r="HAC20" s="413"/>
      <c r="HAD20" s="413"/>
      <c r="HAE20" s="413"/>
      <c r="HAF20" s="413"/>
      <c r="HAG20" s="413"/>
      <c r="HAH20" s="413"/>
      <c r="HAI20" s="413"/>
      <c r="HAJ20" s="413"/>
      <c r="HAK20" s="413"/>
      <c r="HAL20" s="413"/>
      <c r="HAM20" s="413"/>
      <c r="HAN20" s="413"/>
      <c r="HAO20" s="413"/>
      <c r="HAP20" s="413"/>
      <c r="HAQ20" s="413"/>
      <c r="HAR20" s="413"/>
      <c r="HAS20" s="413"/>
      <c r="HAT20" s="413"/>
      <c r="HAU20" s="413"/>
      <c r="HAV20" s="413"/>
      <c r="HAW20" s="413"/>
      <c r="HAX20" s="413"/>
      <c r="HAY20" s="413"/>
      <c r="HAZ20" s="413"/>
      <c r="HBA20" s="413"/>
      <c r="HBB20" s="413"/>
      <c r="HBC20" s="413"/>
      <c r="HBD20" s="413"/>
      <c r="HBE20" s="413"/>
      <c r="HBF20" s="413"/>
      <c r="HBG20" s="413"/>
      <c r="HBH20" s="413"/>
      <c r="HBI20" s="413"/>
      <c r="HBJ20" s="413"/>
      <c r="HBK20" s="413"/>
      <c r="HBL20" s="413"/>
      <c r="HBM20" s="413"/>
      <c r="HBN20" s="413"/>
      <c r="HBO20" s="413"/>
      <c r="HBP20" s="413"/>
      <c r="HBQ20" s="413"/>
      <c r="HBR20" s="413"/>
      <c r="HBS20" s="413"/>
      <c r="HBT20" s="413"/>
      <c r="HBU20" s="413"/>
      <c r="HBV20" s="413"/>
      <c r="HBW20" s="413"/>
      <c r="HBX20" s="413"/>
      <c r="HBY20" s="413"/>
      <c r="HBZ20" s="413"/>
      <c r="HCA20" s="413"/>
      <c r="HCB20" s="413"/>
      <c r="HCC20" s="413"/>
      <c r="HCD20" s="413"/>
      <c r="HCE20" s="413"/>
      <c r="HCF20" s="413"/>
      <c r="HCG20" s="413"/>
      <c r="HCH20" s="413"/>
      <c r="HCI20" s="413"/>
      <c r="HCJ20" s="413"/>
      <c r="HCK20" s="413"/>
      <c r="HCL20" s="413"/>
      <c r="HCM20" s="413"/>
      <c r="HCN20" s="413"/>
      <c r="HCO20" s="413"/>
      <c r="HCP20" s="413"/>
      <c r="HCQ20" s="413"/>
      <c r="HCR20" s="413"/>
      <c r="HCS20" s="413"/>
      <c r="HCT20" s="413"/>
      <c r="HCU20" s="413"/>
      <c r="HCV20" s="413"/>
      <c r="HCW20" s="413"/>
      <c r="HCX20" s="413"/>
      <c r="HCY20" s="413"/>
      <c r="HCZ20" s="413"/>
      <c r="HDA20" s="413"/>
      <c r="HDB20" s="413"/>
      <c r="HDC20" s="413"/>
      <c r="HDD20" s="413"/>
      <c r="HDE20" s="413"/>
      <c r="HDF20" s="413"/>
      <c r="HDG20" s="413"/>
      <c r="HDH20" s="413"/>
      <c r="HDI20" s="413"/>
      <c r="HDJ20" s="413"/>
      <c r="HDK20" s="413"/>
      <c r="HDL20" s="413"/>
      <c r="HDM20" s="413"/>
      <c r="HDN20" s="413"/>
      <c r="HDO20" s="413"/>
      <c r="HDP20" s="413"/>
      <c r="HDQ20" s="413"/>
      <c r="HDR20" s="413"/>
      <c r="HDS20" s="413"/>
      <c r="HDT20" s="413"/>
      <c r="HDU20" s="413"/>
      <c r="HDV20" s="413"/>
      <c r="HDW20" s="413"/>
      <c r="HDX20" s="413"/>
      <c r="HDY20" s="413"/>
      <c r="HDZ20" s="413"/>
      <c r="HEA20" s="413"/>
      <c r="HEB20" s="413"/>
      <c r="HEC20" s="413"/>
      <c r="HED20" s="413"/>
      <c r="HEE20" s="413"/>
      <c r="HEF20" s="413"/>
      <c r="HEG20" s="413"/>
      <c r="HEH20" s="413"/>
      <c r="HEI20" s="413"/>
      <c r="HEJ20" s="413"/>
      <c r="HEK20" s="413"/>
      <c r="HEL20" s="413"/>
      <c r="HEM20" s="413"/>
      <c r="HEN20" s="413"/>
      <c r="HEO20" s="413"/>
      <c r="HEP20" s="413"/>
      <c r="HEQ20" s="413"/>
      <c r="HER20" s="413"/>
      <c r="HES20" s="413"/>
      <c r="HET20" s="413"/>
      <c r="HEU20" s="413"/>
      <c r="HEV20" s="413"/>
      <c r="HEW20" s="413"/>
      <c r="HEX20" s="413"/>
      <c r="HEY20" s="413"/>
      <c r="HEZ20" s="413"/>
      <c r="HFA20" s="413"/>
      <c r="HFB20" s="413"/>
      <c r="HFC20" s="413"/>
      <c r="HFD20" s="413"/>
      <c r="HFE20" s="413"/>
      <c r="HFF20" s="413"/>
      <c r="HFG20" s="413"/>
      <c r="HFH20" s="413"/>
      <c r="HFI20" s="413"/>
      <c r="HFJ20" s="413"/>
      <c r="HFK20" s="413"/>
      <c r="HFL20" s="413"/>
      <c r="HFM20" s="413"/>
      <c r="HFN20" s="413"/>
      <c r="HFO20" s="413"/>
      <c r="HFP20" s="413"/>
      <c r="HFQ20" s="413"/>
      <c r="HFR20" s="413"/>
      <c r="HFS20" s="413"/>
      <c r="HFT20" s="413"/>
      <c r="HFU20" s="413"/>
      <c r="HFV20" s="413"/>
      <c r="HFW20" s="413"/>
      <c r="HFX20" s="413"/>
      <c r="HFY20" s="413"/>
      <c r="HFZ20" s="413"/>
      <c r="HGA20" s="413"/>
      <c r="HGB20" s="413"/>
      <c r="HGC20" s="413"/>
      <c r="HGD20" s="413"/>
      <c r="HGE20" s="413"/>
      <c r="HGF20" s="413"/>
      <c r="HGG20" s="413"/>
      <c r="HGH20" s="413"/>
      <c r="HGI20" s="413"/>
      <c r="HGJ20" s="413"/>
      <c r="HGK20" s="413"/>
      <c r="HGL20" s="413"/>
      <c r="HGM20" s="413"/>
      <c r="HGN20" s="413"/>
      <c r="HGO20" s="413"/>
      <c r="HGP20" s="413"/>
      <c r="HGQ20" s="413"/>
      <c r="HGR20" s="413"/>
      <c r="HGS20" s="413"/>
      <c r="HGT20" s="413"/>
      <c r="HGU20" s="413"/>
      <c r="HGV20" s="413"/>
      <c r="HGW20" s="413"/>
      <c r="HGX20" s="413"/>
      <c r="HGY20" s="413"/>
      <c r="HGZ20" s="413"/>
      <c r="HHA20" s="413"/>
      <c r="HHB20" s="413"/>
      <c r="HHC20" s="413"/>
      <c r="HHD20" s="413"/>
      <c r="HHE20" s="413"/>
      <c r="HHF20" s="413"/>
      <c r="HHG20" s="413"/>
      <c r="HHH20" s="413"/>
      <c r="HHI20" s="413"/>
      <c r="HHJ20" s="413"/>
      <c r="HHK20" s="413"/>
      <c r="HHL20" s="413"/>
      <c r="HHM20" s="413"/>
      <c r="HHN20" s="413"/>
      <c r="HHO20" s="413"/>
      <c r="HHP20" s="413"/>
      <c r="HHQ20" s="413"/>
      <c r="HHR20" s="413"/>
      <c r="HHS20" s="413"/>
      <c r="HHT20" s="413"/>
      <c r="HHU20" s="413"/>
      <c r="HHV20" s="413"/>
      <c r="HHW20" s="413"/>
      <c r="HHX20" s="413"/>
      <c r="HHY20" s="413"/>
      <c r="HHZ20" s="413"/>
      <c r="HIA20" s="413"/>
      <c r="HIB20" s="413"/>
      <c r="HIC20" s="413"/>
      <c r="HID20" s="413"/>
      <c r="HIE20" s="413"/>
      <c r="HIF20" s="413"/>
      <c r="HIG20" s="413"/>
      <c r="HIH20" s="413"/>
      <c r="HII20" s="413"/>
      <c r="HIJ20" s="413"/>
      <c r="HIK20" s="413"/>
      <c r="HIL20" s="413"/>
      <c r="HIM20" s="413"/>
      <c r="HIN20" s="413"/>
      <c r="HIO20" s="413"/>
      <c r="HIP20" s="413"/>
      <c r="HIQ20" s="413"/>
      <c r="HIR20" s="413"/>
      <c r="HIS20" s="413"/>
      <c r="HIT20" s="413"/>
      <c r="HIU20" s="413"/>
      <c r="HIV20" s="413"/>
      <c r="HIW20" s="413"/>
      <c r="HIX20" s="413"/>
      <c r="HIY20" s="413"/>
      <c r="HIZ20" s="413"/>
      <c r="HJA20" s="413"/>
      <c r="HJB20" s="413"/>
      <c r="HJC20" s="413"/>
      <c r="HJD20" s="413"/>
      <c r="HJE20" s="413"/>
      <c r="HJF20" s="413"/>
      <c r="HJG20" s="413"/>
      <c r="HJH20" s="413"/>
      <c r="HJI20" s="413"/>
      <c r="HJJ20" s="413"/>
      <c r="HJK20" s="413"/>
      <c r="HJL20" s="413"/>
      <c r="HJM20" s="413"/>
      <c r="HJN20" s="413"/>
      <c r="HJO20" s="413"/>
      <c r="HJP20" s="413"/>
      <c r="HJQ20" s="413"/>
      <c r="HJR20" s="413"/>
      <c r="HJS20" s="413"/>
      <c r="HJT20" s="413"/>
      <c r="HJU20" s="413"/>
      <c r="HJV20" s="413"/>
      <c r="HJW20" s="413"/>
      <c r="HJX20" s="413"/>
      <c r="HJY20" s="413"/>
      <c r="HJZ20" s="413"/>
      <c r="HKA20" s="413"/>
      <c r="HKB20" s="413"/>
      <c r="HKC20" s="413"/>
      <c r="HKD20" s="413"/>
      <c r="HKE20" s="413"/>
      <c r="HKF20" s="413"/>
      <c r="HKG20" s="413"/>
      <c r="HKH20" s="413"/>
      <c r="HKI20" s="413"/>
      <c r="HKJ20" s="413"/>
      <c r="HKK20" s="413"/>
      <c r="HKL20" s="413"/>
      <c r="HKM20" s="413"/>
      <c r="HKN20" s="413"/>
      <c r="HKO20" s="413"/>
      <c r="HKP20" s="413"/>
      <c r="HKQ20" s="413"/>
      <c r="HKR20" s="413"/>
      <c r="HKS20" s="413"/>
      <c r="HKT20" s="413"/>
      <c r="HKU20" s="413"/>
      <c r="HKV20" s="413"/>
      <c r="HKW20" s="413"/>
      <c r="HKX20" s="413"/>
      <c r="HKY20" s="413"/>
      <c r="HKZ20" s="413"/>
      <c r="HLA20" s="413"/>
      <c r="HLB20" s="413"/>
      <c r="HLC20" s="413"/>
      <c r="HLD20" s="413"/>
      <c r="HLE20" s="413"/>
      <c r="HLF20" s="413"/>
      <c r="HLG20" s="413"/>
      <c r="HLH20" s="413"/>
      <c r="HLI20" s="413"/>
      <c r="HLJ20" s="413"/>
      <c r="HLK20" s="413"/>
      <c r="HLL20" s="413"/>
      <c r="HLM20" s="413"/>
      <c r="HLN20" s="413"/>
      <c r="HLO20" s="413"/>
      <c r="HLP20" s="413"/>
      <c r="HLQ20" s="413"/>
      <c r="HLR20" s="413"/>
      <c r="HLS20" s="413"/>
      <c r="HLT20" s="413"/>
      <c r="HLU20" s="413"/>
      <c r="HLV20" s="413"/>
      <c r="HLW20" s="413"/>
      <c r="HLX20" s="413"/>
      <c r="HLY20" s="413"/>
      <c r="HLZ20" s="413"/>
      <c r="HMA20" s="413"/>
      <c r="HMB20" s="413"/>
      <c r="HMC20" s="413"/>
      <c r="HMD20" s="413"/>
      <c r="HME20" s="413"/>
      <c r="HMF20" s="413"/>
      <c r="HMG20" s="413"/>
      <c r="HMH20" s="413"/>
      <c r="HMI20" s="413"/>
      <c r="HMJ20" s="413"/>
      <c r="HMK20" s="413"/>
      <c r="HML20" s="413"/>
      <c r="HMM20" s="413"/>
      <c r="HMN20" s="413"/>
      <c r="HMO20" s="413"/>
      <c r="HMP20" s="413"/>
      <c r="HMQ20" s="413"/>
      <c r="HMR20" s="413"/>
      <c r="HMS20" s="413"/>
      <c r="HMT20" s="413"/>
      <c r="HMU20" s="413"/>
      <c r="HMV20" s="413"/>
      <c r="HMW20" s="413"/>
      <c r="HMX20" s="413"/>
      <c r="HMY20" s="413"/>
      <c r="HMZ20" s="413"/>
      <c r="HNA20" s="413"/>
      <c r="HNB20" s="413"/>
      <c r="HNC20" s="413"/>
      <c r="HND20" s="413"/>
      <c r="HNE20" s="413"/>
      <c r="HNF20" s="413"/>
      <c r="HNG20" s="413"/>
      <c r="HNH20" s="413"/>
      <c r="HNI20" s="413"/>
      <c r="HNJ20" s="413"/>
      <c r="HNK20" s="413"/>
      <c r="HNL20" s="413"/>
      <c r="HNM20" s="413"/>
      <c r="HNN20" s="413"/>
      <c r="HNO20" s="413"/>
      <c r="HNP20" s="413"/>
      <c r="HNQ20" s="413"/>
      <c r="HNR20" s="413"/>
      <c r="HNS20" s="413"/>
      <c r="HNT20" s="413"/>
      <c r="HNU20" s="413"/>
      <c r="HNV20" s="413"/>
      <c r="HNW20" s="413"/>
      <c r="HNX20" s="413"/>
      <c r="HNY20" s="413"/>
      <c r="HNZ20" s="413"/>
      <c r="HOA20" s="413"/>
      <c r="HOB20" s="413"/>
      <c r="HOC20" s="413"/>
      <c r="HOD20" s="413"/>
      <c r="HOE20" s="413"/>
      <c r="HOF20" s="413"/>
      <c r="HOG20" s="413"/>
      <c r="HOH20" s="413"/>
      <c r="HOI20" s="413"/>
      <c r="HOJ20" s="413"/>
      <c r="HOK20" s="413"/>
      <c r="HOL20" s="413"/>
      <c r="HOM20" s="413"/>
      <c r="HON20" s="413"/>
      <c r="HOO20" s="413"/>
      <c r="HOP20" s="413"/>
      <c r="HOQ20" s="413"/>
      <c r="HOR20" s="413"/>
      <c r="HOS20" s="413"/>
      <c r="HOT20" s="413"/>
      <c r="HOU20" s="413"/>
      <c r="HOV20" s="413"/>
      <c r="HOW20" s="413"/>
      <c r="HOX20" s="413"/>
      <c r="HOY20" s="413"/>
      <c r="HOZ20" s="413"/>
      <c r="HPA20" s="413"/>
      <c r="HPB20" s="413"/>
      <c r="HPC20" s="413"/>
      <c r="HPD20" s="413"/>
      <c r="HPE20" s="413"/>
      <c r="HPF20" s="413"/>
      <c r="HPG20" s="413"/>
      <c r="HPH20" s="413"/>
      <c r="HPI20" s="413"/>
      <c r="HPJ20" s="413"/>
      <c r="HPK20" s="413"/>
      <c r="HPL20" s="413"/>
      <c r="HPM20" s="413"/>
      <c r="HPN20" s="413"/>
      <c r="HPO20" s="413"/>
      <c r="HPP20" s="413"/>
      <c r="HPQ20" s="413"/>
      <c r="HPR20" s="413"/>
      <c r="HPS20" s="413"/>
      <c r="HPT20" s="413"/>
      <c r="HPU20" s="413"/>
      <c r="HPV20" s="413"/>
      <c r="HPW20" s="413"/>
      <c r="HPX20" s="413"/>
      <c r="HPY20" s="413"/>
      <c r="HPZ20" s="413"/>
      <c r="HQA20" s="413"/>
      <c r="HQB20" s="413"/>
      <c r="HQC20" s="413"/>
      <c r="HQD20" s="413"/>
      <c r="HQE20" s="413"/>
      <c r="HQF20" s="413"/>
      <c r="HQG20" s="413"/>
      <c r="HQH20" s="413"/>
      <c r="HQI20" s="413"/>
      <c r="HQJ20" s="413"/>
      <c r="HQK20" s="413"/>
      <c r="HQL20" s="413"/>
      <c r="HQM20" s="413"/>
      <c r="HQN20" s="413"/>
      <c r="HQO20" s="413"/>
      <c r="HQP20" s="413"/>
      <c r="HQQ20" s="413"/>
      <c r="HQR20" s="413"/>
      <c r="HQS20" s="413"/>
      <c r="HQT20" s="413"/>
      <c r="HQU20" s="413"/>
      <c r="HQV20" s="413"/>
      <c r="HQW20" s="413"/>
      <c r="HQX20" s="413"/>
      <c r="HQY20" s="413"/>
      <c r="HQZ20" s="413"/>
      <c r="HRA20" s="413"/>
      <c r="HRB20" s="413"/>
      <c r="HRC20" s="413"/>
      <c r="HRD20" s="413"/>
      <c r="HRE20" s="413"/>
      <c r="HRF20" s="413"/>
      <c r="HRG20" s="413"/>
      <c r="HRH20" s="413"/>
      <c r="HRI20" s="413"/>
      <c r="HRJ20" s="413"/>
      <c r="HRK20" s="413"/>
      <c r="HRL20" s="413"/>
      <c r="HRM20" s="413"/>
      <c r="HRN20" s="413"/>
      <c r="HRO20" s="413"/>
      <c r="HRP20" s="413"/>
      <c r="HRQ20" s="413"/>
      <c r="HRR20" s="413"/>
      <c r="HRS20" s="413"/>
      <c r="HRT20" s="413"/>
      <c r="HRU20" s="413"/>
      <c r="HRV20" s="413"/>
      <c r="HRW20" s="413"/>
      <c r="HRX20" s="413"/>
      <c r="HRY20" s="413"/>
      <c r="HRZ20" s="413"/>
      <c r="HSA20" s="413"/>
      <c r="HSB20" s="413"/>
      <c r="HSC20" s="413"/>
      <c r="HSD20" s="413"/>
      <c r="HSE20" s="413"/>
      <c r="HSF20" s="413"/>
      <c r="HSG20" s="413"/>
      <c r="HSH20" s="413"/>
      <c r="HSI20" s="413"/>
      <c r="HSJ20" s="413"/>
      <c r="HSK20" s="413"/>
      <c r="HSL20" s="413"/>
      <c r="HSM20" s="413"/>
      <c r="HSN20" s="413"/>
      <c r="HSO20" s="413"/>
      <c r="HSP20" s="413"/>
      <c r="HSQ20" s="413"/>
      <c r="HSR20" s="413"/>
      <c r="HSS20" s="413"/>
      <c r="HST20" s="413"/>
      <c r="HSU20" s="413"/>
      <c r="HSV20" s="413"/>
      <c r="HSW20" s="413"/>
      <c r="HSX20" s="413"/>
      <c r="HSY20" s="413"/>
      <c r="HSZ20" s="413"/>
      <c r="HTA20" s="413"/>
      <c r="HTB20" s="413"/>
      <c r="HTC20" s="413"/>
      <c r="HTD20" s="413"/>
      <c r="HTE20" s="413"/>
      <c r="HTF20" s="413"/>
      <c r="HTG20" s="413"/>
      <c r="HTH20" s="413"/>
      <c r="HTI20" s="413"/>
      <c r="HTJ20" s="413"/>
      <c r="HTK20" s="413"/>
      <c r="HTL20" s="413"/>
      <c r="HTM20" s="413"/>
      <c r="HTN20" s="413"/>
      <c r="HTO20" s="413"/>
      <c r="HTP20" s="413"/>
      <c r="HTQ20" s="413"/>
      <c r="HTR20" s="413"/>
      <c r="HTS20" s="413"/>
      <c r="HTT20" s="413"/>
      <c r="HTU20" s="413"/>
      <c r="HTV20" s="413"/>
      <c r="HTW20" s="413"/>
      <c r="HTX20" s="413"/>
      <c r="HTY20" s="413"/>
      <c r="HTZ20" s="413"/>
      <c r="HUA20" s="413"/>
      <c r="HUB20" s="413"/>
      <c r="HUC20" s="413"/>
      <c r="HUD20" s="413"/>
      <c r="HUE20" s="413"/>
      <c r="HUF20" s="413"/>
      <c r="HUG20" s="413"/>
      <c r="HUH20" s="413"/>
      <c r="HUI20" s="413"/>
      <c r="HUJ20" s="413"/>
      <c r="HUK20" s="413"/>
      <c r="HUL20" s="413"/>
      <c r="HUM20" s="413"/>
      <c r="HUN20" s="413"/>
      <c r="HUO20" s="413"/>
      <c r="HUP20" s="413"/>
      <c r="HUQ20" s="413"/>
      <c r="HUR20" s="413"/>
      <c r="HUS20" s="413"/>
      <c r="HUT20" s="413"/>
      <c r="HUU20" s="413"/>
      <c r="HUV20" s="413"/>
      <c r="HUW20" s="413"/>
      <c r="HUX20" s="413"/>
      <c r="HUY20" s="413"/>
      <c r="HUZ20" s="413"/>
      <c r="HVA20" s="413"/>
      <c r="HVB20" s="413"/>
      <c r="HVC20" s="413"/>
      <c r="HVD20" s="413"/>
      <c r="HVE20" s="413"/>
      <c r="HVF20" s="413"/>
      <c r="HVG20" s="413"/>
      <c r="HVH20" s="413"/>
      <c r="HVI20" s="413"/>
      <c r="HVJ20" s="413"/>
      <c r="HVK20" s="413"/>
      <c r="HVL20" s="413"/>
      <c r="HVM20" s="413"/>
      <c r="HVN20" s="413"/>
      <c r="HVO20" s="413"/>
      <c r="HVP20" s="413"/>
      <c r="HVQ20" s="413"/>
      <c r="HVR20" s="413"/>
      <c r="HVS20" s="413"/>
      <c r="HVT20" s="413"/>
      <c r="HVU20" s="413"/>
      <c r="HVV20" s="413"/>
      <c r="HVW20" s="413"/>
      <c r="HVX20" s="413"/>
      <c r="HVY20" s="413"/>
      <c r="HVZ20" s="413"/>
      <c r="HWA20" s="413"/>
      <c r="HWB20" s="413"/>
      <c r="HWC20" s="413"/>
      <c r="HWD20" s="413"/>
      <c r="HWE20" s="413"/>
      <c r="HWF20" s="413"/>
      <c r="HWG20" s="413"/>
      <c r="HWH20" s="413"/>
      <c r="HWI20" s="413"/>
      <c r="HWJ20" s="413"/>
      <c r="HWK20" s="413"/>
      <c r="HWL20" s="413"/>
      <c r="HWM20" s="413"/>
      <c r="HWN20" s="413"/>
      <c r="HWO20" s="413"/>
      <c r="HWP20" s="413"/>
      <c r="HWQ20" s="413"/>
      <c r="HWR20" s="413"/>
      <c r="HWS20" s="413"/>
      <c r="HWT20" s="413"/>
      <c r="HWU20" s="413"/>
      <c r="HWV20" s="413"/>
      <c r="HWW20" s="413"/>
      <c r="HWX20" s="413"/>
      <c r="HWY20" s="413"/>
      <c r="HWZ20" s="413"/>
      <c r="HXA20" s="413"/>
      <c r="HXB20" s="413"/>
      <c r="HXC20" s="413"/>
      <c r="HXD20" s="413"/>
      <c r="HXE20" s="413"/>
      <c r="HXF20" s="413"/>
      <c r="HXG20" s="413"/>
      <c r="HXH20" s="413"/>
      <c r="HXI20" s="413"/>
      <c r="HXJ20" s="413"/>
      <c r="HXK20" s="413"/>
      <c r="HXL20" s="413"/>
      <c r="HXM20" s="413"/>
      <c r="HXN20" s="413"/>
      <c r="HXO20" s="413"/>
      <c r="HXP20" s="413"/>
      <c r="HXQ20" s="413"/>
      <c r="HXR20" s="413"/>
      <c r="HXS20" s="413"/>
      <c r="HXT20" s="413"/>
      <c r="HXU20" s="413"/>
      <c r="HXV20" s="413"/>
      <c r="HXW20" s="413"/>
      <c r="HXX20" s="413"/>
      <c r="HXY20" s="413"/>
      <c r="HXZ20" s="413"/>
      <c r="HYA20" s="413"/>
      <c r="HYB20" s="413"/>
      <c r="HYC20" s="413"/>
      <c r="HYD20" s="413"/>
      <c r="HYE20" s="413"/>
      <c r="HYF20" s="413"/>
      <c r="HYG20" s="413"/>
      <c r="HYH20" s="413"/>
      <c r="HYI20" s="413"/>
      <c r="HYJ20" s="413"/>
      <c r="HYK20" s="413"/>
      <c r="HYL20" s="413"/>
      <c r="HYM20" s="413"/>
      <c r="HYN20" s="413"/>
      <c r="HYO20" s="413"/>
      <c r="HYP20" s="413"/>
      <c r="HYQ20" s="413"/>
      <c r="HYR20" s="413"/>
      <c r="HYS20" s="413"/>
      <c r="HYT20" s="413"/>
      <c r="HYU20" s="413"/>
      <c r="HYV20" s="413"/>
      <c r="HYW20" s="413"/>
      <c r="HYX20" s="413"/>
      <c r="HYY20" s="413"/>
      <c r="HYZ20" s="413"/>
      <c r="HZA20" s="413"/>
      <c r="HZB20" s="413"/>
      <c r="HZC20" s="413"/>
      <c r="HZD20" s="413"/>
      <c r="HZE20" s="413"/>
      <c r="HZF20" s="413"/>
      <c r="HZG20" s="413"/>
      <c r="HZH20" s="413"/>
      <c r="HZI20" s="413"/>
      <c r="HZJ20" s="413"/>
      <c r="HZK20" s="413"/>
      <c r="HZL20" s="413"/>
      <c r="HZM20" s="413"/>
      <c r="HZN20" s="413"/>
      <c r="HZO20" s="413"/>
      <c r="HZP20" s="413"/>
      <c r="HZQ20" s="413"/>
      <c r="HZR20" s="413"/>
      <c r="HZS20" s="413"/>
      <c r="HZT20" s="413"/>
      <c r="HZU20" s="413"/>
      <c r="HZV20" s="413"/>
      <c r="HZW20" s="413"/>
      <c r="HZX20" s="413"/>
      <c r="HZY20" s="413"/>
      <c r="HZZ20" s="413"/>
      <c r="IAA20" s="413"/>
      <c r="IAB20" s="413"/>
      <c r="IAC20" s="413"/>
      <c r="IAD20" s="413"/>
      <c r="IAE20" s="413"/>
      <c r="IAF20" s="413"/>
      <c r="IAG20" s="413"/>
      <c r="IAH20" s="413"/>
      <c r="IAI20" s="413"/>
      <c r="IAJ20" s="413"/>
      <c r="IAK20" s="413"/>
      <c r="IAL20" s="413"/>
      <c r="IAM20" s="413"/>
      <c r="IAN20" s="413"/>
      <c r="IAO20" s="413"/>
      <c r="IAP20" s="413"/>
      <c r="IAQ20" s="413"/>
      <c r="IAR20" s="413"/>
      <c r="IAS20" s="413"/>
      <c r="IAT20" s="413"/>
      <c r="IAU20" s="413"/>
      <c r="IAV20" s="413"/>
      <c r="IAW20" s="413"/>
      <c r="IAX20" s="413"/>
      <c r="IAY20" s="413"/>
      <c r="IAZ20" s="413"/>
      <c r="IBA20" s="413"/>
      <c r="IBB20" s="413"/>
      <c r="IBC20" s="413"/>
      <c r="IBD20" s="413"/>
      <c r="IBE20" s="413"/>
      <c r="IBF20" s="413"/>
      <c r="IBG20" s="413"/>
      <c r="IBH20" s="413"/>
      <c r="IBI20" s="413"/>
      <c r="IBJ20" s="413"/>
      <c r="IBK20" s="413"/>
      <c r="IBL20" s="413"/>
      <c r="IBM20" s="413"/>
      <c r="IBN20" s="413"/>
      <c r="IBO20" s="413"/>
      <c r="IBP20" s="413"/>
      <c r="IBQ20" s="413"/>
      <c r="IBR20" s="413"/>
      <c r="IBS20" s="413"/>
      <c r="IBT20" s="413"/>
      <c r="IBU20" s="413"/>
      <c r="IBV20" s="413"/>
      <c r="IBW20" s="413"/>
      <c r="IBX20" s="413"/>
      <c r="IBY20" s="413"/>
      <c r="IBZ20" s="413"/>
      <c r="ICA20" s="413"/>
      <c r="ICB20" s="413"/>
      <c r="ICC20" s="413"/>
      <c r="ICD20" s="413"/>
      <c r="ICE20" s="413"/>
      <c r="ICF20" s="413"/>
      <c r="ICG20" s="413"/>
      <c r="ICH20" s="413"/>
      <c r="ICI20" s="413"/>
      <c r="ICJ20" s="413"/>
      <c r="ICK20" s="413"/>
      <c r="ICL20" s="413"/>
      <c r="ICM20" s="413"/>
      <c r="ICN20" s="413"/>
      <c r="ICO20" s="413"/>
      <c r="ICP20" s="413"/>
      <c r="ICQ20" s="413"/>
      <c r="ICR20" s="413"/>
      <c r="ICS20" s="413"/>
      <c r="ICT20" s="413"/>
      <c r="ICU20" s="413"/>
      <c r="ICV20" s="413"/>
      <c r="ICW20" s="413"/>
      <c r="ICX20" s="413"/>
      <c r="ICY20" s="413"/>
      <c r="ICZ20" s="413"/>
      <c r="IDA20" s="413"/>
      <c r="IDB20" s="413"/>
      <c r="IDC20" s="413"/>
      <c r="IDD20" s="413"/>
      <c r="IDE20" s="413"/>
      <c r="IDF20" s="413"/>
      <c r="IDG20" s="413"/>
      <c r="IDH20" s="413"/>
      <c r="IDI20" s="413"/>
      <c r="IDJ20" s="413"/>
      <c r="IDK20" s="413"/>
      <c r="IDL20" s="413"/>
      <c r="IDM20" s="413"/>
      <c r="IDN20" s="413"/>
      <c r="IDO20" s="413"/>
      <c r="IDP20" s="413"/>
      <c r="IDQ20" s="413"/>
      <c r="IDR20" s="413"/>
      <c r="IDS20" s="413"/>
      <c r="IDT20" s="413"/>
      <c r="IDU20" s="413"/>
      <c r="IDV20" s="413"/>
      <c r="IDW20" s="413"/>
      <c r="IDX20" s="413"/>
      <c r="IDY20" s="413"/>
      <c r="IDZ20" s="413"/>
      <c r="IEA20" s="413"/>
      <c r="IEB20" s="413"/>
      <c r="IEC20" s="413"/>
      <c r="IED20" s="413"/>
      <c r="IEE20" s="413"/>
      <c r="IEF20" s="413"/>
      <c r="IEG20" s="413"/>
      <c r="IEH20" s="413"/>
      <c r="IEI20" s="413"/>
      <c r="IEJ20" s="413"/>
      <c r="IEK20" s="413"/>
      <c r="IEL20" s="413"/>
      <c r="IEM20" s="413"/>
      <c r="IEN20" s="413"/>
      <c r="IEO20" s="413"/>
      <c r="IEP20" s="413"/>
      <c r="IEQ20" s="413"/>
      <c r="IER20" s="413"/>
      <c r="IES20" s="413"/>
      <c r="IET20" s="413"/>
      <c r="IEU20" s="413"/>
      <c r="IEV20" s="413"/>
      <c r="IEW20" s="413"/>
      <c r="IEX20" s="413"/>
      <c r="IEY20" s="413"/>
      <c r="IEZ20" s="413"/>
      <c r="IFA20" s="413"/>
      <c r="IFB20" s="413"/>
      <c r="IFC20" s="413"/>
      <c r="IFD20" s="413"/>
      <c r="IFE20" s="413"/>
      <c r="IFF20" s="413"/>
      <c r="IFG20" s="413"/>
      <c r="IFH20" s="413"/>
      <c r="IFI20" s="413"/>
      <c r="IFJ20" s="413"/>
      <c r="IFK20" s="413"/>
      <c r="IFL20" s="413"/>
      <c r="IFM20" s="413"/>
      <c r="IFN20" s="413"/>
      <c r="IFO20" s="413"/>
      <c r="IFP20" s="413"/>
      <c r="IFQ20" s="413"/>
      <c r="IFR20" s="413"/>
      <c r="IFS20" s="413"/>
      <c r="IFT20" s="413"/>
      <c r="IFU20" s="413"/>
      <c r="IFV20" s="413"/>
      <c r="IFW20" s="413"/>
      <c r="IFX20" s="413"/>
      <c r="IFY20" s="413"/>
      <c r="IFZ20" s="413"/>
      <c r="IGA20" s="413"/>
      <c r="IGB20" s="413"/>
      <c r="IGC20" s="413"/>
      <c r="IGD20" s="413"/>
      <c r="IGE20" s="413"/>
      <c r="IGF20" s="413"/>
      <c r="IGG20" s="413"/>
      <c r="IGH20" s="413"/>
      <c r="IGI20" s="413"/>
      <c r="IGJ20" s="413"/>
      <c r="IGK20" s="413"/>
      <c r="IGL20" s="413"/>
      <c r="IGM20" s="413"/>
      <c r="IGN20" s="413"/>
      <c r="IGO20" s="413"/>
      <c r="IGP20" s="413"/>
      <c r="IGQ20" s="413"/>
      <c r="IGR20" s="413"/>
      <c r="IGS20" s="413"/>
      <c r="IGT20" s="413"/>
      <c r="IGU20" s="413"/>
      <c r="IGV20" s="413"/>
      <c r="IGW20" s="413"/>
      <c r="IGX20" s="413"/>
      <c r="IGY20" s="413"/>
      <c r="IGZ20" s="413"/>
      <c r="IHA20" s="413"/>
      <c r="IHB20" s="413"/>
      <c r="IHC20" s="413"/>
      <c r="IHD20" s="413"/>
      <c r="IHE20" s="413"/>
      <c r="IHF20" s="413"/>
      <c r="IHG20" s="413"/>
      <c r="IHH20" s="413"/>
      <c r="IHI20" s="413"/>
      <c r="IHJ20" s="413"/>
      <c r="IHK20" s="413"/>
      <c r="IHL20" s="413"/>
      <c r="IHM20" s="413"/>
      <c r="IHN20" s="413"/>
      <c r="IHO20" s="413"/>
      <c r="IHP20" s="413"/>
      <c r="IHQ20" s="413"/>
      <c r="IHR20" s="413"/>
      <c r="IHS20" s="413"/>
      <c r="IHT20" s="413"/>
      <c r="IHU20" s="413"/>
      <c r="IHV20" s="413"/>
      <c r="IHW20" s="413"/>
      <c r="IHX20" s="413"/>
      <c r="IHY20" s="413"/>
      <c r="IHZ20" s="413"/>
      <c r="IIA20" s="413"/>
      <c r="IIB20" s="413"/>
      <c r="IIC20" s="413"/>
      <c r="IID20" s="413"/>
      <c r="IIE20" s="413"/>
      <c r="IIF20" s="413"/>
      <c r="IIG20" s="413"/>
      <c r="IIH20" s="413"/>
      <c r="III20" s="413"/>
      <c r="IIJ20" s="413"/>
      <c r="IIK20" s="413"/>
      <c r="IIL20" s="413"/>
      <c r="IIM20" s="413"/>
      <c r="IIN20" s="413"/>
      <c r="IIO20" s="413"/>
      <c r="IIP20" s="413"/>
      <c r="IIQ20" s="413"/>
      <c r="IIR20" s="413"/>
      <c r="IIS20" s="413"/>
      <c r="IIT20" s="413"/>
      <c r="IIU20" s="413"/>
      <c r="IIV20" s="413"/>
      <c r="IIW20" s="413"/>
      <c r="IIX20" s="413"/>
      <c r="IIY20" s="413"/>
      <c r="IIZ20" s="413"/>
      <c r="IJA20" s="413"/>
      <c r="IJB20" s="413"/>
      <c r="IJC20" s="413"/>
      <c r="IJD20" s="413"/>
      <c r="IJE20" s="413"/>
      <c r="IJF20" s="413"/>
      <c r="IJG20" s="413"/>
      <c r="IJH20" s="413"/>
      <c r="IJI20" s="413"/>
      <c r="IJJ20" s="413"/>
      <c r="IJK20" s="413"/>
      <c r="IJL20" s="413"/>
      <c r="IJM20" s="413"/>
      <c r="IJN20" s="413"/>
      <c r="IJO20" s="413"/>
      <c r="IJP20" s="413"/>
      <c r="IJQ20" s="413"/>
      <c r="IJR20" s="413"/>
      <c r="IJS20" s="413"/>
      <c r="IJT20" s="413"/>
      <c r="IJU20" s="413"/>
      <c r="IJV20" s="413"/>
      <c r="IJW20" s="413"/>
      <c r="IJX20" s="413"/>
      <c r="IJY20" s="413"/>
      <c r="IJZ20" s="413"/>
      <c r="IKA20" s="413"/>
      <c r="IKB20" s="413"/>
      <c r="IKC20" s="413"/>
      <c r="IKD20" s="413"/>
      <c r="IKE20" s="413"/>
      <c r="IKF20" s="413"/>
      <c r="IKG20" s="413"/>
      <c r="IKH20" s="413"/>
      <c r="IKI20" s="413"/>
      <c r="IKJ20" s="413"/>
      <c r="IKK20" s="413"/>
      <c r="IKL20" s="413"/>
      <c r="IKM20" s="413"/>
      <c r="IKN20" s="413"/>
      <c r="IKO20" s="413"/>
      <c r="IKP20" s="413"/>
      <c r="IKQ20" s="413"/>
      <c r="IKR20" s="413"/>
      <c r="IKS20" s="413"/>
      <c r="IKT20" s="413"/>
      <c r="IKU20" s="413"/>
      <c r="IKV20" s="413"/>
      <c r="IKW20" s="413"/>
      <c r="IKX20" s="413"/>
      <c r="IKY20" s="413"/>
      <c r="IKZ20" s="413"/>
      <c r="ILA20" s="413"/>
      <c r="ILB20" s="413"/>
      <c r="ILC20" s="413"/>
      <c r="ILD20" s="413"/>
      <c r="ILE20" s="413"/>
      <c r="ILF20" s="413"/>
      <c r="ILG20" s="413"/>
      <c r="ILH20" s="413"/>
      <c r="ILI20" s="413"/>
      <c r="ILJ20" s="413"/>
      <c r="ILK20" s="413"/>
      <c r="ILL20" s="413"/>
      <c r="ILM20" s="413"/>
      <c r="ILN20" s="413"/>
      <c r="ILO20" s="413"/>
      <c r="ILP20" s="413"/>
      <c r="ILQ20" s="413"/>
      <c r="ILR20" s="413"/>
      <c r="ILS20" s="413"/>
      <c r="ILT20" s="413"/>
      <c r="ILU20" s="413"/>
      <c r="ILV20" s="413"/>
      <c r="ILW20" s="413"/>
      <c r="ILX20" s="413"/>
      <c r="ILY20" s="413"/>
      <c r="ILZ20" s="413"/>
      <c r="IMA20" s="413"/>
      <c r="IMB20" s="413"/>
      <c r="IMC20" s="413"/>
      <c r="IMD20" s="413"/>
      <c r="IME20" s="413"/>
      <c r="IMF20" s="413"/>
      <c r="IMG20" s="413"/>
      <c r="IMH20" s="413"/>
      <c r="IMI20" s="413"/>
      <c r="IMJ20" s="413"/>
      <c r="IMK20" s="413"/>
      <c r="IML20" s="413"/>
      <c r="IMM20" s="413"/>
      <c r="IMN20" s="413"/>
      <c r="IMO20" s="413"/>
      <c r="IMP20" s="413"/>
      <c r="IMQ20" s="413"/>
      <c r="IMR20" s="413"/>
      <c r="IMS20" s="413"/>
      <c r="IMT20" s="413"/>
      <c r="IMU20" s="413"/>
      <c r="IMV20" s="413"/>
      <c r="IMW20" s="413"/>
      <c r="IMX20" s="413"/>
      <c r="IMY20" s="413"/>
      <c r="IMZ20" s="413"/>
      <c r="INA20" s="413"/>
      <c r="INB20" s="413"/>
      <c r="INC20" s="413"/>
      <c r="IND20" s="413"/>
      <c r="INE20" s="413"/>
      <c r="INF20" s="413"/>
      <c r="ING20" s="413"/>
      <c r="INH20" s="413"/>
      <c r="INI20" s="413"/>
      <c r="INJ20" s="413"/>
      <c r="INK20" s="413"/>
      <c r="INL20" s="413"/>
      <c r="INM20" s="413"/>
      <c r="INN20" s="413"/>
      <c r="INO20" s="413"/>
      <c r="INP20" s="413"/>
      <c r="INQ20" s="413"/>
      <c r="INR20" s="413"/>
      <c r="INS20" s="413"/>
      <c r="INT20" s="413"/>
      <c r="INU20" s="413"/>
      <c r="INV20" s="413"/>
      <c r="INW20" s="413"/>
      <c r="INX20" s="413"/>
      <c r="INY20" s="413"/>
      <c r="INZ20" s="413"/>
      <c r="IOA20" s="413"/>
      <c r="IOB20" s="413"/>
      <c r="IOC20" s="413"/>
      <c r="IOD20" s="413"/>
      <c r="IOE20" s="413"/>
      <c r="IOF20" s="413"/>
      <c r="IOG20" s="413"/>
      <c r="IOH20" s="413"/>
      <c r="IOI20" s="413"/>
      <c r="IOJ20" s="413"/>
      <c r="IOK20" s="413"/>
      <c r="IOL20" s="413"/>
      <c r="IOM20" s="413"/>
      <c r="ION20" s="413"/>
      <c r="IOO20" s="413"/>
      <c r="IOP20" s="413"/>
      <c r="IOQ20" s="413"/>
      <c r="IOR20" s="413"/>
      <c r="IOS20" s="413"/>
      <c r="IOT20" s="413"/>
      <c r="IOU20" s="413"/>
      <c r="IOV20" s="413"/>
      <c r="IOW20" s="413"/>
      <c r="IOX20" s="413"/>
      <c r="IOY20" s="413"/>
      <c r="IOZ20" s="413"/>
      <c r="IPA20" s="413"/>
      <c r="IPB20" s="413"/>
      <c r="IPC20" s="413"/>
      <c r="IPD20" s="413"/>
      <c r="IPE20" s="413"/>
      <c r="IPF20" s="413"/>
      <c r="IPG20" s="413"/>
      <c r="IPH20" s="413"/>
      <c r="IPI20" s="413"/>
      <c r="IPJ20" s="413"/>
      <c r="IPK20" s="413"/>
      <c r="IPL20" s="413"/>
      <c r="IPM20" s="413"/>
      <c r="IPN20" s="413"/>
      <c r="IPO20" s="413"/>
      <c r="IPP20" s="413"/>
      <c r="IPQ20" s="413"/>
      <c r="IPR20" s="413"/>
      <c r="IPS20" s="413"/>
      <c r="IPT20" s="413"/>
      <c r="IPU20" s="413"/>
      <c r="IPV20" s="413"/>
      <c r="IPW20" s="413"/>
      <c r="IPX20" s="413"/>
      <c r="IPY20" s="413"/>
      <c r="IPZ20" s="413"/>
      <c r="IQA20" s="413"/>
      <c r="IQB20" s="413"/>
      <c r="IQC20" s="413"/>
      <c r="IQD20" s="413"/>
      <c r="IQE20" s="413"/>
      <c r="IQF20" s="413"/>
      <c r="IQG20" s="413"/>
      <c r="IQH20" s="413"/>
      <c r="IQI20" s="413"/>
      <c r="IQJ20" s="413"/>
      <c r="IQK20" s="413"/>
      <c r="IQL20" s="413"/>
      <c r="IQM20" s="413"/>
      <c r="IQN20" s="413"/>
      <c r="IQO20" s="413"/>
      <c r="IQP20" s="413"/>
      <c r="IQQ20" s="413"/>
      <c r="IQR20" s="413"/>
      <c r="IQS20" s="413"/>
      <c r="IQT20" s="413"/>
      <c r="IQU20" s="413"/>
      <c r="IQV20" s="413"/>
      <c r="IQW20" s="413"/>
      <c r="IQX20" s="413"/>
      <c r="IQY20" s="413"/>
      <c r="IQZ20" s="413"/>
      <c r="IRA20" s="413"/>
      <c r="IRB20" s="413"/>
      <c r="IRC20" s="413"/>
      <c r="IRD20" s="413"/>
      <c r="IRE20" s="413"/>
      <c r="IRF20" s="413"/>
      <c r="IRG20" s="413"/>
      <c r="IRH20" s="413"/>
      <c r="IRI20" s="413"/>
      <c r="IRJ20" s="413"/>
      <c r="IRK20" s="413"/>
      <c r="IRL20" s="413"/>
      <c r="IRM20" s="413"/>
      <c r="IRN20" s="413"/>
      <c r="IRO20" s="413"/>
      <c r="IRP20" s="413"/>
      <c r="IRQ20" s="413"/>
      <c r="IRR20" s="413"/>
      <c r="IRS20" s="413"/>
      <c r="IRT20" s="413"/>
      <c r="IRU20" s="413"/>
      <c r="IRV20" s="413"/>
      <c r="IRW20" s="413"/>
      <c r="IRX20" s="413"/>
      <c r="IRY20" s="413"/>
      <c r="IRZ20" s="413"/>
      <c r="ISA20" s="413"/>
      <c r="ISB20" s="413"/>
      <c r="ISC20" s="413"/>
      <c r="ISD20" s="413"/>
      <c r="ISE20" s="413"/>
      <c r="ISF20" s="413"/>
      <c r="ISG20" s="413"/>
      <c r="ISH20" s="413"/>
      <c r="ISI20" s="413"/>
      <c r="ISJ20" s="413"/>
      <c r="ISK20" s="413"/>
      <c r="ISL20" s="413"/>
      <c r="ISM20" s="413"/>
      <c r="ISN20" s="413"/>
      <c r="ISO20" s="413"/>
      <c r="ISP20" s="413"/>
      <c r="ISQ20" s="413"/>
      <c r="ISR20" s="413"/>
      <c r="ISS20" s="413"/>
      <c r="IST20" s="413"/>
      <c r="ISU20" s="413"/>
      <c r="ISV20" s="413"/>
      <c r="ISW20" s="413"/>
      <c r="ISX20" s="413"/>
      <c r="ISY20" s="413"/>
      <c r="ISZ20" s="413"/>
      <c r="ITA20" s="413"/>
      <c r="ITB20" s="413"/>
      <c r="ITC20" s="413"/>
      <c r="ITD20" s="413"/>
      <c r="ITE20" s="413"/>
      <c r="ITF20" s="413"/>
      <c r="ITG20" s="413"/>
      <c r="ITH20" s="413"/>
      <c r="ITI20" s="413"/>
      <c r="ITJ20" s="413"/>
      <c r="ITK20" s="413"/>
      <c r="ITL20" s="413"/>
      <c r="ITM20" s="413"/>
      <c r="ITN20" s="413"/>
      <c r="ITO20" s="413"/>
      <c r="ITP20" s="413"/>
      <c r="ITQ20" s="413"/>
      <c r="ITR20" s="413"/>
      <c r="ITS20" s="413"/>
      <c r="ITT20" s="413"/>
      <c r="ITU20" s="413"/>
      <c r="ITV20" s="413"/>
      <c r="ITW20" s="413"/>
      <c r="ITX20" s="413"/>
      <c r="ITY20" s="413"/>
      <c r="ITZ20" s="413"/>
      <c r="IUA20" s="413"/>
      <c r="IUB20" s="413"/>
      <c r="IUC20" s="413"/>
      <c r="IUD20" s="413"/>
      <c r="IUE20" s="413"/>
      <c r="IUF20" s="413"/>
      <c r="IUG20" s="413"/>
      <c r="IUH20" s="413"/>
      <c r="IUI20" s="413"/>
      <c r="IUJ20" s="413"/>
      <c r="IUK20" s="413"/>
      <c r="IUL20" s="413"/>
      <c r="IUM20" s="413"/>
      <c r="IUN20" s="413"/>
      <c r="IUO20" s="413"/>
      <c r="IUP20" s="413"/>
      <c r="IUQ20" s="413"/>
      <c r="IUR20" s="413"/>
      <c r="IUS20" s="413"/>
      <c r="IUT20" s="413"/>
      <c r="IUU20" s="413"/>
      <c r="IUV20" s="413"/>
      <c r="IUW20" s="413"/>
      <c r="IUX20" s="413"/>
      <c r="IUY20" s="413"/>
      <c r="IUZ20" s="413"/>
      <c r="IVA20" s="413"/>
      <c r="IVB20" s="413"/>
      <c r="IVC20" s="413"/>
      <c r="IVD20" s="413"/>
      <c r="IVE20" s="413"/>
      <c r="IVF20" s="413"/>
      <c r="IVG20" s="413"/>
      <c r="IVH20" s="413"/>
      <c r="IVI20" s="413"/>
      <c r="IVJ20" s="413"/>
      <c r="IVK20" s="413"/>
      <c r="IVL20" s="413"/>
      <c r="IVM20" s="413"/>
      <c r="IVN20" s="413"/>
      <c r="IVO20" s="413"/>
      <c r="IVP20" s="413"/>
      <c r="IVQ20" s="413"/>
      <c r="IVR20" s="413"/>
      <c r="IVS20" s="413"/>
      <c r="IVT20" s="413"/>
      <c r="IVU20" s="413"/>
      <c r="IVV20" s="413"/>
      <c r="IVW20" s="413"/>
      <c r="IVX20" s="413"/>
      <c r="IVY20" s="413"/>
      <c r="IVZ20" s="413"/>
      <c r="IWA20" s="413"/>
      <c r="IWB20" s="413"/>
      <c r="IWC20" s="413"/>
      <c r="IWD20" s="413"/>
      <c r="IWE20" s="413"/>
      <c r="IWF20" s="413"/>
      <c r="IWG20" s="413"/>
      <c r="IWH20" s="413"/>
      <c r="IWI20" s="413"/>
      <c r="IWJ20" s="413"/>
      <c r="IWK20" s="413"/>
      <c r="IWL20" s="413"/>
      <c r="IWM20" s="413"/>
      <c r="IWN20" s="413"/>
      <c r="IWO20" s="413"/>
      <c r="IWP20" s="413"/>
      <c r="IWQ20" s="413"/>
      <c r="IWR20" s="413"/>
      <c r="IWS20" s="413"/>
      <c r="IWT20" s="413"/>
      <c r="IWU20" s="413"/>
      <c r="IWV20" s="413"/>
      <c r="IWW20" s="413"/>
      <c r="IWX20" s="413"/>
      <c r="IWY20" s="413"/>
      <c r="IWZ20" s="413"/>
      <c r="IXA20" s="413"/>
      <c r="IXB20" s="413"/>
      <c r="IXC20" s="413"/>
      <c r="IXD20" s="413"/>
      <c r="IXE20" s="413"/>
      <c r="IXF20" s="413"/>
      <c r="IXG20" s="413"/>
      <c r="IXH20" s="413"/>
      <c r="IXI20" s="413"/>
      <c r="IXJ20" s="413"/>
      <c r="IXK20" s="413"/>
      <c r="IXL20" s="413"/>
      <c r="IXM20" s="413"/>
      <c r="IXN20" s="413"/>
      <c r="IXO20" s="413"/>
      <c r="IXP20" s="413"/>
      <c r="IXQ20" s="413"/>
      <c r="IXR20" s="413"/>
      <c r="IXS20" s="413"/>
      <c r="IXT20" s="413"/>
      <c r="IXU20" s="413"/>
      <c r="IXV20" s="413"/>
      <c r="IXW20" s="413"/>
      <c r="IXX20" s="413"/>
      <c r="IXY20" s="413"/>
      <c r="IXZ20" s="413"/>
      <c r="IYA20" s="413"/>
      <c r="IYB20" s="413"/>
      <c r="IYC20" s="413"/>
      <c r="IYD20" s="413"/>
      <c r="IYE20" s="413"/>
      <c r="IYF20" s="413"/>
      <c r="IYG20" s="413"/>
      <c r="IYH20" s="413"/>
      <c r="IYI20" s="413"/>
      <c r="IYJ20" s="413"/>
      <c r="IYK20" s="413"/>
      <c r="IYL20" s="413"/>
      <c r="IYM20" s="413"/>
      <c r="IYN20" s="413"/>
      <c r="IYO20" s="413"/>
      <c r="IYP20" s="413"/>
      <c r="IYQ20" s="413"/>
      <c r="IYR20" s="413"/>
      <c r="IYS20" s="413"/>
      <c r="IYT20" s="413"/>
      <c r="IYU20" s="413"/>
      <c r="IYV20" s="413"/>
      <c r="IYW20" s="413"/>
      <c r="IYX20" s="413"/>
      <c r="IYY20" s="413"/>
      <c r="IYZ20" s="413"/>
      <c r="IZA20" s="413"/>
      <c r="IZB20" s="413"/>
      <c r="IZC20" s="413"/>
      <c r="IZD20" s="413"/>
      <c r="IZE20" s="413"/>
      <c r="IZF20" s="413"/>
      <c r="IZG20" s="413"/>
      <c r="IZH20" s="413"/>
      <c r="IZI20" s="413"/>
      <c r="IZJ20" s="413"/>
      <c r="IZK20" s="413"/>
      <c r="IZL20" s="413"/>
      <c r="IZM20" s="413"/>
      <c r="IZN20" s="413"/>
      <c r="IZO20" s="413"/>
      <c r="IZP20" s="413"/>
      <c r="IZQ20" s="413"/>
      <c r="IZR20" s="413"/>
      <c r="IZS20" s="413"/>
      <c r="IZT20" s="413"/>
      <c r="IZU20" s="413"/>
      <c r="IZV20" s="413"/>
      <c r="IZW20" s="413"/>
      <c r="IZX20" s="413"/>
      <c r="IZY20" s="413"/>
      <c r="IZZ20" s="413"/>
      <c r="JAA20" s="413"/>
      <c r="JAB20" s="413"/>
      <c r="JAC20" s="413"/>
      <c r="JAD20" s="413"/>
      <c r="JAE20" s="413"/>
      <c r="JAF20" s="413"/>
      <c r="JAG20" s="413"/>
      <c r="JAH20" s="413"/>
      <c r="JAI20" s="413"/>
      <c r="JAJ20" s="413"/>
      <c r="JAK20" s="413"/>
      <c r="JAL20" s="413"/>
      <c r="JAM20" s="413"/>
      <c r="JAN20" s="413"/>
      <c r="JAO20" s="413"/>
      <c r="JAP20" s="413"/>
      <c r="JAQ20" s="413"/>
      <c r="JAR20" s="413"/>
      <c r="JAS20" s="413"/>
      <c r="JAT20" s="413"/>
      <c r="JAU20" s="413"/>
      <c r="JAV20" s="413"/>
      <c r="JAW20" s="413"/>
      <c r="JAX20" s="413"/>
      <c r="JAY20" s="413"/>
      <c r="JAZ20" s="413"/>
      <c r="JBA20" s="413"/>
      <c r="JBB20" s="413"/>
      <c r="JBC20" s="413"/>
      <c r="JBD20" s="413"/>
      <c r="JBE20" s="413"/>
      <c r="JBF20" s="413"/>
      <c r="JBG20" s="413"/>
      <c r="JBH20" s="413"/>
      <c r="JBI20" s="413"/>
      <c r="JBJ20" s="413"/>
      <c r="JBK20" s="413"/>
      <c r="JBL20" s="413"/>
      <c r="JBM20" s="413"/>
      <c r="JBN20" s="413"/>
      <c r="JBO20" s="413"/>
      <c r="JBP20" s="413"/>
      <c r="JBQ20" s="413"/>
      <c r="JBR20" s="413"/>
      <c r="JBS20" s="413"/>
      <c r="JBT20" s="413"/>
      <c r="JBU20" s="413"/>
      <c r="JBV20" s="413"/>
      <c r="JBW20" s="413"/>
      <c r="JBX20" s="413"/>
      <c r="JBY20" s="413"/>
      <c r="JBZ20" s="413"/>
      <c r="JCA20" s="413"/>
      <c r="JCB20" s="413"/>
      <c r="JCC20" s="413"/>
      <c r="JCD20" s="413"/>
      <c r="JCE20" s="413"/>
      <c r="JCF20" s="413"/>
      <c r="JCG20" s="413"/>
      <c r="JCH20" s="413"/>
      <c r="JCI20" s="413"/>
      <c r="JCJ20" s="413"/>
      <c r="JCK20" s="413"/>
      <c r="JCL20" s="413"/>
      <c r="JCM20" s="413"/>
      <c r="JCN20" s="413"/>
      <c r="JCO20" s="413"/>
      <c r="JCP20" s="413"/>
      <c r="JCQ20" s="413"/>
      <c r="JCR20" s="413"/>
      <c r="JCS20" s="413"/>
      <c r="JCT20" s="413"/>
      <c r="JCU20" s="413"/>
      <c r="JCV20" s="413"/>
      <c r="JCW20" s="413"/>
      <c r="JCX20" s="413"/>
      <c r="JCY20" s="413"/>
      <c r="JCZ20" s="413"/>
      <c r="JDA20" s="413"/>
      <c r="JDB20" s="413"/>
      <c r="JDC20" s="413"/>
      <c r="JDD20" s="413"/>
      <c r="JDE20" s="413"/>
      <c r="JDF20" s="413"/>
      <c r="JDG20" s="413"/>
      <c r="JDH20" s="413"/>
      <c r="JDI20" s="413"/>
      <c r="JDJ20" s="413"/>
      <c r="JDK20" s="413"/>
      <c r="JDL20" s="413"/>
      <c r="JDM20" s="413"/>
      <c r="JDN20" s="413"/>
      <c r="JDO20" s="413"/>
      <c r="JDP20" s="413"/>
      <c r="JDQ20" s="413"/>
      <c r="JDR20" s="413"/>
      <c r="JDS20" s="413"/>
      <c r="JDT20" s="413"/>
      <c r="JDU20" s="413"/>
      <c r="JDV20" s="413"/>
      <c r="JDW20" s="413"/>
      <c r="JDX20" s="413"/>
      <c r="JDY20" s="413"/>
      <c r="JDZ20" s="413"/>
      <c r="JEA20" s="413"/>
      <c r="JEB20" s="413"/>
      <c r="JEC20" s="413"/>
      <c r="JED20" s="413"/>
      <c r="JEE20" s="413"/>
      <c r="JEF20" s="413"/>
      <c r="JEG20" s="413"/>
      <c r="JEH20" s="413"/>
      <c r="JEI20" s="413"/>
      <c r="JEJ20" s="413"/>
      <c r="JEK20" s="413"/>
      <c r="JEL20" s="413"/>
      <c r="JEM20" s="413"/>
      <c r="JEN20" s="413"/>
      <c r="JEO20" s="413"/>
      <c r="JEP20" s="413"/>
      <c r="JEQ20" s="413"/>
      <c r="JER20" s="413"/>
      <c r="JES20" s="413"/>
      <c r="JET20" s="413"/>
      <c r="JEU20" s="413"/>
      <c r="JEV20" s="413"/>
      <c r="JEW20" s="413"/>
      <c r="JEX20" s="413"/>
      <c r="JEY20" s="413"/>
      <c r="JEZ20" s="413"/>
      <c r="JFA20" s="413"/>
      <c r="JFB20" s="413"/>
      <c r="JFC20" s="413"/>
      <c r="JFD20" s="413"/>
      <c r="JFE20" s="413"/>
      <c r="JFF20" s="413"/>
      <c r="JFG20" s="413"/>
      <c r="JFH20" s="413"/>
      <c r="JFI20" s="413"/>
      <c r="JFJ20" s="413"/>
      <c r="JFK20" s="413"/>
      <c r="JFL20" s="413"/>
      <c r="JFM20" s="413"/>
      <c r="JFN20" s="413"/>
      <c r="JFO20" s="413"/>
      <c r="JFP20" s="413"/>
      <c r="JFQ20" s="413"/>
      <c r="JFR20" s="413"/>
      <c r="JFS20" s="413"/>
      <c r="JFT20" s="413"/>
      <c r="JFU20" s="413"/>
      <c r="JFV20" s="413"/>
      <c r="JFW20" s="413"/>
      <c r="JFX20" s="413"/>
      <c r="JFY20" s="413"/>
      <c r="JFZ20" s="413"/>
      <c r="JGA20" s="413"/>
      <c r="JGB20" s="413"/>
      <c r="JGC20" s="413"/>
      <c r="JGD20" s="413"/>
      <c r="JGE20" s="413"/>
      <c r="JGF20" s="413"/>
      <c r="JGG20" s="413"/>
      <c r="JGH20" s="413"/>
      <c r="JGI20" s="413"/>
      <c r="JGJ20" s="413"/>
      <c r="JGK20" s="413"/>
      <c r="JGL20" s="413"/>
      <c r="JGM20" s="413"/>
      <c r="JGN20" s="413"/>
      <c r="JGO20" s="413"/>
      <c r="JGP20" s="413"/>
      <c r="JGQ20" s="413"/>
      <c r="JGR20" s="413"/>
      <c r="JGS20" s="413"/>
      <c r="JGT20" s="413"/>
      <c r="JGU20" s="413"/>
      <c r="JGV20" s="413"/>
      <c r="JGW20" s="413"/>
      <c r="JGX20" s="413"/>
      <c r="JGY20" s="413"/>
      <c r="JGZ20" s="413"/>
      <c r="JHA20" s="413"/>
      <c r="JHB20" s="413"/>
      <c r="JHC20" s="413"/>
      <c r="JHD20" s="413"/>
      <c r="JHE20" s="413"/>
      <c r="JHF20" s="413"/>
      <c r="JHG20" s="413"/>
      <c r="JHH20" s="413"/>
      <c r="JHI20" s="413"/>
      <c r="JHJ20" s="413"/>
      <c r="JHK20" s="413"/>
      <c r="JHL20" s="413"/>
      <c r="JHM20" s="413"/>
      <c r="JHN20" s="413"/>
      <c r="JHO20" s="413"/>
      <c r="JHP20" s="413"/>
      <c r="JHQ20" s="413"/>
      <c r="JHR20" s="413"/>
      <c r="JHS20" s="413"/>
      <c r="JHT20" s="413"/>
      <c r="JHU20" s="413"/>
      <c r="JHV20" s="413"/>
      <c r="JHW20" s="413"/>
      <c r="JHX20" s="413"/>
      <c r="JHY20" s="413"/>
      <c r="JHZ20" s="413"/>
      <c r="JIA20" s="413"/>
      <c r="JIB20" s="413"/>
      <c r="JIC20" s="413"/>
      <c r="JID20" s="413"/>
      <c r="JIE20" s="413"/>
      <c r="JIF20" s="413"/>
      <c r="JIG20" s="413"/>
      <c r="JIH20" s="413"/>
      <c r="JII20" s="413"/>
      <c r="JIJ20" s="413"/>
      <c r="JIK20" s="413"/>
      <c r="JIL20" s="413"/>
      <c r="JIM20" s="413"/>
      <c r="JIN20" s="413"/>
      <c r="JIO20" s="413"/>
      <c r="JIP20" s="413"/>
      <c r="JIQ20" s="413"/>
      <c r="JIR20" s="413"/>
      <c r="JIS20" s="413"/>
      <c r="JIT20" s="413"/>
      <c r="JIU20" s="413"/>
      <c r="JIV20" s="413"/>
      <c r="JIW20" s="413"/>
      <c r="JIX20" s="413"/>
      <c r="JIY20" s="413"/>
      <c r="JIZ20" s="413"/>
      <c r="JJA20" s="413"/>
      <c r="JJB20" s="413"/>
      <c r="JJC20" s="413"/>
      <c r="JJD20" s="413"/>
      <c r="JJE20" s="413"/>
      <c r="JJF20" s="413"/>
      <c r="JJG20" s="413"/>
      <c r="JJH20" s="413"/>
      <c r="JJI20" s="413"/>
      <c r="JJJ20" s="413"/>
      <c r="JJK20" s="413"/>
      <c r="JJL20" s="413"/>
      <c r="JJM20" s="413"/>
      <c r="JJN20" s="413"/>
      <c r="JJO20" s="413"/>
      <c r="JJP20" s="413"/>
      <c r="JJQ20" s="413"/>
      <c r="JJR20" s="413"/>
      <c r="JJS20" s="413"/>
      <c r="JJT20" s="413"/>
      <c r="JJU20" s="413"/>
      <c r="JJV20" s="413"/>
      <c r="JJW20" s="413"/>
      <c r="JJX20" s="413"/>
      <c r="JJY20" s="413"/>
      <c r="JJZ20" s="413"/>
      <c r="JKA20" s="413"/>
      <c r="JKB20" s="413"/>
      <c r="JKC20" s="413"/>
      <c r="JKD20" s="413"/>
      <c r="JKE20" s="413"/>
      <c r="JKF20" s="413"/>
      <c r="JKG20" s="413"/>
      <c r="JKH20" s="413"/>
      <c r="JKI20" s="413"/>
      <c r="JKJ20" s="413"/>
      <c r="JKK20" s="413"/>
      <c r="JKL20" s="413"/>
      <c r="JKM20" s="413"/>
      <c r="JKN20" s="413"/>
      <c r="JKO20" s="413"/>
      <c r="JKP20" s="413"/>
      <c r="JKQ20" s="413"/>
      <c r="JKR20" s="413"/>
      <c r="JKS20" s="413"/>
      <c r="JKT20" s="413"/>
      <c r="JKU20" s="413"/>
      <c r="JKV20" s="413"/>
      <c r="JKW20" s="413"/>
      <c r="JKX20" s="413"/>
      <c r="JKY20" s="413"/>
      <c r="JKZ20" s="413"/>
      <c r="JLA20" s="413"/>
      <c r="JLB20" s="413"/>
      <c r="JLC20" s="413"/>
      <c r="JLD20" s="413"/>
      <c r="JLE20" s="413"/>
      <c r="JLF20" s="413"/>
      <c r="JLG20" s="413"/>
      <c r="JLH20" s="413"/>
      <c r="JLI20" s="413"/>
      <c r="JLJ20" s="413"/>
      <c r="JLK20" s="413"/>
      <c r="JLL20" s="413"/>
      <c r="JLM20" s="413"/>
      <c r="JLN20" s="413"/>
      <c r="JLO20" s="413"/>
      <c r="JLP20" s="413"/>
      <c r="JLQ20" s="413"/>
      <c r="JLR20" s="413"/>
      <c r="JLS20" s="413"/>
      <c r="JLT20" s="413"/>
      <c r="JLU20" s="413"/>
      <c r="JLV20" s="413"/>
      <c r="JLW20" s="413"/>
      <c r="JLX20" s="413"/>
      <c r="JLY20" s="413"/>
      <c r="JLZ20" s="413"/>
      <c r="JMA20" s="413"/>
      <c r="JMB20" s="413"/>
      <c r="JMC20" s="413"/>
      <c r="JMD20" s="413"/>
      <c r="JME20" s="413"/>
      <c r="JMF20" s="413"/>
      <c r="JMG20" s="413"/>
      <c r="JMH20" s="413"/>
      <c r="JMI20" s="413"/>
      <c r="JMJ20" s="413"/>
      <c r="JMK20" s="413"/>
      <c r="JML20" s="413"/>
      <c r="JMM20" s="413"/>
      <c r="JMN20" s="413"/>
      <c r="JMO20" s="413"/>
      <c r="JMP20" s="413"/>
      <c r="JMQ20" s="413"/>
      <c r="JMR20" s="413"/>
      <c r="JMS20" s="413"/>
      <c r="JMT20" s="413"/>
      <c r="JMU20" s="413"/>
      <c r="JMV20" s="413"/>
      <c r="JMW20" s="413"/>
      <c r="JMX20" s="413"/>
      <c r="JMY20" s="413"/>
      <c r="JMZ20" s="413"/>
      <c r="JNA20" s="413"/>
      <c r="JNB20" s="413"/>
      <c r="JNC20" s="413"/>
      <c r="JND20" s="413"/>
      <c r="JNE20" s="413"/>
      <c r="JNF20" s="413"/>
      <c r="JNG20" s="413"/>
      <c r="JNH20" s="413"/>
      <c r="JNI20" s="413"/>
      <c r="JNJ20" s="413"/>
      <c r="JNK20" s="413"/>
      <c r="JNL20" s="413"/>
      <c r="JNM20" s="413"/>
      <c r="JNN20" s="413"/>
      <c r="JNO20" s="413"/>
      <c r="JNP20" s="413"/>
      <c r="JNQ20" s="413"/>
      <c r="JNR20" s="413"/>
      <c r="JNS20" s="413"/>
      <c r="JNT20" s="413"/>
      <c r="JNU20" s="413"/>
      <c r="JNV20" s="413"/>
      <c r="JNW20" s="413"/>
      <c r="JNX20" s="413"/>
      <c r="JNY20" s="413"/>
      <c r="JNZ20" s="413"/>
      <c r="JOA20" s="413"/>
      <c r="JOB20" s="413"/>
      <c r="JOC20" s="413"/>
      <c r="JOD20" s="413"/>
      <c r="JOE20" s="413"/>
      <c r="JOF20" s="413"/>
      <c r="JOG20" s="413"/>
      <c r="JOH20" s="413"/>
      <c r="JOI20" s="413"/>
      <c r="JOJ20" s="413"/>
      <c r="JOK20" s="413"/>
      <c r="JOL20" s="413"/>
      <c r="JOM20" s="413"/>
      <c r="JON20" s="413"/>
      <c r="JOO20" s="413"/>
      <c r="JOP20" s="413"/>
      <c r="JOQ20" s="413"/>
      <c r="JOR20" s="413"/>
      <c r="JOS20" s="413"/>
      <c r="JOT20" s="413"/>
      <c r="JOU20" s="413"/>
      <c r="JOV20" s="413"/>
      <c r="JOW20" s="413"/>
      <c r="JOX20" s="413"/>
      <c r="JOY20" s="413"/>
      <c r="JOZ20" s="413"/>
      <c r="JPA20" s="413"/>
      <c r="JPB20" s="413"/>
      <c r="JPC20" s="413"/>
      <c r="JPD20" s="413"/>
      <c r="JPE20" s="413"/>
      <c r="JPF20" s="413"/>
      <c r="JPG20" s="413"/>
      <c r="JPH20" s="413"/>
      <c r="JPI20" s="413"/>
      <c r="JPJ20" s="413"/>
      <c r="JPK20" s="413"/>
      <c r="JPL20" s="413"/>
      <c r="JPM20" s="413"/>
      <c r="JPN20" s="413"/>
      <c r="JPO20" s="413"/>
      <c r="JPP20" s="413"/>
      <c r="JPQ20" s="413"/>
      <c r="JPR20" s="413"/>
      <c r="JPS20" s="413"/>
      <c r="JPT20" s="413"/>
      <c r="JPU20" s="413"/>
      <c r="JPV20" s="413"/>
      <c r="JPW20" s="413"/>
      <c r="JPX20" s="413"/>
      <c r="JPY20" s="413"/>
      <c r="JPZ20" s="413"/>
      <c r="JQA20" s="413"/>
      <c r="JQB20" s="413"/>
      <c r="JQC20" s="413"/>
      <c r="JQD20" s="413"/>
      <c r="JQE20" s="413"/>
      <c r="JQF20" s="413"/>
      <c r="JQG20" s="413"/>
      <c r="JQH20" s="413"/>
      <c r="JQI20" s="413"/>
      <c r="JQJ20" s="413"/>
      <c r="JQK20" s="413"/>
      <c r="JQL20" s="413"/>
      <c r="JQM20" s="413"/>
      <c r="JQN20" s="413"/>
      <c r="JQO20" s="413"/>
      <c r="JQP20" s="413"/>
      <c r="JQQ20" s="413"/>
      <c r="JQR20" s="413"/>
      <c r="JQS20" s="413"/>
      <c r="JQT20" s="413"/>
      <c r="JQU20" s="413"/>
      <c r="JQV20" s="413"/>
      <c r="JQW20" s="413"/>
      <c r="JQX20" s="413"/>
      <c r="JQY20" s="413"/>
      <c r="JQZ20" s="413"/>
      <c r="JRA20" s="413"/>
      <c r="JRB20" s="413"/>
      <c r="JRC20" s="413"/>
      <c r="JRD20" s="413"/>
      <c r="JRE20" s="413"/>
      <c r="JRF20" s="413"/>
      <c r="JRG20" s="413"/>
      <c r="JRH20" s="413"/>
      <c r="JRI20" s="413"/>
      <c r="JRJ20" s="413"/>
      <c r="JRK20" s="413"/>
      <c r="JRL20" s="413"/>
      <c r="JRM20" s="413"/>
      <c r="JRN20" s="413"/>
      <c r="JRO20" s="413"/>
      <c r="JRP20" s="413"/>
      <c r="JRQ20" s="413"/>
      <c r="JRR20" s="413"/>
      <c r="JRS20" s="413"/>
      <c r="JRT20" s="413"/>
      <c r="JRU20" s="413"/>
      <c r="JRV20" s="413"/>
      <c r="JRW20" s="413"/>
      <c r="JRX20" s="413"/>
      <c r="JRY20" s="413"/>
      <c r="JRZ20" s="413"/>
      <c r="JSA20" s="413"/>
      <c r="JSB20" s="413"/>
      <c r="JSC20" s="413"/>
      <c r="JSD20" s="413"/>
      <c r="JSE20" s="413"/>
      <c r="JSF20" s="413"/>
      <c r="JSG20" s="413"/>
      <c r="JSH20" s="413"/>
      <c r="JSI20" s="413"/>
      <c r="JSJ20" s="413"/>
      <c r="JSK20" s="413"/>
      <c r="JSL20" s="413"/>
      <c r="JSM20" s="413"/>
      <c r="JSN20" s="413"/>
      <c r="JSO20" s="413"/>
      <c r="JSP20" s="413"/>
      <c r="JSQ20" s="413"/>
      <c r="JSR20" s="413"/>
      <c r="JSS20" s="413"/>
      <c r="JST20" s="413"/>
      <c r="JSU20" s="413"/>
      <c r="JSV20" s="413"/>
      <c r="JSW20" s="413"/>
      <c r="JSX20" s="413"/>
      <c r="JSY20" s="413"/>
      <c r="JSZ20" s="413"/>
      <c r="JTA20" s="413"/>
      <c r="JTB20" s="413"/>
      <c r="JTC20" s="413"/>
      <c r="JTD20" s="413"/>
      <c r="JTE20" s="413"/>
      <c r="JTF20" s="413"/>
      <c r="JTG20" s="413"/>
      <c r="JTH20" s="413"/>
      <c r="JTI20" s="413"/>
      <c r="JTJ20" s="413"/>
      <c r="JTK20" s="413"/>
      <c r="JTL20" s="413"/>
      <c r="JTM20" s="413"/>
      <c r="JTN20" s="413"/>
      <c r="JTO20" s="413"/>
      <c r="JTP20" s="413"/>
      <c r="JTQ20" s="413"/>
      <c r="JTR20" s="413"/>
      <c r="JTS20" s="413"/>
      <c r="JTT20" s="413"/>
      <c r="JTU20" s="413"/>
      <c r="JTV20" s="413"/>
      <c r="JTW20" s="413"/>
      <c r="JTX20" s="413"/>
      <c r="JTY20" s="413"/>
      <c r="JTZ20" s="413"/>
      <c r="JUA20" s="413"/>
      <c r="JUB20" s="413"/>
      <c r="JUC20" s="413"/>
      <c r="JUD20" s="413"/>
      <c r="JUE20" s="413"/>
      <c r="JUF20" s="413"/>
      <c r="JUG20" s="413"/>
      <c r="JUH20" s="413"/>
      <c r="JUI20" s="413"/>
      <c r="JUJ20" s="413"/>
      <c r="JUK20" s="413"/>
      <c r="JUL20" s="413"/>
      <c r="JUM20" s="413"/>
      <c r="JUN20" s="413"/>
      <c r="JUO20" s="413"/>
      <c r="JUP20" s="413"/>
      <c r="JUQ20" s="413"/>
      <c r="JUR20" s="413"/>
      <c r="JUS20" s="413"/>
      <c r="JUT20" s="413"/>
      <c r="JUU20" s="413"/>
      <c r="JUV20" s="413"/>
      <c r="JUW20" s="413"/>
      <c r="JUX20" s="413"/>
      <c r="JUY20" s="413"/>
      <c r="JUZ20" s="413"/>
      <c r="JVA20" s="413"/>
      <c r="JVB20" s="413"/>
      <c r="JVC20" s="413"/>
      <c r="JVD20" s="413"/>
      <c r="JVE20" s="413"/>
      <c r="JVF20" s="413"/>
      <c r="JVG20" s="413"/>
      <c r="JVH20" s="413"/>
      <c r="JVI20" s="413"/>
      <c r="JVJ20" s="413"/>
      <c r="JVK20" s="413"/>
      <c r="JVL20" s="413"/>
      <c r="JVM20" s="413"/>
      <c r="JVN20" s="413"/>
      <c r="JVO20" s="413"/>
      <c r="JVP20" s="413"/>
      <c r="JVQ20" s="413"/>
      <c r="JVR20" s="413"/>
      <c r="JVS20" s="413"/>
      <c r="JVT20" s="413"/>
      <c r="JVU20" s="413"/>
      <c r="JVV20" s="413"/>
      <c r="JVW20" s="413"/>
      <c r="JVX20" s="413"/>
      <c r="JVY20" s="413"/>
      <c r="JVZ20" s="413"/>
      <c r="JWA20" s="413"/>
      <c r="JWB20" s="413"/>
      <c r="JWC20" s="413"/>
      <c r="JWD20" s="413"/>
      <c r="JWE20" s="413"/>
      <c r="JWF20" s="413"/>
      <c r="JWG20" s="413"/>
      <c r="JWH20" s="413"/>
      <c r="JWI20" s="413"/>
      <c r="JWJ20" s="413"/>
      <c r="JWK20" s="413"/>
      <c r="JWL20" s="413"/>
      <c r="JWM20" s="413"/>
      <c r="JWN20" s="413"/>
      <c r="JWO20" s="413"/>
      <c r="JWP20" s="413"/>
      <c r="JWQ20" s="413"/>
      <c r="JWR20" s="413"/>
      <c r="JWS20" s="413"/>
      <c r="JWT20" s="413"/>
      <c r="JWU20" s="413"/>
      <c r="JWV20" s="413"/>
      <c r="JWW20" s="413"/>
      <c r="JWX20" s="413"/>
      <c r="JWY20" s="413"/>
      <c r="JWZ20" s="413"/>
      <c r="JXA20" s="413"/>
      <c r="JXB20" s="413"/>
      <c r="JXC20" s="413"/>
      <c r="JXD20" s="413"/>
      <c r="JXE20" s="413"/>
      <c r="JXF20" s="413"/>
      <c r="JXG20" s="413"/>
      <c r="JXH20" s="413"/>
      <c r="JXI20" s="413"/>
      <c r="JXJ20" s="413"/>
      <c r="JXK20" s="413"/>
      <c r="JXL20" s="413"/>
      <c r="JXM20" s="413"/>
      <c r="JXN20" s="413"/>
      <c r="JXO20" s="413"/>
      <c r="JXP20" s="413"/>
      <c r="JXQ20" s="413"/>
      <c r="JXR20" s="413"/>
      <c r="JXS20" s="413"/>
      <c r="JXT20" s="413"/>
      <c r="JXU20" s="413"/>
      <c r="JXV20" s="413"/>
      <c r="JXW20" s="413"/>
      <c r="JXX20" s="413"/>
      <c r="JXY20" s="413"/>
      <c r="JXZ20" s="413"/>
      <c r="JYA20" s="413"/>
      <c r="JYB20" s="413"/>
      <c r="JYC20" s="413"/>
      <c r="JYD20" s="413"/>
      <c r="JYE20" s="413"/>
      <c r="JYF20" s="413"/>
      <c r="JYG20" s="413"/>
      <c r="JYH20" s="413"/>
      <c r="JYI20" s="413"/>
      <c r="JYJ20" s="413"/>
      <c r="JYK20" s="413"/>
      <c r="JYL20" s="413"/>
      <c r="JYM20" s="413"/>
      <c r="JYN20" s="413"/>
      <c r="JYO20" s="413"/>
      <c r="JYP20" s="413"/>
      <c r="JYQ20" s="413"/>
      <c r="JYR20" s="413"/>
      <c r="JYS20" s="413"/>
      <c r="JYT20" s="413"/>
      <c r="JYU20" s="413"/>
      <c r="JYV20" s="413"/>
      <c r="JYW20" s="413"/>
      <c r="JYX20" s="413"/>
      <c r="JYY20" s="413"/>
      <c r="JYZ20" s="413"/>
      <c r="JZA20" s="413"/>
      <c r="JZB20" s="413"/>
      <c r="JZC20" s="413"/>
      <c r="JZD20" s="413"/>
      <c r="JZE20" s="413"/>
      <c r="JZF20" s="413"/>
      <c r="JZG20" s="413"/>
      <c r="JZH20" s="413"/>
      <c r="JZI20" s="413"/>
      <c r="JZJ20" s="413"/>
      <c r="JZK20" s="413"/>
      <c r="JZL20" s="413"/>
      <c r="JZM20" s="413"/>
      <c r="JZN20" s="413"/>
      <c r="JZO20" s="413"/>
      <c r="JZP20" s="413"/>
      <c r="JZQ20" s="413"/>
      <c r="JZR20" s="413"/>
      <c r="JZS20" s="413"/>
      <c r="JZT20" s="413"/>
      <c r="JZU20" s="413"/>
      <c r="JZV20" s="413"/>
      <c r="JZW20" s="413"/>
      <c r="JZX20" s="413"/>
      <c r="JZY20" s="413"/>
      <c r="JZZ20" s="413"/>
      <c r="KAA20" s="413"/>
      <c r="KAB20" s="413"/>
      <c r="KAC20" s="413"/>
      <c r="KAD20" s="413"/>
      <c r="KAE20" s="413"/>
      <c r="KAF20" s="413"/>
      <c r="KAG20" s="413"/>
      <c r="KAH20" s="413"/>
      <c r="KAI20" s="413"/>
      <c r="KAJ20" s="413"/>
      <c r="KAK20" s="413"/>
      <c r="KAL20" s="413"/>
      <c r="KAM20" s="413"/>
      <c r="KAN20" s="413"/>
      <c r="KAO20" s="413"/>
      <c r="KAP20" s="413"/>
      <c r="KAQ20" s="413"/>
      <c r="KAR20" s="413"/>
      <c r="KAS20" s="413"/>
      <c r="KAT20" s="413"/>
      <c r="KAU20" s="413"/>
      <c r="KAV20" s="413"/>
      <c r="KAW20" s="413"/>
      <c r="KAX20" s="413"/>
      <c r="KAY20" s="413"/>
      <c r="KAZ20" s="413"/>
      <c r="KBA20" s="413"/>
      <c r="KBB20" s="413"/>
      <c r="KBC20" s="413"/>
      <c r="KBD20" s="413"/>
      <c r="KBE20" s="413"/>
      <c r="KBF20" s="413"/>
      <c r="KBG20" s="413"/>
      <c r="KBH20" s="413"/>
      <c r="KBI20" s="413"/>
      <c r="KBJ20" s="413"/>
      <c r="KBK20" s="413"/>
      <c r="KBL20" s="413"/>
      <c r="KBM20" s="413"/>
      <c r="KBN20" s="413"/>
      <c r="KBO20" s="413"/>
      <c r="KBP20" s="413"/>
      <c r="KBQ20" s="413"/>
      <c r="KBR20" s="413"/>
      <c r="KBS20" s="413"/>
      <c r="KBT20" s="413"/>
      <c r="KBU20" s="413"/>
      <c r="KBV20" s="413"/>
      <c r="KBW20" s="413"/>
      <c r="KBX20" s="413"/>
      <c r="KBY20" s="413"/>
      <c r="KBZ20" s="413"/>
      <c r="KCA20" s="413"/>
      <c r="KCB20" s="413"/>
      <c r="KCC20" s="413"/>
      <c r="KCD20" s="413"/>
      <c r="KCE20" s="413"/>
      <c r="KCF20" s="413"/>
      <c r="KCG20" s="413"/>
      <c r="KCH20" s="413"/>
      <c r="KCI20" s="413"/>
      <c r="KCJ20" s="413"/>
      <c r="KCK20" s="413"/>
      <c r="KCL20" s="413"/>
      <c r="KCM20" s="413"/>
      <c r="KCN20" s="413"/>
      <c r="KCO20" s="413"/>
      <c r="KCP20" s="413"/>
      <c r="KCQ20" s="413"/>
      <c r="KCR20" s="413"/>
      <c r="KCS20" s="413"/>
      <c r="KCT20" s="413"/>
      <c r="KCU20" s="413"/>
      <c r="KCV20" s="413"/>
      <c r="KCW20" s="413"/>
      <c r="KCX20" s="413"/>
      <c r="KCY20" s="413"/>
      <c r="KCZ20" s="413"/>
      <c r="KDA20" s="413"/>
      <c r="KDB20" s="413"/>
      <c r="KDC20" s="413"/>
      <c r="KDD20" s="413"/>
      <c r="KDE20" s="413"/>
      <c r="KDF20" s="413"/>
      <c r="KDG20" s="413"/>
      <c r="KDH20" s="413"/>
      <c r="KDI20" s="413"/>
      <c r="KDJ20" s="413"/>
      <c r="KDK20" s="413"/>
      <c r="KDL20" s="413"/>
      <c r="KDM20" s="413"/>
      <c r="KDN20" s="413"/>
      <c r="KDO20" s="413"/>
      <c r="KDP20" s="413"/>
      <c r="KDQ20" s="413"/>
      <c r="KDR20" s="413"/>
      <c r="KDS20" s="413"/>
      <c r="KDT20" s="413"/>
      <c r="KDU20" s="413"/>
      <c r="KDV20" s="413"/>
      <c r="KDW20" s="413"/>
      <c r="KDX20" s="413"/>
      <c r="KDY20" s="413"/>
      <c r="KDZ20" s="413"/>
      <c r="KEA20" s="413"/>
      <c r="KEB20" s="413"/>
      <c r="KEC20" s="413"/>
      <c r="KED20" s="413"/>
      <c r="KEE20" s="413"/>
      <c r="KEF20" s="413"/>
      <c r="KEG20" s="413"/>
      <c r="KEH20" s="413"/>
      <c r="KEI20" s="413"/>
      <c r="KEJ20" s="413"/>
      <c r="KEK20" s="413"/>
      <c r="KEL20" s="413"/>
      <c r="KEM20" s="413"/>
      <c r="KEN20" s="413"/>
      <c r="KEO20" s="413"/>
      <c r="KEP20" s="413"/>
      <c r="KEQ20" s="413"/>
      <c r="KER20" s="413"/>
      <c r="KES20" s="413"/>
      <c r="KET20" s="413"/>
      <c r="KEU20" s="413"/>
      <c r="KEV20" s="413"/>
      <c r="KEW20" s="413"/>
      <c r="KEX20" s="413"/>
      <c r="KEY20" s="413"/>
      <c r="KEZ20" s="413"/>
      <c r="KFA20" s="413"/>
      <c r="KFB20" s="413"/>
      <c r="KFC20" s="413"/>
      <c r="KFD20" s="413"/>
      <c r="KFE20" s="413"/>
      <c r="KFF20" s="413"/>
      <c r="KFG20" s="413"/>
      <c r="KFH20" s="413"/>
      <c r="KFI20" s="413"/>
      <c r="KFJ20" s="413"/>
      <c r="KFK20" s="413"/>
      <c r="KFL20" s="413"/>
      <c r="KFM20" s="413"/>
      <c r="KFN20" s="413"/>
      <c r="KFO20" s="413"/>
      <c r="KFP20" s="413"/>
      <c r="KFQ20" s="413"/>
      <c r="KFR20" s="413"/>
      <c r="KFS20" s="413"/>
      <c r="KFT20" s="413"/>
      <c r="KFU20" s="413"/>
      <c r="KFV20" s="413"/>
      <c r="KFW20" s="413"/>
      <c r="KFX20" s="413"/>
      <c r="KFY20" s="413"/>
      <c r="KFZ20" s="413"/>
      <c r="KGA20" s="413"/>
      <c r="KGB20" s="413"/>
      <c r="KGC20" s="413"/>
      <c r="KGD20" s="413"/>
      <c r="KGE20" s="413"/>
      <c r="KGF20" s="413"/>
      <c r="KGG20" s="413"/>
      <c r="KGH20" s="413"/>
      <c r="KGI20" s="413"/>
      <c r="KGJ20" s="413"/>
      <c r="KGK20" s="413"/>
      <c r="KGL20" s="413"/>
      <c r="KGM20" s="413"/>
      <c r="KGN20" s="413"/>
      <c r="KGO20" s="413"/>
      <c r="KGP20" s="413"/>
      <c r="KGQ20" s="413"/>
      <c r="KGR20" s="413"/>
      <c r="KGS20" s="413"/>
      <c r="KGT20" s="413"/>
      <c r="KGU20" s="413"/>
      <c r="KGV20" s="413"/>
      <c r="KGW20" s="413"/>
      <c r="KGX20" s="413"/>
      <c r="KGY20" s="413"/>
      <c r="KGZ20" s="413"/>
      <c r="KHA20" s="413"/>
      <c r="KHB20" s="413"/>
      <c r="KHC20" s="413"/>
      <c r="KHD20" s="413"/>
      <c r="KHE20" s="413"/>
      <c r="KHF20" s="413"/>
      <c r="KHG20" s="413"/>
      <c r="KHH20" s="413"/>
      <c r="KHI20" s="413"/>
      <c r="KHJ20" s="413"/>
      <c r="KHK20" s="413"/>
      <c r="KHL20" s="413"/>
      <c r="KHM20" s="413"/>
      <c r="KHN20" s="413"/>
      <c r="KHO20" s="413"/>
      <c r="KHP20" s="413"/>
      <c r="KHQ20" s="413"/>
      <c r="KHR20" s="413"/>
      <c r="KHS20" s="413"/>
      <c r="KHT20" s="413"/>
      <c r="KHU20" s="413"/>
      <c r="KHV20" s="413"/>
      <c r="KHW20" s="413"/>
      <c r="KHX20" s="413"/>
      <c r="KHY20" s="413"/>
      <c r="KHZ20" s="413"/>
      <c r="KIA20" s="413"/>
      <c r="KIB20" s="413"/>
      <c r="KIC20" s="413"/>
      <c r="KID20" s="413"/>
      <c r="KIE20" s="413"/>
      <c r="KIF20" s="413"/>
      <c r="KIG20" s="413"/>
      <c r="KIH20" s="413"/>
      <c r="KII20" s="413"/>
      <c r="KIJ20" s="413"/>
      <c r="KIK20" s="413"/>
      <c r="KIL20" s="413"/>
      <c r="KIM20" s="413"/>
      <c r="KIN20" s="413"/>
      <c r="KIO20" s="413"/>
      <c r="KIP20" s="413"/>
      <c r="KIQ20" s="413"/>
      <c r="KIR20" s="413"/>
      <c r="KIS20" s="413"/>
      <c r="KIT20" s="413"/>
      <c r="KIU20" s="413"/>
      <c r="KIV20" s="413"/>
      <c r="KIW20" s="413"/>
      <c r="KIX20" s="413"/>
      <c r="KIY20" s="413"/>
      <c r="KIZ20" s="413"/>
      <c r="KJA20" s="413"/>
      <c r="KJB20" s="413"/>
      <c r="KJC20" s="413"/>
      <c r="KJD20" s="413"/>
      <c r="KJE20" s="413"/>
      <c r="KJF20" s="413"/>
      <c r="KJG20" s="413"/>
      <c r="KJH20" s="413"/>
      <c r="KJI20" s="413"/>
      <c r="KJJ20" s="413"/>
      <c r="KJK20" s="413"/>
      <c r="KJL20" s="413"/>
      <c r="KJM20" s="413"/>
      <c r="KJN20" s="413"/>
      <c r="KJO20" s="413"/>
      <c r="KJP20" s="413"/>
      <c r="KJQ20" s="413"/>
      <c r="KJR20" s="413"/>
      <c r="KJS20" s="413"/>
      <c r="KJT20" s="413"/>
      <c r="KJU20" s="413"/>
      <c r="KJV20" s="413"/>
      <c r="KJW20" s="413"/>
      <c r="KJX20" s="413"/>
      <c r="KJY20" s="413"/>
      <c r="KJZ20" s="413"/>
      <c r="KKA20" s="413"/>
      <c r="KKB20" s="413"/>
      <c r="KKC20" s="413"/>
      <c r="KKD20" s="413"/>
      <c r="KKE20" s="413"/>
      <c r="KKF20" s="413"/>
      <c r="KKG20" s="413"/>
      <c r="KKH20" s="413"/>
      <c r="KKI20" s="413"/>
      <c r="KKJ20" s="413"/>
      <c r="KKK20" s="413"/>
      <c r="KKL20" s="413"/>
      <c r="KKM20" s="413"/>
      <c r="KKN20" s="413"/>
      <c r="KKO20" s="413"/>
      <c r="KKP20" s="413"/>
      <c r="KKQ20" s="413"/>
      <c r="KKR20" s="413"/>
      <c r="KKS20" s="413"/>
      <c r="KKT20" s="413"/>
      <c r="KKU20" s="413"/>
      <c r="KKV20" s="413"/>
      <c r="KKW20" s="413"/>
      <c r="KKX20" s="413"/>
      <c r="KKY20" s="413"/>
      <c r="KKZ20" s="413"/>
      <c r="KLA20" s="413"/>
      <c r="KLB20" s="413"/>
      <c r="KLC20" s="413"/>
      <c r="KLD20" s="413"/>
      <c r="KLE20" s="413"/>
      <c r="KLF20" s="413"/>
      <c r="KLG20" s="413"/>
      <c r="KLH20" s="413"/>
      <c r="KLI20" s="413"/>
      <c r="KLJ20" s="413"/>
      <c r="KLK20" s="413"/>
      <c r="KLL20" s="413"/>
      <c r="KLM20" s="413"/>
      <c r="KLN20" s="413"/>
      <c r="KLO20" s="413"/>
      <c r="KLP20" s="413"/>
      <c r="KLQ20" s="413"/>
      <c r="KLR20" s="413"/>
      <c r="KLS20" s="413"/>
      <c r="KLT20" s="413"/>
      <c r="KLU20" s="413"/>
      <c r="KLV20" s="413"/>
      <c r="KLW20" s="413"/>
      <c r="KLX20" s="413"/>
      <c r="KLY20" s="413"/>
      <c r="KLZ20" s="413"/>
      <c r="KMA20" s="413"/>
      <c r="KMB20" s="413"/>
      <c r="KMC20" s="413"/>
      <c r="KMD20" s="413"/>
      <c r="KME20" s="413"/>
      <c r="KMF20" s="413"/>
      <c r="KMG20" s="413"/>
      <c r="KMH20" s="413"/>
      <c r="KMI20" s="413"/>
      <c r="KMJ20" s="413"/>
      <c r="KMK20" s="413"/>
      <c r="KML20" s="413"/>
      <c r="KMM20" s="413"/>
      <c r="KMN20" s="413"/>
      <c r="KMO20" s="413"/>
      <c r="KMP20" s="413"/>
      <c r="KMQ20" s="413"/>
      <c r="KMR20" s="413"/>
      <c r="KMS20" s="413"/>
      <c r="KMT20" s="413"/>
      <c r="KMU20" s="413"/>
      <c r="KMV20" s="413"/>
      <c r="KMW20" s="413"/>
      <c r="KMX20" s="413"/>
      <c r="KMY20" s="413"/>
      <c r="KMZ20" s="413"/>
      <c r="KNA20" s="413"/>
      <c r="KNB20" s="413"/>
      <c r="KNC20" s="413"/>
      <c r="KND20" s="413"/>
      <c r="KNE20" s="413"/>
      <c r="KNF20" s="413"/>
      <c r="KNG20" s="413"/>
      <c r="KNH20" s="413"/>
      <c r="KNI20" s="413"/>
      <c r="KNJ20" s="413"/>
      <c r="KNK20" s="413"/>
      <c r="KNL20" s="413"/>
      <c r="KNM20" s="413"/>
      <c r="KNN20" s="413"/>
      <c r="KNO20" s="413"/>
      <c r="KNP20" s="413"/>
      <c r="KNQ20" s="413"/>
      <c r="KNR20" s="413"/>
      <c r="KNS20" s="413"/>
      <c r="KNT20" s="413"/>
      <c r="KNU20" s="413"/>
      <c r="KNV20" s="413"/>
      <c r="KNW20" s="413"/>
      <c r="KNX20" s="413"/>
      <c r="KNY20" s="413"/>
      <c r="KNZ20" s="413"/>
      <c r="KOA20" s="413"/>
      <c r="KOB20" s="413"/>
      <c r="KOC20" s="413"/>
      <c r="KOD20" s="413"/>
      <c r="KOE20" s="413"/>
      <c r="KOF20" s="413"/>
      <c r="KOG20" s="413"/>
      <c r="KOH20" s="413"/>
      <c r="KOI20" s="413"/>
      <c r="KOJ20" s="413"/>
      <c r="KOK20" s="413"/>
      <c r="KOL20" s="413"/>
      <c r="KOM20" s="413"/>
      <c r="KON20" s="413"/>
      <c r="KOO20" s="413"/>
      <c r="KOP20" s="413"/>
      <c r="KOQ20" s="413"/>
      <c r="KOR20" s="413"/>
      <c r="KOS20" s="413"/>
      <c r="KOT20" s="413"/>
      <c r="KOU20" s="413"/>
      <c r="KOV20" s="413"/>
      <c r="KOW20" s="413"/>
      <c r="KOX20" s="413"/>
      <c r="KOY20" s="413"/>
      <c r="KOZ20" s="413"/>
      <c r="KPA20" s="413"/>
      <c r="KPB20" s="413"/>
      <c r="KPC20" s="413"/>
      <c r="KPD20" s="413"/>
      <c r="KPE20" s="413"/>
      <c r="KPF20" s="413"/>
      <c r="KPG20" s="413"/>
      <c r="KPH20" s="413"/>
      <c r="KPI20" s="413"/>
      <c r="KPJ20" s="413"/>
      <c r="KPK20" s="413"/>
      <c r="KPL20" s="413"/>
      <c r="KPM20" s="413"/>
      <c r="KPN20" s="413"/>
      <c r="KPO20" s="413"/>
      <c r="KPP20" s="413"/>
      <c r="KPQ20" s="413"/>
      <c r="KPR20" s="413"/>
      <c r="KPS20" s="413"/>
      <c r="KPT20" s="413"/>
      <c r="KPU20" s="413"/>
      <c r="KPV20" s="413"/>
      <c r="KPW20" s="413"/>
      <c r="KPX20" s="413"/>
      <c r="KPY20" s="413"/>
      <c r="KPZ20" s="413"/>
      <c r="KQA20" s="413"/>
      <c r="KQB20" s="413"/>
      <c r="KQC20" s="413"/>
      <c r="KQD20" s="413"/>
      <c r="KQE20" s="413"/>
      <c r="KQF20" s="413"/>
      <c r="KQG20" s="413"/>
      <c r="KQH20" s="413"/>
      <c r="KQI20" s="413"/>
      <c r="KQJ20" s="413"/>
      <c r="KQK20" s="413"/>
      <c r="KQL20" s="413"/>
      <c r="KQM20" s="413"/>
      <c r="KQN20" s="413"/>
      <c r="KQO20" s="413"/>
      <c r="KQP20" s="413"/>
      <c r="KQQ20" s="413"/>
      <c r="KQR20" s="413"/>
      <c r="KQS20" s="413"/>
      <c r="KQT20" s="413"/>
      <c r="KQU20" s="413"/>
      <c r="KQV20" s="413"/>
      <c r="KQW20" s="413"/>
      <c r="KQX20" s="413"/>
      <c r="KQY20" s="413"/>
      <c r="KQZ20" s="413"/>
      <c r="KRA20" s="413"/>
      <c r="KRB20" s="413"/>
      <c r="KRC20" s="413"/>
      <c r="KRD20" s="413"/>
      <c r="KRE20" s="413"/>
      <c r="KRF20" s="413"/>
      <c r="KRG20" s="413"/>
      <c r="KRH20" s="413"/>
      <c r="KRI20" s="413"/>
      <c r="KRJ20" s="413"/>
      <c r="KRK20" s="413"/>
      <c r="KRL20" s="413"/>
      <c r="KRM20" s="413"/>
      <c r="KRN20" s="413"/>
      <c r="KRO20" s="413"/>
      <c r="KRP20" s="413"/>
      <c r="KRQ20" s="413"/>
      <c r="KRR20" s="413"/>
      <c r="KRS20" s="413"/>
      <c r="KRT20" s="413"/>
      <c r="KRU20" s="413"/>
      <c r="KRV20" s="413"/>
      <c r="KRW20" s="413"/>
      <c r="KRX20" s="413"/>
      <c r="KRY20" s="413"/>
      <c r="KRZ20" s="413"/>
      <c r="KSA20" s="413"/>
      <c r="KSB20" s="413"/>
      <c r="KSC20" s="413"/>
      <c r="KSD20" s="413"/>
      <c r="KSE20" s="413"/>
      <c r="KSF20" s="413"/>
      <c r="KSG20" s="413"/>
      <c r="KSH20" s="413"/>
      <c r="KSI20" s="413"/>
      <c r="KSJ20" s="413"/>
      <c r="KSK20" s="413"/>
      <c r="KSL20" s="413"/>
      <c r="KSM20" s="413"/>
      <c r="KSN20" s="413"/>
      <c r="KSO20" s="413"/>
      <c r="KSP20" s="413"/>
      <c r="KSQ20" s="413"/>
      <c r="KSR20" s="413"/>
      <c r="KSS20" s="413"/>
      <c r="KST20" s="413"/>
      <c r="KSU20" s="413"/>
      <c r="KSV20" s="413"/>
      <c r="KSW20" s="413"/>
      <c r="KSX20" s="413"/>
      <c r="KSY20" s="413"/>
      <c r="KSZ20" s="413"/>
      <c r="KTA20" s="413"/>
      <c r="KTB20" s="413"/>
      <c r="KTC20" s="413"/>
      <c r="KTD20" s="413"/>
      <c r="KTE20" s="413"/>
      <c r="KTF20" s="413"/>
      <c r="KTG20" s="413"/>
      <c r="KTH20" s="413"/>
      <c r="KTI20" s="413"/>
      <c r="KTJ20" s="413"/>
      <c r="KTK20" s="413"/>
      <c r="KTL20" s="413"/>
      <c r="KTM20" s="413"/>
      <c r="KTN20" s="413"/>
      <c r="KTO20" s="413"/>
      <c r="KTP20" s="413"/>
      <c r="KTQ20" s="413"/>
      <c r="KTR20" s="413"/>
      <c r="KTS20" s="413"/>
      <c r="KTT20" s="413"/>
      <c r="KTU20" s="413"/>
      <c r="KTV20" s="413"/>
      <c r="KTW20" s="413"/>
      <c r="KTX20" s="413"/>
      <c r="KTY20" s="413"/>
      <c r="KTZ20" s="413"/>
      <c r="KUA20" s="413"/>
      <c r="KUB20" s="413"/>
      <c r="KUC20" s="413"/>
      <c r="KUD20" s="413"/>
      <c r="KUE20" s="413"/>
      <c r="KUF20" s="413"/>
      <c r="KUG20" s="413"/>
      <c r="KUH20" s="413"/>
      <c r="KUI20" s="413"/>
      <c r="KUJ20" s="413"/>
      <c r="KUK20" s="413"/>
      <c r="KUL20" s="413"/>
      <c r="KUM20" s="413"/>
      <c r="KUN20" s="413"/>
      <c r="KUO20" s="413"/>
      <c r="KUP20" s="413"/>
      <c r="KUQ20" s="413"/>
      <c r="KUR20" s="413"/>
      <c r="KUS20" s="413"/>
      <c r="KUT20" s="413"/>
      <c r="KUU20" s="413"/>
      <c r="KUV20" s="413"/>
      <c r="KUW20" s="413"/>
      <c r="KUX20" s="413"/>
      <c r="KUY20" s="413"/>
      <c r="KUZ20" s="413"/>
      <c r="KVA20" s="413"/>
      <c r="KVB20" s="413"/>
      <c r="KVC20" s="413"/>
      <c r="KVD20" s="413"/>
      <c r="KVE20" s="413"/>
      <c r="KVF20" s="413"/>
      <c r="KVG20" s="413"/>
      <c r="KVH20" s="413"/>
      <c r="KVI20" s="413"/>
      <c r="KVJ20" s="413"/>
      <c r="KVK20" s="413"/>
      <c r="KVL20" s="413"/>
      <c r="KVM20" s="413"/>
      <c r="KVN20" s="413"/>
      <c r="KVO20" s="413"/>
      <c r="KVP20" s="413"/>
      <c r="KVQ20" s="413"/>
      <c r="KVR20" s="413"/>
      <c r="KVS20" s="413"/>
      <c r="KVT20" s="413"/>
      <c r="KVU20" s="413"/>
      <c r="KVV20" s="413"/>
      <c r="KVW20" s="413"/>
      <c r="KVX20" s="413"/>
      <c r="KVY20" s="413"/>
      <c r="KVZ20" s="413"/>
      <c r="KWA20" s="413"/>
      <c r="KWB20" s="413"/>
      <c r="KWC20" s="413"/>
      <c r="KWD20" s="413"/>
      <c r="KWE20" s="413"/>
      <c r="KWF20" s="413"/>
      <c r="KWG20" s="413"/>
      <c r="KWH20" s="413"/>
      <c r="KWI20" s="413"/>
      <c r="KWJ20" s="413"/>
      <c r="KWK20" s="413"/>
      <c r="KWL20" s="413"/>
      <c r="KWM20" s="413"/>
      <c r="KWN20" s="413"/>
      <c r="KWO20" s="413"/>
      <c r="KWP20" s="413"/>
      <c r="KWQ20" s="413"/>
      <c r="KWR20" s="413"/>
      <c r="KWS20" s="413"/>
      <c r="KWT20" s="413"/>
      <c r="KWU20" s="413"/>
      <c r="KWV20" s="413"/>
      <c r="KWW20" s="413"/>
      <c r="KWX20" s="413"/>
      <c r="KWY20" s="413"/>
      <c r="KWZ20" s="413"/>
      <c r="KXA20" s="413"/>
      <c r="KXB20" s="413"/>
      <c r="KXC20" s="413"/>
      <c r="KXD20" s="413"/>
      <c r="KXE20" s="413"/>
      <c r="KXF20" s="413"/>
      <c r="KXG20" s="413"/>
      <c r="KXH20" s="413"/>
      <c r="KXI20" s="413"/>
      <c r="KXJ20" s="413"/>
      <c r="KXK20" s="413"/>
      <c r="KXL20" s="413"/>
      <c r="KXM20" s="413"/>
      <c r="KXN20" s="413"/>
      <c r="KXO20" s="413"/>
      <c r="KXP20" s="413"/>
      <c r="KXQ20" s="413"/>
      <c r="KXR20" s="413"/>
      <c r="KXS20" s="413"/>
      <c r="KXT20" s="413"/>
      <c r="KXU20" s="413"/>
      <c r="KXV20" s="413"/>
      <c r="KXW20" s="413"/>
      <c r="KXX20" s="413"/>
      <c r="KXY20" s="413"/>
      <c r="KXZ20" s="413"/>
      <c r="KYA20" s="413"/>
      <c r="KYB20" s="413"/>
      <c r="KYC20" s="413"/>
      <c r="KYD20" s="413"/>
      <c r="KYE20" s="413"/>
      <c r="KYF20" s="413"/>
      <c r="KYG20" s="413"/>
      <c r="KYH20" s="413"/>
      <c r="KYI20" s="413"/>
      <c r="KYJ20" s="413"/>
      <c r="KYK20" s="413"/>
      <c r="KYL20" s="413"/>
      <c r="KYM20" s="413"/>
      <c r="KYN20" s="413"/>
      <c r="KYO20" s="413"/>
      <c r="KYP20" s="413"/>
      <c r="KYQ20" s="413"/>
      <c r="KYR20" s="413"/>
      <c r="KYS20" s="413"/>
      <c r="KYT20" s="413"/>
      <c r="KYU20" s="413"/>
      <c r="KYV20" s="413"/>
      <c r="KYW20" s="413"/>
      <c r="KYX20" s="413"/>
      <c r="KYY20" s="413"/>
      <c r="KYZ20" s="413"/>
      <c r="KZA20" s="413"/>
      <c r="KZB20" s="413"/>
      <c r="KZC20" s="413"/>
      <c r="KZD20" s="413"/>
      <c r="KZE20" s="413"/>
      <c r="KZF20" s="413"/>
      <c r="KZG20" s="413"/>
      <c r="KZH20" s="413"/>
      <c r="KZI20" s="413"/>
      <c r="KZJ20" s="413"/>
      <c r="KZK20" s="413"/>
      <c r="KZL20" s="413"/>
      <c r="KZM20" s="413"/>
      <c r="KZN20" s="413"/>
      <c r="KZO20" s="413"/>
      <c r="KZP20" s="413"/>
      <c r="KZQ20" s="413"/>
      <c r="KZR20" s="413"/>
      <c r="KZS20" s="413"/>
      <c r="KZT20" s="413"/>
      <c r="KZU20" s="413"/>
      <c r="KZV20" s="413"/>
      <c r="KZW20" s="413"/>
      <c r="KZX20" s="413"/>
      <c r="KZY20" s="413"/>
      <c r="KZZ20" s="413"/>
      <c r="LAA20" s="413"/>
      <c r="LAB20" s="413"/>
      <c r="LAC20" s="413"/>
      <c r="LAD20" s="413"/>
      <c r="LAE20" s="413"/>
      <c r="LAF20" s="413"/>
      <c r="LAG20" s="413"/>
      <c r="LAH20" s="413"/>
      <c r="LAI20" s="413"/>
      <c r="LAJ20" s="413"/>
      <c r="LAK20" s="413"/>
      <c r="LAL20" s="413"/>
      <c r="LAM20" s="413"/>
      <c r="LAN20" s="413"/>
      <c r="LAO20" s="413"/>
      <c r="LAP20" s="413"/>
      <c r="LAQ20" s="413"/>
      <c r="LAR20" s="413"/>
      <c r="LAS20" s="413"/>
      <c r="LAT20" s="413"/>
      <c r="LAU20" s="413"/>
      <c r="LAV20" s="413"/>
      <c r="LAW20" s="413"/>
      <c r="LAX20" s="413"/>
      <c r="LAY20" s="413"/>
      <c r="LAZ20" s="413"/>
      <c r="LBA20" s="413"/>
      <c r="LBB20" s="413"/>
      <c r="LBC20" s="413"/>
      <c r="LBD20" s="413"/>
      <c r="LBE20" s="413"/>
      <c r="LBF20" s="413"/>
      <c r="LBG20" s="413"/>
      <c r="LBH20" s="413"/>
      <c r="LBI20" s="413"/>
      <c r="LBJ20" s="413"/>
      <c r="LBK20" s="413"/>
      <c r="LBL20" s="413"/>
      <c r="LBM20" s="413"/>
      <c r="LBN20" s="413"/>
      <c r="LBO20" s="413"/>
      <c r="LBP20" s="413"/>
      <c r="LBQ20" s="413"/>
      <c r="LBR20" s="413"/>
      <c r="LBS20" s="413"/>
      <c r="LBT20" s="413"/>
      <c r="LBU20" s="413"/>
      <c r="LBV20" s="413"/>
      <c r="LBW20" s="413"/>
      <c r="LBX20" s="413"/>
      <c r="LBY20" s="413"/>
      <c r="LBZ20" s="413"/>
      <c r="LCA20" s="413"/>
      <c r="LCB20" s="413"/>
      <c r="LCC20" s="413"/>
      <c r="LCD20" s="413"/>
      <c r="LCE20" s="413"/>
      <c r="LCF20" s="413"/>
      <c r="LCG20" s="413"/>
      <c r="LCH20" s="413"/>
      <c r="LCI20" s="413"/>
      <c r="LCJ20" s="413"/>
      <c r="LCK20" s="413"/>
      <c r="LCL20" s="413"/>
      <c r="LCM20" s="413"/>
      <c r="LCN20" s="413"/>
      <c r="LCO20" s="413"/>
      <c r="LCP20" s="413"/>
      <c r="LCQ20" s="413"/>
      <c r="LCR20" s="413"/>
      <c r="LCS20" s="413"/>
      <c r="LCT20" s="413"/>
      <c r="LCU20" s="413"/>
      <c r="LCV20" s="413"/>
      <c r="LCW20" s="413"/>
      <c r="LCX20" s="413"/>
      <c r="LCY20" s="413"/>
      <c r="LCZ20" s="413"/>
      <c r="LDA20" s="413"/>
      <c r="LDB20" s="413"/>
      <c r="LDC20" s="413"/>
      <c r="LDD20" s="413"/>
      <c r="LDE20" s="413"/>
      <c r="LDF20" s="413"/>
      <c r="LDG20" s="413"/>
      <c r="LDH20" s="413"/>
      <c r="LDI20" s="413"/>
      <c r="LDJ20" s="413"/>
      <c r="LDK20" s="413"/>
      <c r="LDL20" s="413"/>
      <c r="LDM20" s="413"/>
      <c r="LDN20" s="413"/>
      <c r="LDO20" s="413"/>
      <c r="LDP20" s="413"/>
      <c r="LDQ20" s="413"/>
      <c r="LDR20" s="413"/>
      <c r="LDS20" s="413"/>
      <c r="LDT20" s="413"/>
      <c r="LDU20" s="413"/>
      <c r="LDV20" s="413"/>
      <c r="LDW20" s="413"/>
      <c r="LDX20" s="413"/>
      <c r="LDY20" s="413"/>
      <c r="LDZ20" s="413"/>
      <c r="LEA20" s="413"/>
      <c r="LEB20" s="413"/>
      <c r="LEC20" s="413"/>
      <c r="LED20" s="413"/>
      <c r="LEE20" s="413"/>
      <c r="LEF20" s="413"/>
      <c r="LEG20" s="413"/>
      <c r="LEH20" s="413"/>
      <c r="LEI20" s="413"/>
      <c r="LEJ20" s="413"/>
      <c r="LEK20" s="413"/>
      <c r="LEL20" s="413"/>
      <c r="LEM20" s="413"/>
      <c r="LEN20" s="413"/>
      <c r="LEO20" s="413"/>
      <c r="LEP20" s="413"/>
      <c r="LEQ20" s="413"/>
      <c r="LER20" s="413"/>
      <c r="LES20" s="413"/>
      <c r="LET20" s="413"/>
      <c r="LEU20" s="413"/>
      <c r="LEV20" s="413"/>
      <c r="LEW20" s="413"/>
      <c r="LEX20" s="413"/>
      <c r="LEY20" s="413"/>
      <c r="LEZ20" s="413"/>
      <c r="LFA20" s="413"/>
      <c r="LFB20" s="413"/>
      <c r="LFC20" s="413"/>
      <c r="LFD20" s="413"/>
      <c r="LFE20" s="413"/>
      <c r="LFF20" s="413"/>
      <c r="LFG20" s="413"/>
      <c r="LFH20" s="413"/>
      <c r="LFI20" s="413"/>
      <c r="LFJ20" s="413"/>
      <c r="LFK20" s="413"/>
      <c r="LFL20" s="413"/>
      <c r="LFM20" s="413"/>
      <c r="LFN20" s="413"/>
      <c r="LFO20" s="413"/>
      <c r="LFP20" s="413"/>
      <c r="LFQ20" s="413"/>
      <c r="LFR20" s="413"/>
      <c r="LFS20" s="413"/>
      <c r="LFT20" s="413"/>
      <c r="LFU20" s="413"/>
      <c r="LFV20" s="413"/>
      <c r="LFW20" s="413"/>
      <c r="LFX20" s="413"/>
      <c r="LFY20" s="413"/>
      <c r="LFZ20" s="413"/>
      <c r="LGA20" s="413"/>
      <c r="LGB20" s="413"/>
      <c r="LGC20" s="413"/>
      <c r="LGD20" s="413"/>
      <c r="LGE20" s="413"/>
      <c r="LGF20" s="413"/>
      <c r="LGG20" s="413"/>
      <c r="LGH20" s="413"/>
      <c r="LGI20" s="413"/>
      <c r="LGJ20" s="413"/>
      <c r="LGK20" s="413"/>
      <c r="LGL20" s="413"/>
      <c r="LGM20" s="413"/>
      <c r="LGN20" s="413"/>
      <c r="LGO20" s="413"/>
      <c r="LGP20" s="413"/>
      <c r="LGQ20" s="413"/>
      <c r="LGR20" s="413"/>
      <c r="LGS20" s="413"/>
      <c r="LGT20" s="413"/>
      <c r="LGU20" s="413"/>
      <c r="LGV20" s="413"/>
      <c r="LGW20" s="413"/>
      <c r="LGX20" s="413"/>
      <c r="LGY20" s="413"/>
      <c r="LGZ20" s="413"/>
      <c r="LHA20" s="413"/>
      <c r="LHB20" s="413"/>
      <c r="LHC20" s="413"/>
      <c r="LHD20" s="413"/>
      <c r="LHE20" s="413"/>
      <c r="LHF20" s="413"/>
      <c r="LHG20" s="413"/>
      <c r="LHH20" s="413"/>
      <c r="LHI20" s="413"/>
      <c r="LHJ20" s="413"/>
      <c r="LHK20" s="413"/>
      <c r="LHL20" s="413"/>
      <c r="LHM20" s="413"/>
      <c r="LHN20" s="413"/>
      <c r="LHO20" s="413"/>
      <c r="LHP20" s="413"/>
      <c r="LHQ20" s="413"/>
      <c r="LHR20" s="413"/>
      <c r="LHS20" s="413"/>
      <c r="LHT20" s="413"/>
      <c r="LHU20" s="413"/>
      <c r="LHV20" s="413"/>
      <c r="LHW20" s="413"/>
      <c r="LHX20" s="413"/>
      <c r="LHY20" s="413"/>
      <c r="LHZ20" s="413"/>
      <c r="LIA20" s="413"/>
      <c r="LIB20" s="413"/>
      <c r="LIC20" s="413"/>
      <c r="LID20" s="413"/>
      <c r="LIE20" s="413"/>
      <c r="LIF20" s="413"/>
      <c r="LIG20" s="413"/>
      <c r="LIH20" s="413"/>
      <c r="LII20" s="413"/>
      <c r="LIJ20" s="413"/>
      <c r="LIK20" s="413"/>
      <c r="LIL20" s="413"/>
      <c r="LIM20" s="413"/>
      <c r="LIN20" s="413"/>
      <c r="LIO20" s="413"/>
      <c r="LIP20" s="413"/>
      <c r="LIQ20" s="413"/>
      <c r="LIR20" s="413"/>
      <c r="LIS20" s="413"/>
      <c r="LIT20" s="413"/>
      <c r="LIU20" s="413"/>
      <c r="LIV20" s="413"/>
      <c r="LIW20" s="413"/>
      <c r="LIX20" s="413"/>
      <c r="LIY20" s="413"/>
      <c r="LIZ20" s="413"/>
      <c r="LJA20" s="413"/>
      <c r="LJB20" s="413"/>
      <c r="LJC20" s="413"/>
      <c r="LJD20" s="413"/>
      <c r="LJE20" s="413"/>
      <c r="LJF20" s="413"/>
      <c r="LJG20" s="413"/>
      <c r="LJH20" s="413"/>
      <c r="LJI20" s="413"/>
      <c r="LJJ20" s="413"/>
      <c r="LJK20" s="413"/>
      <c r="LJL20" s="413"/>
      <c r="LJM20" s="413"/>
      <c r="LJN20" s="413"/>
      <c r="LJO20" s="413"/>
      <c r="LJP20" s="413"/>
      <c r="LJQ20" s="413"/>
      <c r="LJR20" s="413"/>
      <c r="LJS20" s="413"/>
      <c r="LJT20" s="413"/>
      <c r="LJU20" s="413"/>
      <c r="LJV20" s="413"/>
      <c r="LJW20" s="413"/>
      <c r="LJX20" s="413"/>
      <c r="LJY20" s="413"/>
      <c r="LJZ20" s="413"/>
      <c r="LKA20" s="413"/>
      <c r="LKB20" s="413"/>
      <c r="LKC20" s="413"/>
      <c r="LKD20" s="413"/>
      <c r="LKE20" s="413"/>
      <c r="LKF20" s="413"/>
      <c r="LKG20" s="413"/>
      <c r="LKH20" s="413"/>
      <c r="LKI20" s="413"/>
      <c r="LKJ20" s="413"/>
      <c r="LKK20" s="413"/>
      <c r="LKL20" s="413"/>
      <c r="LKM20" s="413"/>
      <c r="LKN20" s="413"/>
      <c r="LKO20" s="413"/>
      <c r="LKP20" s="413"/>
      <c r="LKQ20" s="413"/>
      <c r="LKR20" s="413"/>
      <c r="LKS20" s="413"/>
      <c r="LKT20" s="413"/>
      <c r="LKU20" s="413"/>
      <c r="LKV20" s="413"/>
      <c r="LKW20" s="413"/>
      <c r="LKX20" s="413"/>
      <c r="LKY20" s="413"/>
      <c r="LKZ20" s="413"/>
      <c r="LLA20" s="413"/>
      <c r="LLB20" s="413"/>
      <c r="LLC20" s="413"/>
      <c r="LLD20" s="413"/>
      <c r="LLE20" s="413"/>
      <c r="LLF20" s="413"/>
      <c r="LLG20" s="413"/>
      <c r="LLH20" s="413"/>
      <c r="LLI20" s="413"/>
      <c r="LLJ20" s="413"/>
      <c r="LLK20" s="413"/>
      <c r="LLL20" s="413"/>
      <c r="LLM20" s="413"/>
      <c r="LLN20" s="413"/>
      <c r="LLO20" s="413"/>
      <c r="LLP20" s="413"/>
      <c r="LLQ20" s="413"/>
      <c r="LLR20" s="413"/>
      <c r="LLS20" s="413"/>
      <c r="LLT20" s="413"/>
      <c r="LLU20" s="413"/>
      <c r="LLV20" s="413"/>
      <c r="LLW20" s="413"/>
      <c r="LLX20" s="413"/>
      <c r="LLY20" s="413"/>
      <c r="LLZ20" s="413"/>
      <c r="LMA20" s="413"/>
      <c r="LMB20" s="413"/>
      <c r="LMC20" s="413"/>
      <c r="LMD20" s="413"/>
      <c r="LME20" s="413"/>
      <c r="LMF20" s="413"/>
      <c r="LMG20" s="413"/>
      <c r="LMH20" s="413"/>
      <c r="LMI20" s="413"/>
      <c r="LMJ20" s="413"/>
      <c r="LMK20" s="413"/>
      <c r="LML20" s="413"/>
      <c r="LMM20" s="413"/>
      <c r="LMN20" s="413"/>
      <c r="LMO20" s="413"/>
      <c r="LMP20" s="413"/>
      <c r="LMQ20" s="413"/>
      <c r="LMR20" s="413"/>
      <c r="LMS20" s="413"/>
      <c r="LMT20" s="413"/>
      <c r="LMU20" s="413"/>
      <c r="LMV20" s="413"/>
      <c r="LMW20" s="413"/>
      <c r="LMX20" s="413"/>
      <c r="LMY20" s="413"/>
      <c r="LMZ20" s="413"/>
      <c r="LNA20" s="413"/>
      <c r="LNB20" s="413"/>
      <c r="LNC20" s="413"/>
      <c r="LND20" s="413"/>
      <c r="LNE20" s="413"/>
      <c r="LNF20" s="413"/>
      <c r="LNG20" s="413"/>
      <c r="LNH20" s="413"/>
      <c r="LNI20" s="413"/>
      <c r="LNJ20" s="413"/>
      <c r="LNK20" s="413"/>
      <c r="LNL20" s="413"/>
      <c r="LNM20" s="413"/>
      <c r="LNN20" s="413"/>
      <c r="LNO20" s="413"/>
      <c r="LNP20" s="413"/>
      <c r="LNQ20" s="413"/>
      <c r="LNR20" s="413"/>
      <c r="LNS20" s="413"/>
      <c r="LNT20" s="413"/>
      <c r="LNU20" s="413"/>
      <c r="LNV20" s="413"/>
      <c r="LNW20" s="413"/>
      <c r="LNX20" s="413"/>
      <c r="LNY20" s="413"/>
      <c r="LNZ20" s="413"/>
      <c r="LOA20" s="413"/>
      <c r="LOB20" s="413"/>
      <c r="LOC20" s="413"/>
      <c r="LOD20" s="413"/>
      <c r="LOE20" s="413"/>
      <c r="LOF20" s="413"/>
      <c r="LOG20" s="413"/>
      <c r="LOH20" s="413"/>
      <c r="LOI20" s="413"/>
      <c r="LOJ20" s="413"/>
      <c r="LOK20" s="413"/>
      <c r="LOL20" s="413"/>
      <c r="LOM20" s="413"/>
      <c r="LON20" s="413"/>
      <c r="LOO20" s="413"/>
      <c r="LOP20" s="413"/>
      <c r="LOQ20" s="413"/>
      <c r="LOR20" s="413"/>
      <c r="LOS20" s="413"/>
      <c r="LOT20" s="413"/>
      <c r="LOU20" s="413"/>
      <c r="LOV20" s="413"/>
      <c r="LOW20" s="413"/>
      <c r="LOX20" s="413"/>
      <c r="LOY20" s="413"/>
      <c r="LOZ20" s="413"/>
      <c r="LPA20" s="413"/>
      <c r="LPB20" s="413"/>
      <c r="LPC20" s="413"/>
      <c r="LPD20" s="413"/>
      <c r="LPE20" s="413"/>
      <c r="LPF20" s="413"/>
      <c r="LPG20" s="413"/>
      <c r="LPH20" s="413"/>
      <c r="LPI20" s="413"/>
      <c r="LPJ20" s="413"/>
      <c r="LPK20" s="413"/>
      <c r="LPL20" s="413"/>
      <c r="LPM20" s="413"/>
      <c r="LPN20" s="413"/>
      <c r="LPO20" s="413"/>
      <c r="LPP20" s="413"/>
      <c r="LPQ20" s="413"/>
      <c r="LPR20" s="413"/>
      <c r="LPS20" s="413"/>
      <c r="LPT20" s="413"/>
      <c r="LPU20" s="413"/>
      <c r="LPV20" s="413"/>
      <c r="LPW20" s="413"/>
      <c r="LPX20" s="413"/>
      <c r="LPY20" s="413"/>
      <c r="LPZ20" s="413"/>
      <c r="LQA20" s="413"/>
      <c r="LQB20" s="413"/>
      <c r="LQC20" s="413"/>
      <c r="LQD20" s="413"/>
      <c r="LQE20" s="413"/>
      <c r="LQF20" s="413"/>
      <c r="LQG20" s="413"/>
      <c r="LQH20" s="413"/>
      <c r="LQI20" s="413"/>
      <c r="LQJ20" s="413"/>
      <c r="LQK20" s="413"/>
      <c r="LQL20" s="413"/>
      <c r="LQM20" s="413"/>
      <c r="LQN20" s="413"/>
      <c r="LQO20" s="413"/>
      <c r="LQP20" s="413"/>
      <c r="LQQ20" s="413"/>
      <c r="LQR20" s="413"/>
      <c r="LQS20" s="413"/>
      <c r="LQT20" s="413"/>
      <c r="LQU20" s="413"/>
      <c r="LQV20" s="413"/>
      <c r="LQW20" s="413"/>
      <c r="LQX20" s="413"/>
      <c r="LQY20" s="413"/>
      <c r="LQZ20" s="413"/>
      <c r="LRA20" s="413"/>
      <c r="LRB20" s="413"/>
      <c r="LRC20" s="413"/>
      <c r="LRD20" s="413"/>
      <c r="LRE20" s="413"/>
      <c r="LRF20" s="413"/>
      <c r="LRG20" s="413"/>
      <c r="LRH20" s="413"/>
      <c r="LRI20" s="413"/>
      <c r="LRJ20" s="413"/>
      <c r="LRK20" s="413"/>
      <c r="LRL20" s="413"/>
      <c r="LRM20" s="413"/>
      <c r="LRN20" s="413"/>
      <c r="LRO20" s="413"/>
      <c r="LRP20" s="413"/>
      <c r="LRQ20" s="413"/>
      <c r="LRR20" s="413"/>
      <c r="LRS20" s="413"/>
      <c r="LRT20" s="413"/>
      <c r="LRU20" s="413"/>
      <c r="LRV20" s="413"/>
      <c r="LRW20" s="413"/>
      <c r="LRX20" s="413"/>
      <c r="LRY20" s="413"/>
      <c r="LRZ20" s="413"/>
      <c r="LSA20" s="413"/>
      <c r="LSB20" s="413"/>
      <c r="LSC20" s="413"/>
      <c r="LSD20" s="413"/>
      <c r="LSE20" s="413"/>
      <c r="LSF20" s="413"/>
      <c r="LSG20" s="413"/>
      <c r="LSH20" s="413"/>
      <c r="LSI20" s="413"/>
      <c r="LSJ20" s="413"/>
      <c r="LSK20" s="413"/>
      <c r="LSL20" s="413"/>
      <c r="LSM20" s="413"/>
      <c r="LSN20" s="413"/>
      <c r="LSO20" s="413"/>
      <c r="LSP20" s="413"/>
      <c r="LSQ20" s="413"/>
      <c r="LSR20" s="413"/>
      <c r="LSS20" s="413"/>
      <c r="LST20" s="413"/>
      <c r="LSU20" s="413"/>
      <c r="LSV20" s="413"/>
      <c r="LSW20" s="413"/>
      <c r="LSX20" s="413"/>
      <c r="LSY20" s="413"/>
      <c r="LSZ20" s="413"/>
      <c r="LTA20" s="413"/>
      <c r="LTB20" s="413"/>
      <c r="LTC20" s="413"/>
      <c r="LTD20" s="413"/>
      <c r="LTE20" s="413"/>
      <c r="LTF20" s="413"/>
      <c r="LTG20" s="413"/>
      <c r="LTH20" s="413"/>
      <c r="LTI20" s="413"/>
      <c r="LTJ20" s="413"/>
      <c r="LTK20" s="413"/>
      <c r="LTL20" s="413"/>
      <c r="LTM20" s="413"/>
      <c r="LTN20" s="413"/>
      <c r="LTO20" s="413"/>
      <c r="LTP20" s="413"/>
      <c r="LTQ20" s="413"/>
      <c r="LTR20" s="413"/>
      <c r="LTS20" s="413"/>
      <c r="LTT20" s="413"/>
      <c r="LTU20" s="413"/>
      <c r="LTV20" s="413"/>
      <c r="LTW20" s="413"/>
      <c r="LTX20" s="413"/>
      <c r="LTY20" s="413"/>
      <c r="LTZ20" s="413"/>
      <c r="LUA20" s="413"/>
      <c r="LUB20" s="413"/>
      <c r="LUC20" s="413"/>
      <c r="LUD20" s="413"/>
      <c r="LUE20" s="413"/>
      <c r="LUF20" s="413"/>
      <c r="LUG20" s="413"/>
      <c r="LUH20" s="413"/>
      <c r="LUI20" s="413"/>
      <c r="LUJ20" s="413"/>
      <c r="LUK20" s="413"/>
      <c r="LUL20" s="413"/>
      <c r="LUM20" s="413"/>
      <c r="LUN20" s="413"/>
      <c r="LUO20" s="413"/>
      <c r="LUP20" s="413"/>
      <c r="LUQ20" s="413"/>
      <c r="LUR20" s="413"/>
      <c r="LUS20" s="413"/>
      <c r="LUT20" s="413"/>
      <c r="LUU20" s="413"/>
      <c r="LUV20" s="413"/>
      <c r="LUW20" s="413"/>
      <c r="LUX20" s="413"/>
      <c r="LUY20" s="413"/>
      <c r="LUZ20" s="413"/>
      <c r="LVA20" s="413"/>
      <c r="LVB20" s="413"/>
      <c r="LVC20" s="413"/>
      <c r="LVD20" s="413"/>
      <c r="LVE20" s="413"/>
      <c r="LVF20" s="413"/>
      <c r="LVG20" s="413"/>
      <c r="LVH20" s="413"/>
      <c r="LVI20" s="413"/>
      <c r="LVJ20" s="413"/>
      <c r="LVK20" s="413"/>
      <c r="LVL20" s="413"/>
      <c r="LVM20" s="413"/>
      <c r="LVN20" s="413"/>
      <c r="LVO20" s="413"/>
      <c r="LVP20" s="413"/>
      <c r="LVQ20" s="413"/>
      <c r="LVR20" s="413"/>
      <c r="LVS20" s="413"/>
      <c r="LVT20" s="413"/>
      <c r="LVU20" s="413"/>
      <c r="LVV20" s="413"/>
      <c r="LVW20" s="413"/>
      <c r="LVX20" s="413"/>
      <c r="LVY20" s="413"/>
      <c r="LVZ20" s="413"/>
      <c r="LWA20" s="413"/>
      <c r="LWB20" s="413"/>
      <c r="LWC20" s="413"/>
      <c r="LWD20" s="413"/>
      <c r="LWE20" s="413"/>
      <c r="LWF20" s="413"/>
      <c r="LWG20" s="413"/>
      <c r="LWH20" s="413"/>
      <c r="LWI20" s="413"/>
      <c r="LWJ20" s="413"/>
      <c r="LWK20" s="413"/>
      <c r="LWL20" s="413"/>
      <c r="LWM20" s="413"/>
      <c r="LWN20" s="413"/>
      <c r="LWO20" s="413"/>
      <c r="LWP20" s="413"/>
      <c r="LWQ20" s="413"/>
      <c r="LWR20" s="413"/>
      <c r="LWS20" s="413"/>
      <c r="LWT20" s="413"/>
      <c r="LWU20" s="413"/>
      <c r="LWV20" s="413"/>
      <c r="LWW20" s="413"/>
      <c r="LWX20" s="413"/>
      <c r="LWY20" s="413"/>
      <c r="LWZ20" s="413"/>
      <c r="LXA20" s="413"/>
      <c r="LXB20" s="413"/>
      <c r="LXC20" s="413"/>
      <c r="LXD20" s="413"/>
      <c r="LXE20" s="413"/>
      <c r="LXF20" s="413"/>
      <c r="LXG20" s="413"/>
      <c r="LXH20" s="413"/>
      <c r="LXI20" s="413"/>
      <c r="LXJ20" s="413"/>
      <c r="LXK20" s="413"/>
      <c r="LXL20" s="413"/>
      <c r="LXM20" s="413"/>
      <c r="LXN20" s="413"/>
      <c r="LXO20" s="413"/>
      <c r="LXP20" s="413"/>
      <c r="LXQ20" s="413"/>
      <c r="LXR20" s="413"/>
      <c r="LXS20" s="413"/>
      <c r="LXT20" s="413"/>
      <c r="LXU20" s="413"/>
      <c r="LXV20" s="413"/>
      <c r="LXW20" s="413"/>
      <c r="LXX20" s="413"/>
      <c r="LXY20" s="413"/>
      <c r="LXZ20" s="413"/>
      <c r="LYA20" s="413"/>
      <c r="LYB20" s="413"/>
      <c r="LYC20" s="413"/>
      <c r="LYD20" s="413"/>
      <c r="LYE20" s="413"/>
      <c r="LYF20" s="413"/>
      <c r="LYG20" s="413"/>
      <c r="LYH20" s="413"/>
      <c r="LYI20" s="413"/>
      <c r="LYJ20" s="413"/>
      <c r="LYK20" s="413"/>
      <c r="LYL20" s="413"/>
      <c r="LYM20" s="413"/>
      <c r="LYN20" s="413"/>
      <c r="LYO20" s="413"/>
      <c r="LYP20" s="413"/>
      <c r="LYQ20" s="413"/>
      <c r="LYR20" s="413"/>
      <c r="LYS20" s="413"/>
      <c r="LYT20" s="413"/>
      <c r="LYU20" s="413"/>
      <c r="LYV20" s="413"/>
      <c r="LYW20" s="413"/>
      <c r="LYX20" s="413"/>
      <c r="LYY20" s="413"/>
      <c r="LYZ20" s="413"/>
      <c r="LZA20" s="413"/>
      <c r="LZB20" s="413"/>
      <c r="LZC20" s="413"/>
      <c r="LZD20" s="413"/>
      <c r="LZE20" s="413"/>
      <c r="LZF20" s="413"/>
      <c r="LZG20" s="413"/>
      <c r="LZH20" s="413"/>
      <c r="LZI20" s="413"/>
      <c r="LZJ20" s="413"/>
      <c r="LZK20" s="413"/>
      <c r="LZL20" s="413"/>
      <c r="LZM20" s="413"/>
      <c r="LZN20" s="413"/>
      <c r="LZO20" s="413"/>
      <c r="LZP20" s="413"/>
      <c r="LZQ20" s="413"/>
      <c r="LZR20" s="413"/>
      <c r="LZS20" s="413"/>
      <c r="LZT20" s="413"/>
      <c r="LZU20" s="413"/>
      <c r="LZV20" s="413"/>
      <c r="LZW20" s="413"/>
      <c r="LZX20" s="413"/>
      <c r="LZY20" s="413"/>
      <c r="LZZ20" s="413"/>
      <c r="MAA20" s="413"/>
      <c r="MAB20" s="413"/>
      <c r="MAC20" s="413"/>
      <c r="MAD20" s="413"/>
      <c r="MAE20" s="413"/>
      <c r="MAF20" s="413"/>
      <c r="MAG20" s="413"/>
      <c r="MAH20" s="413"/>
      <c r="MAI20" s="413"/>
      <c r="MAJ20" s="413"/>
      <c r="MAK20" s="413"/>
      <c r="MAL20" s="413"/>
      <c r="MAM20" s="413"/>
      <c r="MAN20" s="413"/>
      <c r="MAO20" s="413"/>
      <c r="MAP20" s="413"/>
      <c r="MAQ20" s="413"/>
      <c r="MAR20" s="413"/>
      <c r="MAS20" s="413"/>
      <c r="MAT20" s="413"/>
      <c r="MAU20" s="413"/>
      <c r="MAV20" s="413"/>
      <c r="MAW20" s="413"/>
      <c r="MAX20" s="413"/>
      <c r="MAY20" s="413"/>
      <c r="MAZ20" s="413"/>
      <c r="MBA20" s="413"/>
      <c r="MBB20" s="413"/>
      <c r="MBC20" s="413"/>
      <c r="MBD20" s="413"/>
      <c r="MBE20" s="413"/>
      <c r="MBF20" s="413"/>
      <c r="MBG20" s="413"/>
      <c r="MBH20" s="413"/>
      <c r="MBI20" s="413"/>
      <c r="MBJ20" s="413"/>
      <c r="MBK20" s="413"/>
      <c r="MBL20" s="413"/>
      <c r="MBM20" s="413"/>
      <c r="MBN20" s="413"/>
      <c r="MBO20" s="413"/>
      <c r="MBP20" s="413"/>
      <c r="MBQ20" s="413"/>
      <c r="MBR20" s="413"/>
      <c r="MBS20" s="413"/>
      <c r="MBT20" s="413"/>
      <c r="MBU20" s="413"/>
      <c r="MBV20" s="413"/>
      <c r="MBW20" s="413"/>
      <c r="MBX20" s="413"/>
      <c r="MBY20" s="413"/>
      <c r="MBZ20" s="413"/>
      <c r="MCA20" s="413"/>
      <c r="MCB20" s="413"/>
      <c r="MCC20" s="413"/>
      <c r="MCD20" s="413"/>
      <c r="MCE20" s="413"/>
      <c r="MCF20" s="413"/>
      <c r="MCG20" s="413"/>
      <c r="MCH20" s="413"/>
      <c r="MCI20" s="413"/>
      <c r="MCJ20" s="413"/>
      <c r="MCK20" s="413"/>
      <c r="MCL20" s="413"/>
      <c r="MCM20" s="413"/>
      <c r="MCN20" s="413"/>
      <c r="MCO20" s="413"/>
      <c r="MCP20" s="413"/>
      <c r="MCQ20" s="413"/>
      <c r="MCR20" s="413"/>
      <c r="MCS20" s="413"/>
      <c r="MCT20" s="413"/>
      <c r="MCU20" s="413"/>
      <c r="MCV20" s="413"/>
      <c r="MCW20" s="413"/>
      <c r="MCX20" s="413"/>
      <c r="MCY20" s="413"/>
      <c r="MCZ20" s="413"/>
      <c r="MDA20" s="413"/>
      <c r="MDB20" s="413"/>
      <c r="MDC20" s="413"/>
      <c r="MDD20" s="413"/>
      <c r="MDE20" s="413"/>
      <c r="MDF20" s="413"/>
      <c r="MDG20" s="413"/>
      <c r="MDH20" s="413"/>
      <c r="MDI20" s="413"/>
      <c r="MDJ20" s="413"/>
      <c r="MDK20" s="413"/>
      <c r="MDL20" s="413"/>
      <c r="MDM20" s="413"/>
      <c r="MDN20" s="413"/>
      <c r="MDO20" s="413"/>
      <c r="MDP20" s="413"/>
      <c r="MDQ20" s="413"/>
      <c r="MDR20" s="413"/>
      <c r="MDS20" s="413"/>
      <c r="MDT20" s="413"/>
      <c r="MDU20" s="413"/>
      <c r="MDV20" s="413"/>
      <c r="MDW20" s="413"/>
      <c r="MDX20" s="413"/>
      <c r="MDY20" s="413"/>
      <c r="MDZ20" s="413"/>
      <c r="MEA20" s="413"/>
      <c r="MEB20" s="413"/>
      <c r="MEC20" s="413"/>
      <c r="MED20" s="413"/>
      <c r="MEE20" s="413"/>
      <c r="MEF20" s="413"/>
      <c r="MEG20" s="413"/>
      <c r="MEH20" s="413"/>
      <c r="MEI20" s="413"/>
      <c r="MEJ20" s="413"/>
      <c r="MEK20" s="413"/>
      <c r="MEL20" s="413"/>
      <c r="MEM20" s="413"/>
      <c r="MEN20" s="413"/>
      <c r="MEO20" s="413"/>
      <c r="MEP20" s="413"/>
      <c r="MEQ20" s="413"/>
      <c r="MER20" s="413"/>
      <c r="MES20" s="413"/>
      <c r="MET20" s="413"/>
      <c r="MEU20" s="413"/>
      <c r="MEV20" s="413"/>
      <c r="MEW20" s="413"/>
      <c r="MEX20" s="413"/>
      <c r="MEY20" s="413"/>
      <c r="MEZ20" s="413"/>
      <c r="MFA20" s="413"/>
      <c r="MFB20" s="413"/>
      <c r="MFC20" s="413"/>
      <c r="MFD20" s="413"/>
      <c r="MFE20" s="413"/>
      <c r="MFF20" s="413"/>
      <c r="MFG20" s="413"/>
      <c r="MFH20" s="413"/>
      <c r="MFI20" s="413"/>
      <c r="MFJ20" s="413"/>
      <c r="MFK20" s="413"/>
      <c r="MFL20" s="413"/>
      <c r="MFM20" s="413"/>
      <c r="MFN20" s="413"/>
      <c r="MFO20" s="413"/>
      <c r="MFP20" s="413"/>
      <c r="MFQ20" s="413"/>
      <c r="MFR20" s="413"/>
      <c r="MFS20" s="413"/>
      <c r="MFT20" s="413"/>
      <c r="MFU20" s="413"/>
      <c r="MFV20" s="413"/>
      <c r="MFW20" s="413"/>
      <c r="MFX20" s="413"/>
      <c r="MFY20" s="413"/>
      <c r="MFZ20" s="413"/>
      <c r="MGA20" s="413"/>
      <c r="MGB20" s="413"/>
      <c r="MGC20" s="413"/>
      <c r="MGD20" s="413"/>
      <c r="MGE20" s="413"/>
      <c r="MGF20" s="413"/>
      <c r="MGG20" s="413"/>
      <c r="MGH20" s="413"/>
      <c r="MGI20" s="413"/>
      <c r="MGJ20" s="413"/>
      <c r="MGK20" s="413"/>
      <c r="MGL20" s="413"/>
      <c r="MGM20" s="413"/>
      <c r="MGN20" s="413"/>
      <c r="MGO20" s="413"/>
      <c r="MGP20" s="413"/>
      <c r="MGQ20" s="413"/>
      <c r="MGR20" s="413"/>
      <c r="MGS20" s="413"/>
      <c r="MGT20" s="413"/>
      <c r="MGU20" s="413"/>
      <c r="MGV20" s="413"/>
      <c r="MGW20" s="413"/>
      <c r="MGX20" s="413"/>
      <c r="MGY20" s="413"/>
      <c r="MGZ20" s="413"/>
      <c r="MHA20" s="413"/>
      <c r="MHB20" s="413"/>
      <c r="MHC20" s="413"/>
      <c r="MHD20" s="413"/>
      <c r="MHE20" s="413"/>
      <c r="MHF20" s="413"/>
      <c r="MHG20" s="413"/>
      <c r="MHH20" s="413"/>
      <c r="MHI20" s="413"/>
      <c r="MHJ20" s="413"/>
      <c r="MHK20" s="413"/>
      <c r="MHL20" s="413"/>
      <c r="MHM20" s="413"/>
      <c r="MHN20" s="413"/>
      <c r="MHO20" s="413"/>
      <c r="MHP20" s="413"/>
      <c r="MHQ20" s="413"/>
      <c r="MHR20" s="413"/>
      <c r="MHS20" s="413"/>
      <c r="MHT20" s="413"/>
      <c r="MHU20" s="413"/>
      <c r="MHV20" s="413"/>
      <c r="MHW20" s="413"/>
      <c r="MHX20" s="413"/>
      <c r="MHY20" s="413"/>
      <c r="MHZ20" s="413"/>
      <c r="MIA20" s="413"/>
      <c r="MIB20" s="413"/>
      <c r="MIC20" s="413"/>
      <c r="MID20" s="413"/>
      <c r="MIE20" s="413"/>
      <c r="MIF20" s="413"/>
      <c r="MIG20" s="413"/>
      <c r="MIH20" s="413"/>
      <c r="MII20" s="413"/>
      <c r="MIJ20" s="413"/>
      <c r="MIK20" s="413"/>
      <c r="MIL20" s="413"/>
      <c r="MIM20" s="413"/>
      <c r="MIN20" s="413"/>
      <c r="MIO20" s="413"/>
      <c r="MIP20" s="413"/>
      <c r="MIQ20" s="413"/>
      <c r="MIR20" s="413"/>
      <c r="MIS20" s="413"/>
      <c r="MIT20" s="413"/>
      <c r="MIU20" s="413"/>
      <c r="MIV20" s="413"/>
      <c r="MIW20" s="413"/>
      <c r="MIX20" s="413"/>
      <c r="MIY20" s="413"/>
      <c r="MIZ20" s="413"/>
      <c r="MJA20" s="413"/>
      <c r="MJB20" s="413"/>
      <c r="MJC20" s="413"/>
      <c r="MJD20" s="413"/>
      <c r="MJE20" s="413"/>
      <c r="MJF20" s="413"/>
      <c r="MJG20" s="413"/>
      <c r="MJH20" s="413"/>
      <c r="MJI20" s="413"/>
      <c r="MJJ20" s="413"/>
      <c r="MJK20" s="413"/>
      <c r="MJL20" s="413"/>
      <c r="MJM20" s="413"/>
      <c r="MJN20" s="413"/>
      <c r="MJO20" s="413"/>
      <c r="MJP20" s="413"/>
      <c r="MJQ20" s="413"/>
      <c r="MJR20" s="413"/>
      <c r="MJS20" s="413"/>
      <c r="MJT20" s="413"/>
      <c r="MJU20" s="413"/>
      <c r="MJV20" s="413"/>
      <c r="MJW20" s="413"/>
      <c r="MJX20" s="413"/>
      <c r="MJY20" s="413"/>
      <c r="MJZ20" s="413"/>
      <c r="MKA20" s="413"/>
      <c r="MKB20" s="413"/>
      <c r="MKC20" s="413"/>
      <c r="MKD20" s="413"/>
      <c r="MKE20" s="413"/>
      <c r="MKF20" s="413"/>
      <c r="MKG20" s="413"/>
      <c r="MKH20" s="413"/>
      <c r="MKI20" s="413"/>
      <c r="MKJ20" s="413"/>
      <c r="MKK20" s="413"/>
      <c r="MKL20" s="413"/>
      <c r="MKM20" s="413"/>
      <c r="MKN20" s="413"/>
      <c r="MKO20" s="413"/>
      <c r="MKP20" s="413"/>
      <c r="MKQ20" s="413"/>
      <c r="MKR20" s="413"/>
      <c r="MKS20" s="413"/>
      <c r="MKT20" s="413"/>
      <c r="MKU20" s="413"/>
      <c r="MKV20" s="413"/>
      <c r="MKW20" s="413"/>
      <c r="MKX20" s="413"/>
      <c r="MKY20" s="413"/>
      <c r="MKZ20" s="413"/>
      <c r="MLA20" s="413"/>
      <c r="MLB20" s="413"/>
      <c r="MLC20" s="413"/>
      <c r="MLD20" s="413"/>
      <c r="MLE20" s="413"/>
      <c r="MLF20" s="413"/>
      <c r="MLG20" s="413"/>
      <c r="MLH20" s="413"/>
      <c r="MLI20" s="413"/>
      <c r="MLJ20" s="413"/>
      <c r="MLK20" s="413"/>
      <c r="MLL20" s="413"/>
      <c r="MLM20" s="413"/>
      <c r="MLN20" s="413"/>
      <c r="MLO20" s="413"/>
      <c r="MLP20" s="413"/>
      <c r="MLQ20" s="413"/>
      <c r="MLR20" s="413"/>
      <c r="MLS20" s="413"/>
      <c r="MLT20" s="413"/>
      <c r="MLU20" s="413"/>
      <c r="MLV20" s="413"/>
      <c r="MLW20" s="413"/>
      <c r="MLX20" s="413"/>
      <c r="MLY20" s="413"/>
      <c r="MLZ20" s="413"/>
      <c r="MMA20" s="413"/>
      <c r="MMB20" s="413"/>
      <c r="MMC20" s="413"/>
      <c r="MMD20" s="413"/>
      <c r="MME20" s="413"/>
      <c r="MMF20" s="413"/>
      <c r="MMG20" s="413"/>
      <c r="MMH20" s="413"/>
      <c r="MMI20" s="413"/>
      <c r="MMJ20" s="413"/>
      <c r="MMK20" s="413"/>
      <c r="MML20" s="413"/>
      <c r="MMM20" s="413"/>
      <c r="MMN20" s="413"/>
      <c r="MMO20" s="413"/>
      <c r="MMP20" s="413"/>
      <c r="MMQ20" s="413"/>
      <c r="MMR20" s="413"/>
      <c r="MMS20" s="413"/>
      <c r="MMT20" s="413"/>
      <c r="MMU20" s="413"/>
      <c r="MMV20" s="413"/>
      <c r="MMW20" s="413"/>
      <c r="MMX20" s="413"/>
      <c r="MMY20" s="413"/>
      <c r="MMZ20" s="413"/>
      <c r="MNA20" s="413"/>
      <c r="MNB20" s="413"/>
      <c r="MNC20" s="413"/>
      <c r="MND20" s="413"/>
      <c r="MNE20" s="413"/>
      <c r="MNF20" s="413"/>
      <c r="MNG20" s="413"/>
      <c r="MNH20" s="413"/>
      <c r="MNI20" s="413"/>
      <c r="MNJ20" s="413"/>
      <c r="MNK20" s="413"/>
      <c r="MNL20" s="413"/>
      <c r="MNM20" s="413"/>
      <c r="MNN20" s="413"/>
      <c r="MNO20" s="413"/>
      <c r="MNP20" s="413"/>
      <c r="MNQ20" s="413"/>
      <c r="MNR20" s="413"/>
      <c r="MNS20" s="413"/>
      <c r="MNT20" s="413"/>
      <c r="MNU20" s="413"/>
      <c r="MNV20" s="413"/>
      <c r="MNW20" s="413"/>
      <c r="MNX20" s="413"/>
      <c r="MNY20" s="413"/>
      <c r="MNZ20" s="413"/>
      <c r="MOA20" s="413"/>
      <c r="MOB20" s="413"/>
      <c r="MOC20" s="413"/>
      <c r="MOD20" s="413"/>
      <c r="MOE20" s="413"/>
      <c r="MOF20" s="413"/>
      <c r="MOG20" s="413"/>
      <c r="MOH20" s="413"/>
      <c r="MOI20" s="413"/>
      <c r="MOJ20" s="413"/>
      <c r="MOK20" s="413"/>
      <c r="MOL20" s="413"/>
      <c r="MOM20" s="413"/>
      <c r="MON20" s="413"/>
      <c r="MOO20" s="413"/>
      <c r="MOP20" s="413"/>
      <c r="MOQ20" s="413"/>
      <c r="MOR20" s="413"/>
      <c r="MOS20" s="413"/>
      <c r="MOT20" s="413"/>
      <c r="MOU20" s="413"/>
      <c r="MOV20" s="413"/>
      <c r="MOW20" s="413"/>
      <c r="MOX20" s="413"/>
      <c r="MOY20" s="413"/>
      <c r="MOZ20" s="413"/>
      <c r="MPA20" s="413"/>
      <c r="MPB20" s="413"/>
      <c r="MPC20" s="413"/>
      <c r="MPD20" s="413"/>
      <c r="MPE20" s="413"/>
      <c r="MPF20" s="413"/>
      <c r="MPG20" s="413"/>
      <c r="MPH20" s="413"/>
      <c r="MPI20" s="413"/>
      <c r="MPJ20" s="413"/>
      <c r="MPK20" s="413"/>
      <c r="MPL20" s="413"/>
      <c r="MPM20" s="413"/>
      <c r="MPN20" s="413"/>
      <c r="MPO20" s="413"/>
      <c r="MPP20" s="413"/>
      <c r="MPQ20" s="413"/>
      <c r="MPR20" s="413"/>
      <c r="MPS20" s="413"/>
      <c r="MPT20" s="413"/>
      <c r="MPU20" s="413"/>
      <c r="MPV20" s="413"/>
      <c r="MPW20" s="413"/>
      <c r="MPX20" s="413"/>
      <c r="MPY20" s="413"/>
      <c r="MPZ20" s="413"/>
      <c r="MQA20" s="413"/>
      <c r="MQB20" s="413"/>
      <c r="MQC20" s="413"/>
      <c r="MQD20" s="413"/>
      <c r="MQE20" s="413"/>
      <c r="MQF20" s="413"/>
      <c r="MQG20" s="413"/>
      <c r="MQH20" s="413"/>
      <c r="MQI20" s="413"/>
      <c r="MQJ20" s="413"/>
      <c r="MQK20" s="413"/>
      <c r="MQL20" s="413"/>
      <c r="MQM20" s="413"/>
      <c r="MQN20" s="413"/>
      <c r="MQO20" s="413"/>
      <c r="MQP20" s="413"/>
      <c r="MQQ20" s="413"/>
      <c r="MQR20" s="413"/>
      <c r="MQS20" s="413"/>
      <c r="MQT20" s="413"/>
      <c r="MQU20" s="413"/>
      <c r="MQV20" s="413"/>
      <c r="MQW20" s="413"/>
      <c r="MQX20" s="413"/>
      <c r="MQY20" s="413"/>
      <c r="MQZ20" s="413"/>
      <c r="MRA20" s="413"/>
      <c r="MRB20" s="413"/>
      <c r="MRC20" s="413"/>
      <c r="MRD20" s="413"/>
      <c r="MRE20" s="413"/>
      <c r="MRF20" s="413"/>
      <c r="MRG20" s="413"/>
      <c r="MRH20" s="413"/>
      <c r="MRI20" s="413"/>
      <c r="MRJ20" s="413"/>
      <c r="MRK20" s="413"/>
      <c r="MRL20" s="413"/>
      <c r="MRM20" s="413"/>
      <c r="MRN20" s="413"/>
      <c r="MRO20" s="413"/>
      <c r="MRP20" s="413"/>
      <c r="MRQ20" s="413"/>
      <c r="MRR20" s="413"/>
      <c r="MRS20" s="413"/>
      <c r="MRT20" s="413"/>
      <c r="MRU20" s="413"/>
      <c r="MRV20" s="413"/>
      <c r="MRW20" s="413"/>
      <c r="MRX20" s="413"/>
      <c r="MRY20" s="413"/>
      <c r="MRZ20" s="413"/>
      <c r="MSA20" s="413"/>
      <c r="MSB20" s="413"/>
      <c r="MSC20" s="413"/>
      <c r="MSD20" s="413"/>
      <c r="MSE20" s="413"/>
      <c r="MSF20" s="413"/>
      <c r="MSG20" s="413"/>
      <c r="MSH20" s="413"/>
      <c r="MSI20" s="413"/>
      <c r="MSJ20" s="413"/>
      <c r="MSK20" s="413"/>
      <c r="MSL20" s="413"/>
      <c r="MSM20" s="413"/>
      <c r="MSN20" s="413"/>
      <c r="MSO20" s="413"/>
      <c r="MSP20" s="413"/>
      <c r="MSQ20" s="413"/>
      <c r="MSR20" s="413"/>
      <c r="MSS20" s="413"/>
      <c r="MST20" s="413"/>
      <c r="MSU20" s="413"/>
      <c r="MSV20" s="413"/>
      <c r="MSW20" s="413"/>
      <c r="MSX20" s="413"/>
      <c r="MSY20" s="413"/>
      <c r="MSZ20" s="413"/>
      <c r="MTA20" s="413"/>
      <c r="MTB20" s="413"/>
      <c r="MTC20" s="413"/>
      <c r="MTD20" s="413"/>
      <c r="MTE20" s="413"/>
      <c r="MTF20" s="413"/>
      <c r="MTG20" s="413"/>
      <c r="MTH20" s="413"/>
      <c r="MTI20" s="413"/>
      <c r="MTJ20" s="413"/>
      <c r="MTK20" s="413"/>
      <c r="MTL20" s="413"/>
      <c r="MTM20" s="413"/>
      <c r="MTN20" s="413"/>
      <c r="MTO20" s="413"/>
      <c r="MTP20" s="413"/>
      <c r="MTQ20" s="413"/>
      <c r="MTR20" s="413"/>
      <c r="MTS20" s="413"/>
      <c r="MTT20" s="413"/>
      <c r="MTU20" s="413"/>
      <c r="MTV20" s="413"/>
      <c r="MTW20" s="413"/>
      <c r="MTX20" s="413"/>
      <c r="MTY20" s="413"/>
      <c r="MTZ20" s="413"/>
      <c r="MUA20" s="413"/>
      <c r="MUB20" s="413"/>
      <c r="MUC20" s="413"/>
      <c r="MUD20" s="413"/>
      <c r="MUE20" s="413"/>
      <c r="MUF20" s="413"/>
      <c r="MUG20" s="413"/>
      <c r="MUH20" s="413"/>
      <c r="MUI20" s="413"/>
      <c r="MUJ20" s="413"/>
      <c r="MUK20" s="413"/>
      <c r="MUL20" s="413"/>
      <c r="MUM20" s="413"/>
      <c r="MUN20" s="413"/>
      <c r="MUO20" s="413"/>
      <c r="MUP20" s="413"/>
      <c r="MUQ20" s="413"/>
      <c r="MUR20" s="413"/>
      <c r="MUS20" s="413"/>
      <c r="MUT20" s="413"/>
      <c r="MUU20" s="413"/>
      <c r="MUV20" s="413"/>
      <c r="MUW20" s="413"/>
      <c r="MUX20" s="413"/>
      <c r="MUY20" s="413"/>
      <c r="MUZ20" s="413"/>
      <c r="MVA20" s="413"/>
      <c r="MVB20" s="413"/>
      <c r="MVC20" s="413"/>
      <c r="MVD20" s="413"/>
      <c r="MVE20" s="413"/>
      <c r="MVF20" s="413"/>
      <c r="MVG20" s="413"/>
      <c r="MVH20" s="413"/>
      <c r="MVI20" s="413"/>
      <c r="MVJ20" s="413"/>
      <c r="MVK20" s="413"/>
      <c r="MVL20" s="413"/>
      <c r="MVM20" s="413"/>
      <c r="MVN20" s="413"/>
      <c r="MVO20" s="413"/>
      <c r="MVP20" s="413"/>
      <c r="MVQ20" s="413"/>
      <c r="MVR20" s="413"/>
      <c r="MVS20" s="413"/>
      <c r="MVT20" s="413"/>
      <c r="MVU20" s="413"/>
      <c r="MVV20" s="413"/>
      <c r="MVW20" s="413"/>
      <c r="MVX20" s="413"/>
      <c r="MVY20" s="413"/>
      <c r="MVZ20" s="413"/>
      <c r="MWA20" s="413"/>
      <c r="MWB20" s="413"/>
      <c r="MWC20" s="413"/>
      <c r="MWD20" s="413"/>
      <c r="MWE20" s="413"/>
      <c r="MWF20" s="413"/>
      <c r="MWG20" s="413"/>
      <c r="MWH20" s="413"/>
      <c r="MWI20" s="413"/>
      <c r="MWJ20" s="413"/>
      <c r="MWK20" s="413"/>
      <c r="MWL20" s="413"/>
      <c r="MWM20" s="413"/>
      <c r="MWN20" s="413"/>
      <c r="MWO20" s="413"/>
      <c r="MWP20" s="413"/>
      <c r="MWQ20" s="413"/>
      <c r="MWR20" s="413"/>
      <c r="MWS20" s="413"/>
      <c r="MWT20" s="413"/>
      <c r="MWU20" s="413"/>
      <c r="MWV20" s="413"/>
      <c r="MWW20" s="413"/>
      <c r="MWX20" s="413"/>
      <c r="MWY20" s="413"/>
      <c r="MWZ20" s="413"/>
      <c r="MXA20" s="413"/>
      <c r="MXB20" s="413"/>
      <c r="MXC20" s="413"/>
      <c r="MXD20" s="413"/>
      <c r="MXE20" s="413"/>
      <c r="MXF20" s="413"/>
      <c r="MXG20" s="413"/>
      <c r="MXH20" s="413"/>
      <c r="MXI20" s="413"/>
      <c r="MXJ20" s="413"/>
      <c r="MXK20" s="413"/>
      <c r="MXL20" s="413"/>
      <c r="MXM20" s="413"/>
      <c r="MXN20" s="413"/>
      <c r="MXO20" s="413"/>
      <c r="MXP20" s="413"/>
      <c r="MXQ20" s="413"/>
      <c r="MXR20" s="413"/>
      <c r="MXS20" s="413"/>
      <c r="MXT20" s="413"/>
      <c r="MXU20" s="413"/>
      <c r="MXV20" s="413"/>
      <c r="MXW20" s="413"/>
      <c r="MXX20" s="413"/>
      <c r="MXY20" s="413"/>
      <c r="MXZ20" s="413"/>
      <c r="MYA20" s="413"/>
      <c r="MYB20" s="413"/>
      <c r="MYC20" s="413"/>
      <c r="MYD20" s="413"/>
      <c r="MYE20" s="413"/>
      <c r="MYF20" s="413"/>
      <c r="MYG20" s="413"/>
      <c r="MYH20" s="413"/>
      <c r="MYI20" s="413"/>
      <c r="MYJ20" s="413"/>
      <c r="MYK20" s="413"/>
      <c r="MYL20" s="413"/>
      <c r="MYM20" s="413"/>
      <c r="MYN20" s="413"/>
      <c r="MYO20" s="413"/>
      <c r="MYP20" s="413"/>
      <c r="MYQ20" s="413"/>
      <c r="MYR20" s="413"/>
      <c r="MYS20" s="413"/>
      <c r="MYT20" s="413"/>
      <c r="MYU20" s="413"/>
      <c r="MYV20" s="413"/>
      <c r="MYW20" s="413"/>
      <c r="MYX20" s="413"/>
      <c r="MYY20" s="413"/>
      <c r="MYZ20" s="413"/>
      <c r="MZA20" s="413"/>
      <c r="MZB20" s="413"/>
      <c r="MZC20" s="413"/>
      <c r="MZD20" s="413"/>
      <c r="MZE20" s="413"/>
      <c r="MZF20" s="413"/>
      <c r="MZG20" s="413"/>
      <c r="MZH20" s="413"/>
      <c r="MZI20" s="413"/>
      <c r="MZJ20" s="413"/>
      <c r="MZK20" s="413"/>
      <c r="MZL20" s="413"/>
      <c r="MZM20" s="413"/>
      <c r="MZN20" s="413"/>
      <c r="MZO20" s="413"/>
      <c r="MZP20" s="413"/>
      <c r="MZQ20" s="413"/>
      <c r="MZR20" s="413"/>
      <c r="MZS20" s="413"/>
      <c r="MZT20" s="413"/>
      <c r="MZU20" s="413"/>
      <c r="MZV20" s="413"/>
      <c r="MZW20" s="413"/>
      <c r="MZX20" s="413"/>
      <c r="MZY20" s="413"/>
      <c r="MZZ20" s="413"/>
      <c r="NAA20" s="413"/>
      <c r="NAB20" s="413"/>
      <c r="NAC20" s="413"/>
      <c r="NAD20" s="413"/>
      <c r="NAE20" s="413"/>
      <c r="NAF20" s="413"/>
      <c r="NAG20" s="413"/>
      <c r="NAH20" s="413"/>
      <c r="NAI20" s="413"/>
      <c r="NAJ20" s="413"/>
      <c r="NAK20" s="413"/>
      <c r="NAL20" s="413"/>
      <c r="NAM20" s="413"/>
      <c r="NAN20" s="413"/>
      <c r="NAO20" s="413"/>
      <c r="NAP20" s="413"/>
      <c r="NAQ20" s="413"/>
      <c r="NAR20" s="413"/>
      <c r="NAS20" s="413"/>
      <c r="NAT20" s="413"/>
      <c r="NAU20" s="413"/>
      <c r="NAV20" s="413"/>
      <c r="NAW20" s="413"/>
      <c r="NAX20" s="413"/>
      <c r="NAY20" s="413"/>
      <c r="NAZ20" s="413"/>
      <c r="NBA20" s="413"/>
      <c r="NBB20" s="413"/>
      <c r="NBC20" s="413"/>
      <c r="NBD20" s="413"/>
      <c r="NBE20" s="413"/>
      <c r="NBF20" s="413"/>
      <c r="NBG20" s="413"/>
      <c r="NBH20" s="413"/>
      <c r="NBI20" s="413"/>
      <c r="NBJ20" s="413"/>
      <c r="NBK20" s="413"/>
      <c r="NBL20" s="413"/>
      <c r="NBM20" s="413"/>
      <c r="NBN20" s="413"/>
      <c r="NBO20" s="413"/>
      <c r="NBP20" s="413"/>
      <c r="NBQ20" s="413"/>
      <c r="NBR20" s="413"/>
      <c r="NBS20" s="413"/>
      <c r="NBT20" s="413"/>
      <c r="NBU20" s="413"/>
      <c r="NBV20" s="413"/>
      <c r="NBW20" s="413"/>
      <c r="NBX20" s="413"/>
      <c r="NBY20" s="413"/>
      <c r="NBZ20" s="413"/>
      <c r="NCA20" s="413"/>
      <c r="NCB20" s="413"/>
      <c r="NCC20" s="413"/>
      <c r="NCD20" s="413"/>
      <c r="NCE20" s="413"/>
      <c r="NCF20" s="413"/>
      <c r="NCG20" s="413"/>
      <c r="NCH20" s="413"/>
      <c r="NCI20" s="413"/>
      <c r="NCJ20" s="413"/>
      <c r="NCK20" s="413"/>
      <c r="NCL20" s="413"/>
      <c r="NCM20" s="413"/>
      <c r="NCN20" s="413"/>
      <c r="NCO20" s="413"/>
      <c r="NCP20" s="413"/>
      <c r="NCQ20" s="413"/>
      <c r="NCR20" s="413"/>
      <c r="NCS20" s="413"/>
      <c r="NCT20" s="413"/>
      <c r="NCU20" s="413"/>
      <c r="NCV20" s="413"/>
      <c r="NCW20" s="413"/>
      <c r="NCX20" s="413"/>
      <c r="NCY20" s="413"/>
      <c r="NCZ20" s="413"/>
      <c r="NDA20" s="413"/>
      <c r="NDB20" s="413"/>
      <c r="NDC20" s="413"/>
      <c r="NDD20" s="413"/>
      <c r="NDE20" s="413"/>
      <c r="NDF20" s="413"/>
      <c r="NDG20" s="413"/>
      <c r="NDH20" s="413"/>
      <c r="NDI20" s="413"/>
      <c r="NDJ20" s="413"/>
      <c r="NDK20" s="413"/>
      <c r="NDL20" s="413"/>
      <c r="NDM20" s="413"/>
      <c r="NDN20" s="413"/>
      <c r="NDO20" s="413"/>
      <c r="NDP20" s="413"/>
      <c r="NDQ20" s="413"/>
      <c r="NDR20" s="413"/>
      <c r="NDS20" s="413"/>
      <c r="NDT20" s="413"/>
      <c r="NDU20" s="413"/>
      <c r="NDV20" s="413"/>
      <c r="NDW20" s="413"/>
      <c r="NDX20" s="413"/>
      <c r="NDY20" s="413"/>
      <c r="NDZ20" s="413"/>
      <c r="NEA20" s="413"/>
      <c r="NEB20" s="413"/>
      <c r="NEC20" s="413"/>
      <c r="NED20" s="413"/>
      <c r="NEE20" s="413"/>
      <c r="NEF20" s="413"/>
      <c r="NEG20" s="413"/>
      <c r="NEH20" s="413"/>
      <c r="NEI20" s="413"/>
      <c r="NEJ20" s="413"/>
      <c r="NEK20" s="413"/>
      <c r="NEL20" s="413"/>
      <c r="NEM20" s="413"/>
      <c r="NEN20" s="413"/>
      <c r="NEO20" s="413"/>
      <c r="NEP20" s="413"/>
      <c r="NEQ20" s="413"/>
      <c r="NER20" s="413"/>
      <c r="NES20" s="413"/>
      <c r="NET20" s="413"/>
      <c r="NEU20" s="413"/>
      <c r="NEV20" s="413"/>
      <c r="NEW20" s="413"/>
      <c r="NEX20" s="413"/>
      <c r="NEY20" s="413"/>
      <c r="NEZ20" s="413"/>
      <c r="NFA20" s="413"/>
      <c r="NFB20" s="413"/>
      <c r="NFC20" s="413"/>
      <c r="NFD20" s="413"/>
      <c r="NFE20" s="413"/>
      <c r="NFF20" s="413"/>
      <c r="NFG20" s="413"/>
      <c r="NFH20" s="413"/>
      <c r="NFI20" s="413"/>
      <c r="NFJ20" s="413"/>
      <c r="NFK20" s="413"/>
      <c r="NFL20" s="413"/>
      <c r="NFM20" s="413"/>
      <c r="NFN20" s="413"/>
      <c r="NFO20" s="413"/>
      <c r="NFP20" s="413"/>
      <c r="NFQ20" s="413"/>
      <c r="NFR20" s="413"/>
      <c r="NFS20" s="413"/>
      <c r="NFT20" s="413"/>
      <c r="NFU20" s="413"/>
      <c r="NFV20" s="413"/>
      <c r="NFW20" s="413"/>
      <c r="NFX20" s="413"/>
      <c r="NFY20" s="413"/>
      <c r="NFZ20" s="413"/>
      <c r="NGA20" s="413"/>
      <c r="NGB20" s="413"/>
      <c r="NGC20" s="413"/>
      <c r="NGD20" s="413"/>
      <c r="NGE20" s="413"/>
      <c r="NGF20" s="413"/>
      <c r="NGG20" s="413"/>
      <c r="NGH20" s="413"/>
      <c r="NGI20" s="413"/>
      <c r="NGJ20" s="413"/>
      <c r="NGK20" s="413"/>
      <c r="NGL20" s="413"/>
      <c r="NGM20" s="413"/>
      <c r="NGN20" s="413"/>
      <c r="NGO20" s="413"/>
      <c r="NGP20" s="413"/>
      <c r="NGQ20" s="413"/>
      <c r="NGR20" s="413"/>
      <c r="NGS20" s="413"/>
      <c r="NGT20" s="413"/>
      <c r="NGU20" s="413"/>
      <c r="NGV20" s="413"/>
      <c r="NGW20" s="413"/>
      <c r="NGX20" s="413"/>
      <c r="NGY20" s="413"/>
      <c r="NGZ20" s="413"/>
      <c r="NHA20" s="413"/>
      <c r="NHB20" s="413"/>
      <c r="NHC20" s="413"/>
      <c r="NHD20" s="413"/>
      <c r="NHE20" s="413"/>
      <c r="NHF20" s="413"/>
      <c r="NHG20" s="413"/>
      <c r="NHH20" s="413"/>
      <c r="NHI20" s="413"/>
      <c r="NHJ20" s="413"/>
      <c r="NHK20" s="413"/>
      <c r="NHL20" s="413"/>
      <c r="NHM20" s="413"/>
      <c r="NHN20" s="413"/>
      <c r="NHO20" s="413"/>
      <c r="NHP20" s="413"/>
      <c r="NHQ20" s="413"/>
      <c r="NHR20" s="413"/>
      <c r="NHS20" s="413"/>
      <c r="NHT20" s="413"/>
      <c r="NHU20" s="413"/>
      <c r="NHV20" s="413"/>
      <c r="NHW20" s="413"/>
      <c r="NHX20" s="413"/>
      <c r="NHY20" s="413"/>
      <c r="NHZ20" s="413"/>
      <c r="NIA20" s="413"/>
      <c r="NIB20" s="413"/>
      <c r="NIC20" s="413"/>
      <c r="NID20" s="413"/>
      <c r="NIE20" s="413"/>
      <c r="NIF20" s="413"/>
      <c r="NIG20" s="413"/>
      <c r="NIH20" s="413"/>
      <c r="NII20" s="413"/>
      <c r="NIJ20" s="413"/>
      <c r="NIK20" s="413"/>
      <c r="NIL20" s="413"/>
      <c r="NIM20" s="413"/>
      <c r="NIN20" s="413"/>
      <c r="NIO20" s="413"/>
      <c r="NIP20" s="413"/>
      <c r="NIQ20" s="413"/>
      <c r="NIR20" s="413"/>
      <c r="NIS20" s="413"/>
      <c r="NIT20" s="413"/>
      <c r="NIU20" s="413"/>
      <c r="NIV20" s="413"/>
      <c r="NIW20" s="413"/>
      <c r="NIX20" s="413"/>
      <c r="NIY20" s="413"/>
      <c r="NIZ20" s="413"/>
      <c r="NJA20" s="413"/>
      <c r="NJB20" s="413"/>
      <c r="NJC20" s="413"/>
      <c r="NJD20" s="413"/>
      <c r="NJE20" s="413"/>
      <c r="NJF20" s="413"/>
      <c r="NJG20" s="413"/>
      <c r="NJH20" s="413"/>
      <c r="NJI20" s="413"/>
      <c r="NJJ20" s="413"/>
      <c r="NJK20" s="413"/>
      <c r="NJL20" s="413"/>
      <c r="NJM20" s="413"/>
      <c r="NJN20" s="413"/>
      <c r="NJO20" s="413"/>
      <c r="NJP20" s="413"/>
      <c r="NJQ20" s="413"/>
      <c r="NJR20" s="413"/>
      <c r="NJS20" s="413"/>
      <c r="NJT20" s="413"/>
      <c r="NJU20" s="413"/>
      <c r="NJV20" s="413"/>
      <c r="NJW20" s="413"/>
      <c r="NJX20" s="413"/>
      <c r="NJY20" s="413"/>
      <c r="NJZ20" s="413"/>
      <c r="NKA20" s="413"/>
      <c r="NKB20" s="413"/>
      <c r="NKC20" s="413"/>
      <c r="NKD20" s="413"/>
      <c r="NKE20" s="413"/>
      <c r="NKF20" s="413"/>
      <c r="NKG20" s="413"/>
      <c r="NKH20" s="413"/>
      <c r="NKI20" s="413"/>
      <c r="NKJ20" s="413"/>
      <c r="NKK20" s="413"/>
      <c r="NKL20" s="413"/>
      <c r="NKM20" s="413"/>
      <c r="NKN20" s="413"/>
      <c r="NKO20" s="413"/>
      <c r="NKP20" s="413"/>
      <c r="NKQ20" s="413"/>
      <c r="NKR20" s="413"/>
      <c r="NKS20" s="413"/>
      <c r="NKT20" s="413"/>
      <c r="NKU20" s="413"/>
      <c r="NKV20" s="413"/>
      <c r="NKW20" s="413"/>
      <c r="NKX20" s="413"/>
      <c r="NKY20" s="413"/>
      <c r="NKZ20" s="413"/>
      <c r="NLA20" s="413"/>
      <c r="NLB20" s="413"/>
      <c r="NLC20" s="413"/>
      <c r="NLD20" s="413"/>
      <c r="NLE20" s="413"/>
      <c r="NLF20" s="413"/>
      <c r="NLG20" s="413"/>
      <c r="NLH20" s="413"/>
      <c r="NLI20" s="413"/>
      <c r="NLJ20" s="413"/>
      <c r="NLK20" s="413"/>
      <c r="NLL20" s="413"/>
      <c r="NLM20" s="413"/>
      <c r="NLN20" s="413"/>
      <c r="NLO20" s="413"/>
      <c r="NLP20" s="413"/>
      <c r="NLQ20" s="413"/>
      <c r="NLR20" s="413"/>
      <c r="NLS20" s="413"/>
      <c r="NLT20" s="413"/>
      <c r="NLU20" s="413"/>
      <c r="NLV20" s="413"/>
      <c r="NLW20" s="413"/>
      <c r="NLX20" s="413"/>
      <c r="NLY20" s="413"/>
      <c r="NLZ20" s="413"/>
      <c r="NMA20" s="413"/>
      <c r="NMB20" s="413"/>
      <c r="NMC20" s="413"/>
      <c r="NMD20" s="413"/>
      <c r="NME20" s="413"/>
      <c r="NMF20" s="413"/>
      <c r="NMG20" s="413"/>
      <c r="NMH20" s="413"/>
      <c r="NMI20" s="413"/>
      <c r="NMJ20" s="413"/>
      <c r="NMK20" s="413"/>
      <c r="NML20" s="413"/>
      <c r="NMM20" s="413"/>
      <c r="NMN20" s="413"/>
      <c r="NMO20" s="413"/>
      <c r="NMP20" s="413"/>
      <c r="NMQ20" s="413"/>
      <c r="NMR20" s="413"/>
      <c r="NMS20" s="413"/>
      <c r="NMT20" s="413"/>
      <c r="NMU20" s="413"/>
      <c r="NMV20" s="413"/>
      <c r="NMW20" s="413"/>
      <c r="NMX20" s="413"/>
      <c r="NMY20" s="413"/>
      <c r="NMZ20" s="413"/>
      <c r="NNA20" s="413"/>
      <c r="NNB20" s="413"/>
      <c r="NNC20" s="413"/>
      <c r="NND20" s="413"/>
      <c r="NNE20" s="413"/>
      <c r="NNF20" s="413"/>
      <c r="NNG20" s="413"/>
      <c r="NNH20" s="413"/>
      <c r="NNI20" s="413"/>
      <c r="NNJ20" s="413"/>
      <c r="NNK20" s="413"/>
      <c r="NNL20" s="413"/>
      <c r="NNM20" s="413"/>
      <c r="NNN20" s="413"/>
      <c r="NNO20" s="413"/>
      <c r="NNP20" s="413"/>
      <c r="NNQ20" s="413"/>
      <c r="NNR20" s="413"/>
      <c r="NNS20" s="413"/>
      <c r="NNT20" s="413"/>
      <c r="NNU20" s="413"/>
      <c r="NNV20" s="413"/>
      <c r="NNW20" s="413"/>
      <c r="NNX20" s="413"/>
      <c r="NNY20" s="413"/>
      <c r="NNZ20" s="413"/>
      <c r="NOA20" s="413"/>
      <c r="NOB20" s="413"/>
      <c r="NOC20" s="413"/>
      <c r="NOD20" s="413"/>
      <c r="NOE20" s="413"/>
      <c r="NOF20" s="413"/>
      <c r="NOG20" s="413"/>
      <c r="NOH20" s="413"/>
      <c r="NOI20" s="413"/>
      <c r="NOJ20" s="413"/>
      <c r="NOK20" s="413"/>
      <c r="NOL20" s="413"/>
      <c r="NOM20" s="413"/>
      <c r="NON20" s="413"/>
      <c r="NOO20" s="413"/>
      <c r="NOP20" s="413"/>
      <c r="NOQ20" s="413"/>
      <c r="NOR20" s="413"/>
      <c r="NOS20" s="413"/>
      <c r="NOT20" s="413"/>
      <c r="NOU20" s="413"/>
      <c r="NOV20" s="413"/>
      <c r="NOW20" s="413"/>
      <c r="NOX20" s="413"/>
      <c r="NOY20" s="413"/>
      <c r="NOZ20" s="413"/>
      <c r="NPA20" s="413"/>
      <c r="NPB20" s="413"/>
      <c r="NPC20" s="413"/>
      <c r="NPD20" s="413"/>
      <c r="NPE20" s="413"/>
      <c r="NPF20" s="413"/>
      <c r="NPG20" s="413"/>
      <c r="NPH20" s="413"/>
      <c r="NPI20" s="413"/>
      <c r="NPJ20" s="413"/>
      <c r="NPK20" s="413"/>
      <c r="NPL20" s="413"/>
      <c r="NPM20" s="413"/>
      <c r="NPN20" s="413"/>
      <c r="NPO20" s="413"/>
      <c r="NPP20" s="413"/>
      <c r="NPQ20" s="413"/>
      <c r="NPR20" s="413"/>
      <c r="NPS20" s="413"/>
      <c r="NPT20" s="413"/>
      <c r="NPU20" s="413"/>
      <c r="NPV20" s="413"/>
      <c r="NPW20" s="413"/>
      <c r="NPX20" s="413"/>
      <c r="NPY20" s="413"/>
      <c r="NPZ20" s="413"/>
      <c r="NQA20" s="413"/>
      <c r="NQB20" s="413"/>
      <c r="NQC20" s="413"/>
      <c r="NQD20" s="413"/>
      <c r="NQE20" s="413"/>
      <c r="NQF20" s="413"/>
      <c r="NQG20" s="413"/>
      <c r="NQH20" s="413"/>
      <c r="NQI20" s="413"/>
      <c r="NQJ20" s="413"/>
      <c r="NQK20" s="413"/>
      <c r="NQL20" s="413"/>
      <c r="NQM20" s="413"/>
      <c r="NQN20" s="413"/>
      <c r="NQO20" s="413"/>
      <c r="NQP20" s="413"/>
      <c r="NQQ20" s="413"/>
      <c r="NQR20" s="413"/>
      <c r="NQS20" s="413"/>
      <c r="NQT20" s="413"/>
      <c r="NQU20" s="413"/>
      <c r="NQV20" s="413"/>
      <c r="NQW20" s="413"/>
      <c r="NQX20" s="413"/>
      <c r="NQY20" s="413"/>
      <c r="NQZ20" s="413"/>
      <c r="NRA20" s="413"/>
      <c r="NRB20" s="413"/>
      <c r="NRC20" s="413"/>
      <c r="NRD20" s="413"/>
      <c r="NRE20" s="413"/>
      <c r="NRF20" s="413"/>
      <c r="NRG20" s="413"/>
      <c r="NRH20" s="413"/>
      <c r="NRI20" s="413"/>
      <c r="NRJ20" s="413"/>
      <c r="NRK20" s="413"/>
      <c r="NRL20" s="413"/>
      <c r="NRM20" s="413"/>
      <c r="NRN20" s="413"/>
      <c r="NRO20" s="413"/>
      <c r="NRP20" s="413"/>
      <c r="NRQ20" s="413"/>
      <c r="NRR20" s="413"/>
      <c r="NRS20" s="413"/>
      <c r="NRT20" s="413"/>
      <c r="NRU20" s="413"/>
      <c r="NRV20" s="413"/>
      <c r="NRW20" s="413"/>
      <c r="NRX20" s="413"/>
      <c r="NRY20" s="413"/>
      <c r="NRZ20" s="413"/>
      <c r="NSA20" s="413"/>
      <c r="NSB20" s="413"/>
      <c r="NSC20" s="413"/>
      <c r="NSD20" s="413"/>
      <c r="NSE20" s="413"/>
      <c r="NSF20" s="413"/>
      <c r="NSG20" s="413"/>
      <c r="NSH20" s="413"/>
      <c r="NSI20" s="413"/>
      <c r="NSJ20" s="413"/>
      <c r="NSK20" s="413"/>
      <c r="NSL20" s="413"/>
      <c r="NSM20" s="413"/>
      <c r="NSN20" s="413"/>
      <c r="NSO20" s="413"/>
      <c r="NSP20" s="413"/>
      <c r="NSQ20" s="413"/>
      <c r="NSR20" s="413"/>
      <c r="NSS20" s="413"/>
      <c r="NST20" s="413"/>
      <c r="NSU20" s="413"/>
      <c r="NSV20" s="413"/>
      <c r="NSW20" s="413"/>
      <c r="NSX20" s="413"/>
      <c r="NSY20" s="413"/>
      <c r="NSZ20" s="413"/>
      <c r="NTA20" s="413"/>
      <c r="NTB20" s="413"/>
      <c r="NTC20" s="413"/>
      <c r="NTD20" s="413"/>
      <c r="NTE20" s="413"/>
      <c r="NTF20" s="413"/>
      <c r="NTG20" s="413"/>
      <c r="NTH20" s="413"/>
      <c r="NTI20" s="413"/>
      <c r="NTJ20" s="413"/>
      <c r="NTK20" s="413"/>
      <c r="NTL20" s="413"/>
      <c r="NTM20" s="413"/>
      <c r="NTN20" s="413"/>
      <c r="NTO20" s="413"/>
      <c r="NTP20" s="413"/>
      <c r="NTQ20" s="413"/>
      <c r="NTR20" s="413"/>
      <c r="NTS20" s="413"/>
      <c r="NTT20" s="413"/>
      <c r="NTU20" s="413"/>
      <c r="NTV20" s="413"/>
      <c r="NTW20" s="413"/>
      <c r="NTX20" s="413"/>
      <c r="NTY20" s="413"/>
      <c r="NTZ20" s="413"/>
      <c r="NUA20" s="413"/>
      <c r="NUB20" s="413"/>
      <c r="NUC20" s="413"/>
      <c r="NUD20" s="413"/>
      <c r="NUE20" s="413"/>
      <c r="NUF20" s="413"/>
      <c r="NUG20" s="413"/>
      <c r="NUH20" s="413"/>
      <c r="NUI20" s="413"/>
      <c r="NUJ20" s="413"/>
      <c r="NUK20" s="413"/>
      <c r="NUL20" s="413"/>
      <c r="NUM20" s="413"/>
      <c r="NUN20" s="413"/>
      <c r="NUO20" s="413"/>
      <c r="NUP20" s="413"/>
      <c r="NUQ20" s="413"/>
      <c r="NUR20" s="413"/>
      <c r="NUS20" s="413"/>
      <c r="NUT20" s="413"/>
      <c r="NUU20" s="413"/>
      <c r="NUV20" s="413"/>
      <c r="NUW20" s="413"/>
      <c r="NUX20" s="413"/>
      <c r="NUY20" s="413"/>
      <c r="NUZ20" s="413"/>
      <c r="NVA20" s="413"/>
      <c r="NVB20" s="413"/>
      <c r="NVC20" s="413"/>
      <c r="NVD20" s="413"/>
      <c r="NVE20" s="413"/>
      <c r="NVF20" s="413"/>
      <c r="NVG20" s="413"/>
      <c r="NVH20" s="413"/>
      <c r="NVI20" s="413"/>
      <c r="NVJ20" s="413"/>
      <c r="NVK20" s="413"/>
      <c r="NVL20" s="413"/>
      <c r="NVM20" s="413"/>
      <c r="NVN20" s="413"/>
      <c r="NVO20" s="413"/>
      <c r="NVP20" s="413"/>
      <c r="NVQ20" s="413"/>
      <c r="NVR20" s="413"/>
      <c r="NVS20" s="413"/>
      <c r="NVT20" s="413"/>
      <c r="NVU20" s="413"/>
      <c r="NVV20" s="413"/>
      <c r="NVW20" s="413"/>
      <c r="NVX20" s="413"/>
      <c r="NVY20" s="413"/>
      <c r="NVZ20" s="413"/>
      <c r="NWA20" s="413"/>
      <c r="NWB20" s="413"/>
      <c r="NWC20" s="413"/>
      <c r="NWD20" s="413"/>
      <c r="NWE20" s="413"/>
      <c r="NWF20" s="413"/>
      <c r="NWG20" s="413"/>
      <c r="NWH20" s="413"/>
      <c r="NWI20" s="413"/>
      <c r="NWJ20" s="413"/>
      <c r="NWK20" s="413"/>
      <c r="NWL20" s="413"/>
      <c r="NWM20" s="413"/>
      <c r="NWN20" s="413"/>
      <c r="NWO20" s="413"/>
      <c r="NWP20" s="413"/>
      <c r="NWQ20" s="413"/>
      <c r="NWR20" s="413"/>
      <c r="NWS20" s="413"/>
      <c r="NWT20" s="413"/>
      <c r="NWU20" s="413"/>
      <c r="NWV20" s="413"/>
      <c r="NWW20" s="413"/>
      <c r="NWX20" s="413"/>
      <c r="NWY20" s="413"/>
      <c r="NWZ20" s="413"/>
      <c r="NXA20" s="413"/>
      <c r="NXB20" s="413"/>
      <c r="NXC20" s="413"/>
      <c r="NXD20" s="413"/>
      <c r="NXE20" s="413"/>
      <c r="NXF20" s="413"/>
      <c r="NXG20" s="413"/>
      <c r="NXH20" s="413"/>
      <c r="NXI20" s="413"/>
      <c r="NXJ20" s="413"/>
      <c r="NXK20" s="413"/>
      <c r="NXL20" s="413"/>
      <c r="NXM20" s="413"/>
      <c r="NXN20" s="413"/>
      <c r="NXO20" s="413"/>
      <c r="NXP20" s="413"/>
      <c r="NXQ20" s="413"/>
      <c r="NXR20" s="413"/>
      <c r="NXS20" s="413"/>
      <c r="NXT20" s="413"/>
      <c r="NXU20" s="413"/>
      <c r="NXV20" s="413"/>
      <c r="NXW20" s="413"/>
      <c r="NXX20" s="413"/>
      <c r="NXY20" s="413"/>
      <c r="NXZ20" s="413"/>
      <c r="NYA20" s="413"/>
      <c r="NYB20" s="413"/>
      <c r="NYC20" s="413"/>
      <c r="NYD20" s="413"/>
      <c r="NYE20" s="413"/>
      <c r="NYF20" s="413"/>
      <c r="NYG20" s="413"/>
      <c r="NYH20" s="413"/>
      <c r="NYI20" s="413"/>
      <c r="NYJ20" s="413"/>
      <c r="NYK20" s="413"/>
      <c r="NYL20" s="413"/>
      <c r="NYM20" s="413"/>
      <c r="NYN20" s="413"/>
      <c r="NYO20" s="413"/>
      <c r="NYP20" s="413"/>
      <c r="NYQ20" s="413"/>
      <c r="NYR20" s="413"/>
      <c r="NYS20" s="413"/>
      <c r="NYT20" s="413"/>
      <c r="NYU20" s="413"/>
      <c r="NYV20" s="413"/>
      <c r="NYW20" s="413"/>
      <c r="NYX20" s="413"/>
      <c r="NYY20" s="413"/>
      <c r="NYZ20" s="413"/>
      <c r="NZA20" s="413"/>
      <c r="NZB20" s="413"/>
      <c r="NZC20" s="413"/>
      <c r="NZD20" s="413"/>
      <c r="NZE20" s="413"/>
      <c r="NZF20" s="413"/>
      <c r="NZG20" s="413"/>
      <c r="NZH20" s="413"/>
      <c r="NZI20" s="413"/>
      <c r="NZJ20" s="413"/>
      <c r="NZK20" s="413"/>
      <c r="NZL20" s="413"/>
      <c r="NZM20" s="413"/>
      <c r="NZN20" s="413"/>
      <c r="NZO20" s="413"/>
      <c r="NZP20" s="413"/>
      <c r="NZQ20" s="413"/>
      <c r="NZR20" s="413"/>
      <c r="NZS20" s="413"/>
      <c r="NZT20" s="413"/>
      <c r="NZU20" s="413"/>
      <c r="NZV20" s="413"/>
      <c r="NZW20" s="413"/>
      <c r="NZX20" s="413"/>
      <c r="NZY20" s="413"/>
      <c r="NZZ20" s="413"/>
      <c r="OAA20" s="413"/>
      <c r="OAB20" s="413"/>
      <c r="OAC20" s="413"/>
      <c r="OAD20" s="413"/>
      <c r="OAE20" s="413"/>
      <c r="OAF20" s="413"/>
      <c r="OAG20" s="413"/>
      <c r="OAH20" s="413"/>
      <c r="OAI20" s="413"/>
      <c r="OAJ20" s="413"/>
      <c r="OAK20" s="413"/>
      <c r="OAL20" s="413"/>
      <c r="OAM20" s="413"/>
      <c r="OAN20" s="413"/>
      <c r="OAO20" s="413"/>
      <c r="OAP20" s="413"/>
      <c r="OAQ20" s="413"/>
      <c r="OAR20" s="413"/>
      <c r="OAS20" s="413"/>
      <c r="OAT20" s="413"/>
      <c r="OAU20" s="413"/>
      <c r="OAV20" s="413"/>
      <c r="OAW20" s="413"/>
      <c r="OAX20" s="413"/>
      <c r="OAY20" s="413"/>
      <c r="OAZ20" s="413"/>
      <c r="OBA20" s="413"/>
      <c r="OBB20" s="413"/>
      <c r="OBC20" s="413"/>
      <c r="OBD20" s="413"/>
      <c r="OBE20" s="413"/>
      <c r="OBF20" s="413"/>
      <c r="OBG20" s="413"/>
      <c r="OBH20" s="413"/>
      <c r="OBI20" s="413"/>
      <c r="OBJ20" s="413"/>
      <c r="OBK20" s="413"/>
      <c r="OBL20" s="413"/>
      <c r="OBM20" s="413"/>
      <c r="OBN20" s="413"/>
      <c r="OBO20" s="413"/>
      <c r="OBP20" s="413"/>
      <c r="OBQ20" s="413"/>
      <c r="OBR20" s="413"/>
      <c r="OBS20" s="413"/>
      <c r="OBT20" s="413"/>
      <c r="OBU20" s="413"/>
      <c r="OBV20" s="413"/>
      <c r="OBW20" s="413"/>
      <c r="OBX20" s="413"/>
      <c r="OBY20" s="413"/>
      <c r="OBZ20" s="413"/>
      <c r="OCA20" s="413"/>
      <c r="OCB20" s="413"/>
      <c r="OCC20" s="413"/>
      <c r="OCD20" s="413"/>
      <c r="OCE20" s="413"/>
      <c r="OCF20" s="413"/>
      <c r="OCG20" s="413"/>
      <c r="OCH20" s="413"/>
      <c r="OCI20" s="413"/>
      <c r="OCJ20" s="413"/>
      <c r="OCK20" s="413"/>
      <c r="OCL20" s="413"/>
      <c r="OCM20" s="413"/>
      <c r="OCN20" s="413"/>
      <c r="OCO20" s="413"/>
      <c r="OCP20" s="413"/>
      <c r="OCQ20" s="413"/>
      <c r="OCR20" s="413"/>
      <c r="OCS20" s="413"/>
      <c r="OCT20" s="413"/>
      <c r="OCU20" s="413"/>
      <c r="OCV20" s="413"/>
      <c r="OCW20" s="413"/>
      <c r="OCX20" s="413"/>
      <c r="OCY20" s="413"/>
      <c r="OCZ20" s="413"/>
      <c r="ODA20" s="413"/>
      <c r="ODB20" s="413"/>
      <c r="ODC20" s="413"/>
      <c r="ODD20" s="413"/>
      <c r="ODE20" s="413"/>
      <c r="ODF20" s="413"/>
      <c r="ODG20" s="413"/>
      <c r="ODH20" s="413"/>
      <c r="ODI20" s="413"/>
      <c r="ODJ20" s="413"/>
      <c r="ODK20" s="413"/>
      <c r="ODL20" s="413"/>
      <c r="ODM20" s="413"/>
      <c r="ODN20" s="413"/>
      <c r="ODO20" s="413"/>
      <c r="ODP20" s="413"/>
      <c r="ODQ20" s="413"/>
      <c r="ODR20" s="413"/>
      <c r="ODS20" s="413"/>
      <c r="ODT20" s="413"/>
      <c r="ODU20" s="413"/>
      <c r="ODV20" s="413"/>
      <c r="ODW20" s="413"/>
      <c r="ODX20" s="413"/>
      <c r="ODY20" s="413"/>
      <c r="ODZ20" s="413"/>
      <c r="OEA20" s="413"/>
      <c r="OEB20" s="413"/>
      <c r="OEC20" s="413"/>
      <c r="OED20" s="413"/>
      <c r="OEE20" s="413"/>
      <c r="OEF20" s="413"/>
      <c r="OEG20" s="413"/>
      <c r="OEH20" s="413"/>
      <c r="OEI20" s="413"/>
      <c r="OEJ20" s="413"/>
      <c r="OEK20" s="413"/>
      <c r="OEL20" s="413"/>
      <c r="OEM20" s="413"/>
      <c r="OEN20" s="413"/>
      <c r="OEO20" s="413"/>
      <c r="OEP20" s="413"/>
      <c r="OEQ20" s="413"/>
      <c r="OER20" s="413"/>
      <c r="OES20" s="413"/>
      <c r="OET20" s="413"/>
      <c r="OEU20" s="413"/>
      <c r="OEV20" s="413"/>
      <c r="OEW20" s="413"/>
      <c r="OEX20" s="413"/>
      <c r="OEY20" s="413"/>
      <c r="OEZ20" s="413"/>
      <c r="OFA20" s="413"/>
      <c r="OFB20" s="413"/>
      <c r="OFC20" s="413"/>
      <c r="OFD20" s="413"/>
      <c r="OFE20" s="413"/>
      <c r="OFF20" s="413"/>
      <c r="OFG20" s="413"/>
      <c r="OFH20" s="413"/>
      <c r="OFI20" s="413"/>
      <c r="OFJ20" s="413"/>
      <c r="OFK20" s="413"/>
      <c r="OFL20" s="413"/>
      <c r="OFM20" s="413"/>
      <c r="OFN20" s="413"/>
      <c r="OFO20" s="413"/>
      <c r="OFP20" s="413"/>
      <c r="OFQ20" s="413"/>
      <c r="OFR20" s="413"/>
      <c r="OFS20" s="413"/>
      <c r="OFT20" s="413"/>
      <c r="OFU20" s="413"/>
      <c r="OFV20" s="413"/>
      <c r="OFW20" s="413"/>
      <c r="OFX20" s="413"/>
      <c r="OFY20" s="413"/>
      <c r="OFZ20" s="413"/>
      <c r="OGA20" s="413"/>
      <c r="OGB20" s="413"/>
      <c r="OGC20" s="413"/>
      <c r="OGD20" s="413"/>
      <c r="OGE20" s="413"/>
      <c r="OGF20" s="413"/>
      <c r="OGG20" s="413"/>
      <c r="OGH20" s="413"/>
      <c r="OGI20" s="413"/>
      <c r="OGJ20" s="413"/>
      <c r="OGK20" s="413"/>
      <c r="OGL20" s="413"/>
      <c r="OGM20" s="413"/>
      <c r="OGN20" s="413"/>
      <c r="OGO20" s="413"/>
      <c r="OGP20" s="413"/>
      <c r="OGQ20" s="413"/>
      <c r="OGR20" s="413"/>
      <c r="OGS20" s="413"/>
      <c r="OGT20" s="413"/>
      <c r="OGU20" s="413"/>
      <c r="OGV20" s="413"/>
      <c r="OGW20" s="413"/>
      <c r="OGX20" s="413"/>
      <c r="OGY20" s="413"/>
      <c r="OGZ20" s="413"/>
      <c r="OHA20" s="413"/>
      <c r="OHB20" s="413"/>
      <c r="OHC20" s="413"/>
      <c r="OHD20" s="413"/>
      <c r="OHE20" s="413"/>
      <c r="OHF20" s="413"/>
      <c r="OHG20" s="413"/>
      <c r="OHH20" s="413"/>
      <c r="OHI20" s="413"/>
      <c r="OHJ20" s="413"/>
      <c r="OHK20" s="413"/>
      <c r="OHL20" s="413"/>
      <c r="OHM20" s="413"/>
      <c r="OHN20" s="413"/>
      <c r="OHO20" s="413"/>
      <c r="OHP20" s="413"/>
      <c r="OHQ20" s="413"/>
      <c r="OHR20" s="413"/>
      <c r="OHS20" s="413"/>
      <c r="OHT20" s="413"/>
      <c r="OHU20" s="413"/>
      <c r="OHV20" s="413"/>
      <c r="OHW20" s="413"/>
      <c r="OHX20" s="413"/>
      <c r="OHY20" s="413"/>
      <c r="OHZ20" s="413"/>
      <c r="OIA20" s="413"/>
      <c r="OIB20" s="413"/>
      <c r="OIC20" s="413"/>
      <c r="OID20" s="413"/>
      <c r="OIE20" s="413"/>
      <c r="OIF20" s="413"/>
      <c r="OIG20" s="413"/>
      <c r="OIH20" s="413"/>
      <c r="OII20" s="413"/>
      <c r="OIJ20" s="413"/>
      <c r="OIK20" s="413"/>
      <c r="OIL20" s="413"/>
      <c r="OIM20" s="413"/>
      <c r="OIN20" s="413"/>
      <c r="OIO20" s="413"/>
      <c r="OIP20" s="413"/>
      <c r="OIQ20" s="413"/>
      <c r="OIR20" s="413"/>
      <c r="OIS20" s="413"/>
      <c r="OIT20" s="413"/>
      <c r="OIU20" s="413"/>
      <c r="OIV20" s="413"/>
      <c r="OIW20" s="413"/>
      <c r="OIX20" s="413"/>
      <c r="OIY20" s="413"/>
      <c r="OIZ20" s="413"/>
      <c r="OJA20" s="413"/>
      <c r="OJB20" s="413"/>
      <c r="OJC20" s="413"/>
      <c r="OJD20" s="413"/>
      <c r="OJE20" s="413"/>
      <c r="OJF20" s="413"/>
      <c r="OJG20" s="413"/>
      <c r="OJH20" s="413"/>
      <c r="OJI20" s="413"/>
      <c r="OJJ20" s="413"/>
      <c r="OJK20" s="413"/>
      <c r="OJL20" s="413"/>
      <c r="OJM20" s="413"/>
      <c r="OJN20" s="413"/>
      <c r="OJO20" s="413"/>
      <c r="OJP20" s="413"/>
      <c r="OJQ20" s="413"/>
      <c r="OJR20" s="413"/>
      <c r="OJS20" s="413"/>
      <c r="OJT20" s="413"/>
      <c r="OJU20" s="413"/>
      <c r="OJV20" s="413"/>
      <c r="OJW20" s="413"/>
      <c r="OJX20" s="413"/>
      <c r="OJY20" s="413"/>
      <c r="OJZ20" s="413"/>
      <c r="OKA20" s="413"/>
      <c r="OKB20" s="413"/>
      <c r="OKC20" s="413"/>
      <c r="OKD20" s="413"/>
      <c r="OKE20" s="413"/>
      <c r="OKF20" s="413"/>
      <c r="OKG20" s="413"/>
      <c r="OKH20" s="413"/>
      <c r="OKI20" s="413"/>
      <c r="OKJ20" s="413"/>
      <c r="OKK20" s="413"/>
      <c r="OKL20" s="413"/>
      <c r="OKM20" s="413"/>
      <c r="OKN20" s="413"/>
      <c r="OKO20" s="413"/>
      <c r="OKP20" s="413"/>
      <c r="OKQ20" s="413"/>
      <c r="OKR20" s="413"/>
      <c r="OKS20" s="413"/>
      <c r="OKT20" s="413"/>
      <c r="OKU20" s="413"/>
      <c r="OKV20" s="413"/>
      <c r="OKW20" s="413"/>
      <c r="OKX20" s="413"/>
      <c r="OKY20" s="413"/>
      <c r="OKZ20" s="413"/>
      <c r="OLA20" s="413"/>
      <c r="OLB20" s="413"/>
      <c r="OLC20" s="413"/>
      <c r="OLD20" s="413"/>
      <c r="OLE20" s="413"/>
      <c r="OLF20" s="413"/>
      <c r="OLG20" s="413"/>
      <c r="OLH20" s="413"/>
      <c r="OLI20" s="413"/>
      <c r="OLJ20" s="413"/>
      <c r="OLK20" s="413"/>
      <c r="OLL20" s="413"/>
      <c r="OLM20" s="413"/>
      <c r="OLN20" s="413"/>
      <c r="OLO20" s="413"/>
      <c r="OLP20" s="413"/>
      <c r="OLQ20" s="413"/>
      <c r="OLR20" s="413"/>
      <c r="OLS20" s="413"/>
      <c r="OLT20" s="413"/>
      <c r="OLU20" s="413"/>
      <c r="OLV20" s="413"/>
      <c r="OLW20" s="413"/>
      <c r="OLX20" s="413"/>
      <c r="OLY20" s="413"/>
      <c r="OLZ20" s="413"/>
      <c r="OMA20" s="413"/>
      <c r="OMB20" s="413"/>
      <c r="OMC20" s="413"/>
      <c r="OMD20" s="413"/>
      <c r="OME20" s="413"/>
      <c r="OMF20" s="413"/>
      <c r="OMG20" s="413"/>
      <c r="OMH20" s="413"/>
      <c r="OMI20" s="413"/>
      <c r="OMJ20" s="413"/>
      <c r="OMK20" s="413"/>
      <c r="OML20" s="413"/>
      <c r="OMM20" s="413"/>
      <c r="OMN20" s="413"/>
      <c r="OMO20" s="413"/>
      <c r="OMP20" s="413"/>
      <c r="OMQ20" s="413"/>
      <c r="OMR20" s="413"/>
      <c r="OMS20" s="413"/>
      <c r="OMT20" s="413"/>
      <c r="OMU20" s="413"/>
      <c r="OMV20" s="413"/>
      <c r="OMW20" s="413"/>
      <c r="OMX20" s="413"/>
      <c r="OMY20" s="413"/>
      <c r="OMZ20" s="413"/>
      <c r="ONA20" s="413"/>
      <c r="ONB20" s="413"/>
      <c r="ONC20" s="413"/>
      <c r="OND20" s="413"/>
      <c r="ONE20" s="413"/>
      <c r="ONF20" s="413"/>
      <c r="ONG20" s="413"/>
      <c r="ONH20" s="413"/>
      <c r="ONI20" s="413"/>
      <c r="ONJ20" s="413"/>
      <c r="ONK20" s="413"/>
      <c r="ONL20" s="413"/>
      <c r="ONM20" s="413"/>
      <c r="ONN20" s="413"/>
      <c r="ONO20" s="413"/>
      <c r="ONP20" s="413"/>
      <c r="ONQ20" s="413"/>
      <c r="ONR20" s="413"/>
      <c r="ONS20" s="413"/>
      <c r="ONT20" s="413"/>
      <c r="ONU20" s="413"/>
      <c r="ONV20" s="413"/>
      <c r="ONW20" s="413"/>
      <c r="ONX20" s="413"/>
      <c r="ONY20" s="413"/>
      <c r="ONZ20" s="413"/>
      <c r="OOA20" s="413"/>
      <c r="OOB20" s="413"/>
      <c r="OOC20" s="413"/>
      <c r="OOD20" s="413"/>
      <c r="OOE20" s="413"/>
      <c r="OOF20" s="413"/>
      <c r="OOG20" s="413"/>
      <c r="OOH20" s="413"/>
      <c r="OOI20" s="413"/>
      <c r="OOJ20" s="413"/>
      <c r="OOK20" s="413"/>
      <c r="OOL20" s="413"/>
      <c r="OOM20" s="413"/>
      <c r="OON20" s="413"/>
      <c r="OOO20" s="413"/>
      <c r="OOP20" s="413"/>
      <c r="OOQ20" s="413"/>
      <c r="OOR20" s="413"/>
      <c r="OOS20" s="413"/>
      <c r="OOT20" s="413"/>
      <c r="OOU20" s="413"/>
      <c r="OOV20" s="413"/>
      <c r="OOW20" s="413"/>
      <c r="OOX20" s="413"/>
      <c r="OOY20" s="413"/>
      <c r="OOZ20" s="413"/>
      <c r="OPA20" s="413"/>
      <c r="OPB20" s="413"/>
      <c r="OPC20" s="413"/>
      <c r="OPD20" s="413"/>
      <c r="OPE20" s="413"/>
      <c r="OPF20" s="413"/>
      <c r="OPG20" s="413"/>
      <c r="OPH20" s="413"/>
      <c r="OPI20" s="413"/>
      <c r="OPJ20" s="413"/>
      <c r="OPK20" s="413"/>
      <c r="OPL20" s="413"/>
      <c r="OPM20" s="413"/>
      <c r="OPN20" s="413"/>
      <c r="OPO20" s="413"/>
      <c r="OPP20" s="413"/>
      <c r="OPQ20" s="413"/>
      <c r="OPR20" s="413"/>
      <c r="OPS20" s="413"/>
      <c r="OPT20" s="413"/>
      <c r="OPU20" s="413"/>
      <c r="OPV20" s="413"/>
      <c r="OPW20" s="413"/>
      <c r="OPX20" s="413"/>
      <c r="OPY20" s="413"/>
      <c r="OPZ20" s="413"/>
      <c r="OQA20" s="413"/>
      <c r="OQB20" s="413"/>
      <c r="OQC20" s="413"/>
      <c r="OQD20" s="413"/>
      <c r="OQE20" s="413"/>
      <c r="OQF20" s="413"/>
      <c r="OQG20" s="413"/>
      <c r="OQH20" s="413"/>
      <c r="OQI20" s="413"/>
      <c r="OQJ20" s="413"/>
      <c r="OQK20" s="413"/>
      <c r="OQL20" s="413"/>
      <c r="OQM20" s="413"/>
      <c r="OQN20" s="413"/>
      <c r="OQO20" s="413"/>
      <c r="OQP20" s="413"/>
      <c r="OQQ20" s="413"/>
      <c r="OQR20" s="413"/>
      <c r="OQS20" s="413"/>
      <c r="OQT20" s="413"/>
      <c r="OQU20" s="413"/>
      <c r="OQV20" s="413"/>
      <c r="OQW20" s="413"/>
      <c r="OQX20" s="413"/>
      <c r="OQY20" s="413"/>
      <c r="OQZ20" s="413"/>
      <c r="ORA20" s="413"/>
      <c r="ORB20" s="413"/>
      <c r="ORC20" s="413"/>
      <c r="ORD20" s="413"/>
      <c r="ORE20" s="413"/>
      <c r="ORF20" s="413"/>
      <c r="ORG20" s="413"/>
      <c r="ORH20" s="413"/>
      <c r="ORI20" s="413"/>
      <c r="ORJ20" s="413"/>
      <c r="ORK20" s="413"/>
      <c r="ORL20" s="413"/>
      <c r="ORM20" s="413"/>
      <c r="ORN20" s="413"/>
      <c r="ORO20" s="413"/>
      <c r="ORP20" s="413"/>
      <c r="ORQ20" s="413"/>
      <c r="ORR20" s="413"/>
      <c r="ORS20" s="413"/>
      <c r="ORT20" s="413"/>
      <c r="ORU20" s="413"/>
      <c r="ORV20" s="413"/>
      <c r="ORW20" s="413"/>
      <c r="ORX20" s="413"/>
      <c r="ORY20" s="413"/>
      <c r="ORZ20" s="413"/>
      <c r="OSA20" s="413"/>
      <c r="OSB20" s="413"/>
      <c r="OSC20" s="413"/>
      <c r="OSD20" s="413"/>
      <c r="OSE20" s="413"/>
      <c r="OSF20" s="413"/>
      <c r="OSG20" s="413"/>
      <c r="OSH20" s="413"/>
      <c r="OSI20" s="413"/>
      <c r="OSJ20" s="413"/>
      <c r="OSK20" s="413"/>
      <c r="OSL20" s="413"/>
      <c r="OSM20" s="413"/>
      <c r="OSN20" s="413"/>
      <c r="OSO20" s="413"/>
      <c r="OSP20" s="413"/>
      <c r="OSQ20" s="413"/>
      <c r="OSR20" s="413"/>
      <c r="OSS20" s="413"/>
      <c r="OST20" s="413"/>
      <c r="OSU20" s="413"/>
      <c r="OSV20" s="413"/>
      <c r="OSW20" s="413"/>
      <c r="OSX20" s="413"/>
      <c r="OSY20" s="413"/>
      <c r="OSZ20" s="413"/>
      <c r="OTA20" s="413"/>
      <c r="OTB20" s="413"/>
      <c r="OTC20" s="413"/>
      <c r="OTD20" s="413"/>
      <c r="OTE20" s="413"/>
      <c r="OTF20" s="413"/>
      <c r="OTG20" s="413"/>
      <c r="OTH20" s="413"/>
      <c r="OTI20" s="413"/>
      <c r="OTJ20" s="413"/>
      <c r="OTK20" s="413"/>
      <c r="OTL20" s="413"/>
      <c r="OTM20" s="413"/>
      <c r="OTN20" s="413"/>
      <c r="OTO20" s="413"/>
      <c r="OTP20" s="413"/>
      <c r="OTQ20" s="413"/>
      <c r="OTR20" s="413"/>
      <c r="OTS20" s="413"/>
      <c r="OTT20" s="413"/>
      <c r="OTU20" s="413"/>
      <c r="OTV20" s="413"/>
      <c r="OTW20" s="413"/>
      <c r="OTX20" s="413"/>
      <c r="OTY20" s="413"/>
      <c r="OTZ20" s="413"/>
      <c r="OUA20" s="413"/>
      <c r="OUB20" s="413"/>
      <c r="OUC20" s="413"/>
      <c r="OUD20" s="413"/>
      <c r="OUE20" s="413"/>
      <c r="OUF20" s="413"/>
      <c r="OUG20" s="413"/>
      <c r="OUH20" s="413"/>
      <c r="OUI20" s="413"/>
      <c r="OUJ20" s="413"/>
      <c r="OUK20" s="413"/>
      <c r="OUL20" s="413"/>
      <c r="OUM20" s="413"/>
      <c r="OUN20" s="413"/>
      <c r="OUO20" s="413"/>
      <c r="OUP20" s="413"/>
      <c r="OUQ20" s="413"/>
      <c r="OUR20" s="413"/>
      <c r="OUS20" s="413"/>
      <c r="OUT20" s="413"/>
      <c r="OUU20" s="413"/>
      <c r="OUV20" s="413"/>
      <c r="OUW20" s="413"/>
      <c r="OUX20" s="413"/>
      <c r="OUY20" s="413"/>
      <c r="OUZ20" s="413"/>
      <c r="OVA20" s="413"/>
      <c r="OVB20" s="413"/>
      <c r="OVC20" s="413"/>
      <c r="OVD20" s="413"/>
      <c r="OVE20" s="413"/>
      <c r="OVF20" s="413"/>
      <c r="OVG20" s="413"/>
      <c r="OVH20" s="413"/>
      <c r="OVI20" s="413"/>
      <c r="OVJ20" s="413"/>
      <c r="OVK20" s="413"/>
      <c r="OVL20" s="413"/>
      <c r="OVM20" s="413"/>
      <c r="OVN20" s="413"/>
      <c r="OVO20" s="413"/>
      <c r="OVP20" s="413"/>
      <c r="OVQ20" s="413"/>
      <c r="OVR20" s="413"/>
      <c r="OVS20" s="413"/>
      <c r="OVT20" s="413"/>
      <c r="OVU20" s="413"/>
      <c r="OVV20" s="413"/>
      <c r="OVW20" s="413"/>
      <c r="OVX20" s="413"/>
      <c r="OVY20" s="413"/>
      <c r="OVZ20" s="413"/>
      <c r="OWA20" s="413"/>
      <c r="OWB20" s="413"/>
      <c r="OWC20" s="413"/>
      <c r="OWD20" s="413"/>
      <c r="OWE20" s="413"/>
      <c r="OWF20" s="413"/>
      <c r="OWG20" s="413"/>
      <c r="OWH20" s="413"/>
      <c r="OWI20" s="413"/>
      <c r="OWJ20" s="413"/>
      <c r="OWK20" s="413"/>
      <c r="OWL20" s="413"/>
      <c r="OWM20" s="413"/>
      <c r="OWN20" s="413"/>
      <c r="OWO20" s="413"/>
      <c r="OWP20" s="413"/>
      <c r="OWQ20" s="413"/>
      <c r="OWR20" s="413"/>
      <c r="OWS20" s="413"/>
      <c r="OWT20" s="413"/>
      <c r="OWU20" s="413"/>
      <c r="OWV20" s="413"/>
      <c r="OWW20" s="413"/>
      <c r="OWX20" s="413"/>
      <c r="OWY20" s="413"/>
      <c r="OWZ20" s="413"/>
      <c r="OXA20" s="413"/>
      <c r="OXB20" s="413"/>
      <c r="OXC20" s="413"/>
      <c r="OXD20" s="413"/>
      <c r="OXE20" s="413"/>
      <c r="OXF20" s="413"/>
      <c r="OXG20" s="413"/>
      <c r="OXH20" s="413"/>
      <c r="OXI20" s="413"/>
      <c r="OXJ20" s="413"/>
      <c r="OXK20" s="413"/>
      <c r="OXL20" s="413"/>
      <c r="OXM20" s="413"/>
      <c r="OXN20" s="413"/>
      <c r="OXO20" s="413"/>
      <c r="OXP20" s="413"/>
      <c r="OXQ20" s="413"/>
      <c r="OXR20" s="413"/>
      <c r="OXS20" s="413"/>
      <c r="OXT20" s="413"/>
      <c r="OXU20" s="413"/>
      <c r="OXV20" s="413"/>
      <c r="OXW20" s="413"/>
      <c r="OXX20" s="413"/>
      <c r="OXY20" s="413"/>
      <c r="OXZ20" s="413"/>
      <c r="OYA20" s="413"/>
      <c r="OYB20" s="413"/>
      <c r="OYC20" s="413"/>
      <c r="OYD20" s="413"/>
      <c r="OYE20" s="413"/>
      <c r="OYF20" s="413"/>
      <c r="OYG20" s="413"/>
      <c r="OYH20" s="413"/>
      <c r="OYI20" s="413"/>
      <c r="OYJ20" s="413"/>
      <c r="OYK20" s="413"/>
      <c r="OYL20" s="413"/>
      <c r="OYM20" s="413"/>
      <c r="OYN20" s="413"/>
      <c r="OYO20" s="413"/>
      <c r="OYP20" s="413"/>
      <c r="OYQ20" s="413"/>
      <c r="OYR20" s="413"/>
      <c r="OYS20" s="413"/>
      <c r="OYT20" s="413"/>
      <c r="OYU20" s="413"/>
      <c r="OYV20" s="413"/>
      <c r="OYW20" s="413"/>
      <c r="OYX20" s="413"/>
      <c r="OYY20" s="413"/>
      <c r="OYZ20" s="413"/>
      <c r="OZA20" s="413"/>
      <c r="OZB20" s="413"/>
      <c r="OZC20" s="413"/>
      <c r="OZD20" s="413"/>
      <c r="OZE20" s="413"/>
      <c r="OZF20" s="413"/>
      <c r="OZG20" s="413"/>
      <c r="OZH20" s="413"/>
      <c r="OZI20" s="413"/>
      <c r="OZJ20" s="413"/>
      <c r="OZK20" s="413"/>
      <c r="OZL20" s="413"/>
      <c r="OZM20" s="413"/>
      <c r="OZN20" s="413"/>
      <c r="OZO20" s="413"/>
      <c r="OZP20" s="413"/>
      <c r="OZQ20" s="413"/>
      <c r="OZR20" s="413"/>
      <c r="OZS20" s="413"/>
      <c r="OZT20" s="413"/>
      <c r="OZU20" s="413"/>
      <c r="OZV20" s="413"/>
      <c r="OZW20" s="413"/>
      <c r="OZX20" s="413"/>
      <c r="OZY20" s="413"/>
      <c r="OZZ20" s="413"/>
      <c r="PAA20" s="413"/>
      <c r="PAB20" s="413"/>
      <c r="PAC20" s="413"/>
      <c r="PAD20" s="413"/>
      <c r="PAE20" s="413"/>
      <c r="PAF20" s="413"/>
      <c r="PAG20" s="413"/>
      <c r="PAH20" s="413"/>
      <c r="PAI20" s="413"/>
      <c r="PAJ20" s="413"/>
      <c r="PAK20" s="413"/>
      <c r="PAL20" s="413"/>
      <c r="PAM20" s="413"/>
      <c r="PAN20" s="413"/>
      <c r="PAO20" s="413"/>
      <c r="PAP20" s="413"/>
      <c r="PAQ20" s="413"/>
      <c r="PAR20" s="413"/>
      <c r="PAS20" s="413"/>
      <c r="PAT20" s="413"/>
      <c r="PAU20" s="413"/>
      <c r="PAV20" s="413"/>
      <c r="PAW20" s="413"/>
      <c r="PAX20" s="413"/>
      <c r="PAY20" s="413"/>
      <c r="PAZ20" s="413"/>
      <c r="PBA20" s="413"/>
      <c r="PBB20" s="413"/>
      <c r="PBC20" s="413"/>
      <c r="PBD20" s="413"/>
      <c r="PBE20" s="413"/>
      <c r="PBF20" s="413"/>
      <c r="PBG20" s="413"/>
      <c r="PBH20" s="413"/>
      <c r="PBI20" s="413"/>
      <c r="PBJ20" s="413"/>
      <c r="PBK20" s="413"/>
      <c r="PBL20" s="413"/>
      <c r="PBM20" s="413"/>
      <c r="PBN20" s="413"/>
      <c r="PBO20" s="413"/>
      <c r="PBP20" s="413"/>
      <c r="PBQ20" s="413"/>
      <c r="PBR20" s="413"/>
      <c r="PBS20" s="413"/>
      <c r="PBT20" s="413"/>
      <c r="PBU20" s="413"/>
      <c r="PBV20" s="413"/>
      <c r="PBW20" s="413"/>
      <c r="PBX20" s="413"/>
      <c r="PBY20" s="413"/>
      <c r="PBZ20" s="413"/>
      <c r="PCA20" s="413"/>
      <c r="PCB20" s="413"/>
      <c r="PCC20" s="413"/>
      <c r="PCD20" s="413"/>
      <c r="PCE20" s="413"/>
      <c r="PCF20" s="413"/>
      <c r="PCG20" s="413"/>
      <c r="PCH20" s="413"/>
      <c r="PCI20" s="413"/>
      <c r="PCJ20" s="413"/>
      <c r="PCK20" s="413"/>
      <c r="PCL20" s="413"/>
      <c r="PCM20" s="413"/>
      <c r="PCN20" s="413"/>
      <c r="PCO20" s="413"/>
      <c r="PCP20" s="413"/>
      <c r="PCQ20" s="413"/>
      <c r="PCR20" s="413"/>
      <c r="PCS20" s="413"/>
      <c r="PCT20" s="413"/>
      <c r="PCU20" s="413"/>
      <c r="PCV20" s="413"/>
      <c r="PCW20" s="413"/>
      <c r="PCX20" s="413"/>
      <c r="PCY20" s="413"/>
      <c r="PCZ20" s="413"/>
      <c r="PDA20" s="413"/>
      <c r="PDB20" s="413"/>
      <c r="PDC20" s="413"/>
      <c r="PDD20" s="413"/>
      <c r="PDE20" s="413"/>
      <c r="PDF20" s="413"/>
      <c r="PDG20" s="413"/>
      <c r="PDH20" s="413"/>
      <c r="PDI20" s="413"/>
      <c r="PDJ20" s="413"/>
      <c r="PDK20" s="413"/>
      <c r="PDL20" s="413"/>
      <c r="PDM20" s="413"/>
      <c r="PDN20" s="413"/>
      <c r="PDO20" s="413"/>
      <c r="PDP20" s="413"/>
      <c r="PDQ20" s="413"/>
      <c r="PDR20" s="413"/>
      <c r="PDS20" s="413"/>
      <c r="PDT20" s="413"/>
      <c r="PDU20" s="413"/>
      <c r="PDV20" s="413"/>
      <c r="PDW20" s="413"/>
      <c r="PDX20" s="413"/>
      <c r="PDY20" s="413"/>
      <c r="PDZ20" s="413"/>
      <c r="PEA20" s="413"/>
      <c r="PEB20" s="413"/>
      <c r="PEC20" s="413"/>
      <c r="PED20" s="413"/>
      <c r="PEE20" s="413"/>
      <c r="PEF20" s="413"/>
      <c r="PEG20" s="413"/>
      <c r="PEH20" s="413"/>
      <c r="PEI20" s="413"/>
      <c r="PEJ20" s="413"/>
      <c r="PEK20" s="413"/>
      <c r="PEL20" s="413"/>
      <c r="PEM20" s="413"/>
      <c r="PEN20" s="413"/>
      <c r="PEO20" s="413"/>
      <c r="PEP20" s="413"/>
      <c r="PEQ20" s="413"/>
      <c r="PER20" s="413"/>
      <c r="PES20" s="413"/>
      <c r="PET20" s="413"/>
      <c r="PEU20" s="413"/>
      <c r="PEV20" s="413"/>
      <c r="PEW20" s="413"/>
      <c r="PEX20" s="413"/>
      <c r="PEY20" s="413"/>
      <c r="PEZ20" s="413"/>
      <c r="PFA20" s="413"/>
      <c r="PFB20" s="413"/>
      <c r="PFC20" s="413"/>
      <c r="PFD20" s="413"/>
      <c r="PFE20" s="413"/>
      <c r="PFF20" s="413"/>
      <c r="PFG20" s="413"/>
      <c r="PFH20" s="413"/>
      <c r="PFI20" s="413"/>
      <c r="PFJ20" s="413"/>
      <c r="PFK20" s="413"/>
      <c r="PFL20" s="413"/>
      <c r="PFM20" s="413"/>
      <c r="PFN20" s="413"/>
      <c r="PFO20" s="413"/>
      <c r="PFP20" s="413"/>
      <c r="PFQ20" s="413"/>
      <c r="PFR20" s="413"/>
      <c r="PFS20" s="413"/>
      <c r="PFT20" s="413"/>
      <c r="PFU20" s="413"/>
      <c r="PFV20" s="413"/>
      <c r="PFW20" s="413"/>
      <c r="PFX20" s="413"/>
      <c r="PFY20" s="413"/>
      <c r="PFZ20" s="413"/>
      <c r="PGA20" s="413"/>
      <c r="PGB20" s="413"/>
      <c r="PGC20" s="413"/>
      <c r="PGD20" s="413"/>
      <c r="PGE20" s="413"/>
      <c r="PGF20" s="413"/>
      <c r="PGG20" s="413"/>
      <c r="PGH20" s="413"/>
      <c r="PGI20" s="413"/>
      <c r="PGJ20" s="413"/>
      <c r="PGK20" s="413"/>
      <c r="PGL20" s="413"/>
      <c r="PGM20" s="413"/>
      <c r="PGN20" s="413"/>
      <c r="PGO20" s="413"/>
      <c r="PGP20" s="413"/>
      <c r="PGQ20" s="413"/>
      <c r="PGR20" s="413"/>
      <c r="PGS20" s="413"/>
      <c r="PGT20" s="413"/>
      <c r="PGU20" s="413"/>
      <c r="PGV20" s="413"/>
      <c r="PGW20" s="413"/>
      <c r="PGX20" s="413"/>
      <c r="PGY20" s="413"/>
      <c r="PGZ20" s="413"/>
      <c r="PHA20" s="413"/>
      <c r="PHB20" s="413"/>
      <c r="PHC20" s="413"/>
      <c r="PHD20" s="413"/>
      <c r="PHE20" s="413"/>
      <c r="PHF20" s="413"/>
      <c r="PHG20" s="413"/>
      <c r="PHH20" s="413"/>
      <c r="PHI20" s="413"/>
      <c r="PHJ20" s="413"/>
      <c r="PHK20" s="413"/>
      <c r="PHL20" s="413"/>
      <c r="PHM20" s="413"/>
      <c r="PHN20" s="413"/>
      <c r="PHO20" s="413"/>
      <c r="PHP20" s="413"/>
      <c r="PHQ20" s="413"/>
      <c r="PHR20" s="413"/>
      <c r="PHS20" s="413"/>
      <c r="PHT20" s="413"/>
      <c r="PHU20" s="413"/>
      <c r="PHV20" s="413"/>
      <c r="PHW20" s="413"/>
      <c r="PHX20" s="413"/>
      <c r="PHY20" s="413"/>
      <c r="PHZ20" s="413"/>
      <c r="PIA20" s="413"/>
      <c r="PIB20" s="413"/>
      <c r="PIC20" s="413"/>
      <c r="PID20" s="413"/>
      <c r="PIE20" s="413"/>
      <c r="PIF20" s="413"/>
      <c r="PIG20" s="413"/>
      <c r="PIH20" s="413"/>
      <c r="PII20" s="413"/>
      <c r="PIJ20" s="413"/>
      <c r="PIK20" s="413"/>
      <c r="PIL20" s="413"/>
      <c r="PIM20" s="413"/>
      <c r="PIN20" s="413"/>
      <c r="PIO20" s="413"/>
      <c r="PIP20" s="413"/>
      <c r="PIQ20" s="413"/>
      <c r="PIR20" s="413"/>
      <c r="PIS20" s="413"/>
      <c r="PIT20" s="413"/>
      <c r="PIU20" s="413"/>
      <c r="PIV20" s="413"/>
      <c r="PIW20" s="413"/>
      <c r="PIX20" s="413"/>
      <c r="PIY20" s="413"/>
      <c r="PIZ20" s="413"/>
      <c r="PJA20" s="413"/>
      <c r="PJB20" s="413"/>
      <c r="PJC20" s="413"/>
      <c r="PJD20" s="413"/>
      <c r="PJE20" s="413"/>
      <c r="PJF20" s="413"/>
      <c r="PJG20" s="413"/>
      <c r="PJH20" s="413"/>
      <c r="PJI20" s="413"/>
      <c r="PJJ20" s="413"/>
      <c r="PJK20" s="413"/>
      <c r="PJL20" s="413"/>
      <c r="PJM20" s="413"/>
      <c r="PJN20" s="413"/>
      <c r="PJO20" s="413"/>
      <c r="PJP20" s="413"/>
      <c r="PJQ20" s="413"/>
      <c r="PJR20" s="413"/>
      <c r="PJS20" s="413"/>
      <c r="PJT20" s="413"/>
      <c r="PJU20" s="413"/>
      <c r="PJV20" s="413"/>
      <c r="PJW20" s="413"/>
      <c r="PJX20" s="413"/>
      <c r="PJY20" s="413"/>
      <c r="PJZ20" s="413"/>
      <c r="PKA20" s="413"/>
      <c r="PKB20" s="413"/>
      <c r="PKC20" s="413"/>
      <c r="PKD20" s="413"/>
      <c r="PKE20" s="413"/>
      <c r="PKF20" s="413"/>
      <c r="PKG20" s="413"/>
      <c r="PKH20" s="413"/>
      <c r="PKI20" s="413"/>
      <c r="PKJ20" s="413"/>
      <c r="PKK20" s="413"/>
      <c r="PKL20" s="413"/>
      <c r="PKM20" s="413"/>
      <c r="PKN20" s="413"/>
      <c r="PKO20" s="413"/>
      <c r="PKP20" s="413"/>
      <c r="PKQ20" s="413"/>
      <c r="PKR20" s="413"/>
      <c r="PKS20" s="413"/>
      <c r="PKT20" s="413"/>
      <c r="PKU20" s="413"/>
      <c r="PKV20" s="413"/>
      <c r="PKW20" s="413"/>
      <c r="PKX20" s="413"/>
      <c r="PKY20" s="413"/>
      <c r="PKZ20" s="413"/>
      <c r="PLA20" s="413"/>
      <c r="PLB20" s="413"/>
      <c r="PLC20" s="413"/>
      <c r="PLD20" s="413"/>
      <c r="PLE20" s="413"/>
      <c r="PLF20" s="413"/>
      <c r="PLG20" s="413"/>
      <c r="PLH20" s="413"/>
      <c r="PLI20" s="413"/>
      <c r="PLJ20" s="413"/>
      <c r="PLK20" s="413"/>
      <c r="PLL20" s="413"/>
      <c r="PLM20" s="413"/>
      <c r="PLN20" s="413"/>
      <c r="PLO20" s="413"/>
      <c r="PLP20" s="413"/>
      <c r="PLQ20" s="413"/>
      <c r="PLR20" s="413"/>
      <c r="PLS20" s="413"/>
      <c r="PLT20" s="413"/>
      <c r="PLU20" s="413"/>
      <c r="PLV20" s="413"/>
      <c r="PLW20" s="413"/>
      <c r="PLX20" s="413"/>
      <c r="PLY20" s="413"/>
      <c r="PLZ20" s="413"/>
      <c r="PMA20" s="413"/>
      <c r="PMB20" s="413"/>
      <c r="PMC20" s="413"/>
      <c r="PMD20" s="413"/>
      <c r="PME20" s="413"/>
      <c r="PMF20" s="413"/>
      <c r="PMG20" s="413"/>
      <c r="PMH20" s="413"/>
      <c r="PMI20" s="413"/>
      <c r="PMJ20" s="413"/>
      <c r="PMK20" s="413"/>
      <c r="PML20" s="413"/>
      <c r="PMM20" s="413"/>
      <c r="PMN20" s="413"/>
      <c r="PMO20" s="413"/>
      <c r="PMP20" s="413"/>
      <c r="PMQ20" s="413"/>
      <c r="PMR20" s="413"/>
      <c r="PMS20" s="413"/>
      <c r="PMT20" s="413"/>
      <c r="PMU20" s="413"/>
      <c r="PMV20" s="413"/>
      <c r="PMW20" s="413"/>
      <c r="PMX20" s="413"/>
      <c r="PMY20" s="413"/>
      <c r="PMZ20" s="413"/>
      <c r="PNA20" s="413"/>
      <c r="PNB20" s="413"/>
      <c r="PNC20" s="413"/>
      <c r="PND20" s="413"/>
      <c r="PNE20" s="413"/>
      <c r="PNF20" s="413"/>
      <c r="PNG20" s="413"/>
      <c r="PNH20" s="413"/>
      <c r="PNI20" s="413"/>
      <c r="PNJ20" s="413"/>
      <c r="PNK20" s="413"/>
      <c r="PNL20" s="413"/>
      <c r="PNM20" s="413"/>
      <c r="PNN20" s="413"/>
      <c r="PNO20" s="413"/>
      <c r="PNP20" s="413"/>
      <c r="PNQ20" s="413"/>
      <c r="PNR20" s="413"/>
      <c r="PNS20" s="413"/>
      <c r="PNT20" s="413"/>
      <c r="PNU20" s="413"/>
      <c r="PNV20" s="413"/>
      <c r="PNW20" s="413"/>
      <c r="PNX20" s="413"/>
      <c r="PNY20" s="413"/>
      <c r="PNZ20" s="413"/>
      <c r="POA20" s="413"/>
      <c r="POB20" s="413"/>
      <c r="POC20" s="413"/>
      <c r="POD20" s="413"/>
      <c r="POE20" s="413"/>
      <c r="POF20" s="413"/>
      <c r="POG20" s="413"/>
      <c r="POH20" s="413"/>
      <c r="POI20" s="413"/>
      <c r="POJ20" s="413"/>
      <c r="POK20" s="413"/>
      <c r="POL20" s="413"/>
      <c r="POM20" s="413"/>
      <c r="PON20" s="413"/>
      <c r="POO20" s="413"/>
      <c r="POP20" s="413"/>
      <c r="POQ20" s="413"/>
      <c r="POR20" s="413"/>
      <c r="POS20" s="413"/>
      <c r="POT20" s="413"/>
      <c r="POU20" s="413"/>
      <c r="POV20" s="413"/>
      <c r="POW20" s="413"/>
      <c r="POX20" s="413"/>
      <c r="POY20" s="413"/>
      <c r="POZ20" s="413"/>
      <c r="PPA20" s="413"/>
      <c r="PPB20" s="413"/>
      <c r="PPC20" s="413"/>
      <c r="PPD20" s="413"/>
      <c r="PPE20" s="413"/>
      <c r="PPF20" s="413"/>
      <c r="PPG20" s="413"/>
      <c r="PPH20" s="413"/>
      <c r="PPI20" s="413"/>
      <c r="PPJ20" s="413"/>
      <c r="PPK20" s="413"/>
      <c r="PPL20" s="413"/>
      <c r="PPM20" s="413"/>
      <c r="PPN20" s="413"/>
      <c r="PPO20" s="413"/>
      <c r="PPP20" s="413"/>
      <c r="PPQ20" s="413"/>
      <c r="PPR20" s="413"/>
      <c r="PPS20" s="413"/>
      <c r="PPT20" s="413"/>
      <c r="PPU20" s="413"/>
      <c r="PPV20" s="413"/>
      <c r="PPW20" s="413"/>
      <c r="PPX20" s="413"/>
      <c r="PPY20" s="413"/>
      <c r="PPZ20" s="413"/>
      <c r="PQA20" s="413"/>
      <c r="PQB20" s="413"/>
      <c r="PQC20" s="413"/>
      <c r="PQD20" s="413"/>
      <c r="PQE20" s="413"/>
      <c r="PQF20" s="413"/>
      <c r="PQG20" s="413"/>
      <c r="PQH20" s="413"/>
      <c r="PQI20" s="413"/>
      <c r="PQJ20" s="413"/>
      <c r="PQK20" s="413"/>
      <c r="PQL20" s="413"/>
      <c r="PQM20" s="413"/>
      <c r="PQN20" s="413"/>
      <c r="PQO20" s="413"/>
      <c r="PQP20" s="413"/>
      <c r="PQQ20" s="413"/>
      <c r="PQR20" s="413"/>
      <c r="PQS20" s="413"/>
      <c r="PQT20" s="413"/>
      <c r="PQU20" s="413"/>
      <c r="PQV20" s="413"/>
      <c r="PQW20" s="413"/>
      <c r="PQX20" s="413"/>
      <c r="PQY20" s="413"/>
      <c r="PQZ20" s="413"/>
      <c r="PRA20" s="413"/>
      <c r="PRB20" s="413"/>
      <c r="PRC20" s="413"/>
      <c r="PRD20" s="413"/>
      <c r="PRE20" s="413"/>
      <c r="PRF20" s="413"/>
      <c r="PRG20" s="413"/>
      <c r="PRH20" s="413"/>
      <c r="PRI20" s="413"/>
      <c r="PRJ20" s="413"/>
      <c r="PRK20" s="413"/>
      <c r="PRL20" s="413"/>
      <c r="PRM20" s="413"/>
      <c r="PRN20" s="413"/>
      <c r="PRO20" s="413"/>
      <c r="PRP20" s="413"/>
      <c r="PRQ20" s="413"/>
      <c r="PRR20" s="413"/>
      <c r="PRS20" s="413"/>
      <c r="PRT20" s="413"/>
      <c r="PRU20" s="413"/>
      <c r="PRV20" s="413"/>
      <c r="PRW20" s="413"/>
      <c r="PRX20" s="413"/>
      <c r="PRY20" s="413"/>
      <c r="PRZ20" s="413"/>
      <c r="PSA20" s="413"/>
      <c r="PSB20" s="413"/>
      <c r="PSC20" s="413"/>
      <c r="PSD20" s="413"/>
      <c r="PSE20" s="413"/>
      <c r="PSF20" s="413"/>
      <c r="PSG20" s="413"/>
      <c r="PSH20" s="413"/>
      <c r="PSI20" s="413"/>
      <c r="PSJ20" s="413"/>
      <c r="PSK20" s="413"/>
      <c r="PSL20" s="413"/>
      <c r="PSM20" s="413"/>
      <c r="PSN20" s="413"/>
      <c r="PSO20" s="413"/>
      <c r="PSP20" s="413"/>
      <c r="PSQ20" s="413"/>
      <c r="PSR20" s="413"/>
      <c r="PSS20" s="413"/>
      <c r="PST20" s="413"/>
      <c r="PSU20" s="413"/>
      <c r="PSV20" s="413"/>
      <c r="PSW20" s="413"/>
      <c r="PSX20" s="413"/>
      <c r="PSY20" s="413"/>
      <c r="PSZ20" s="413"/>
      <c r="PTA20" s="413"/>
      <c r="PTB20" s="413"/>
      <c r="PTC20" s="413"/>
      <c r="PTD20" s="413"/>
      <c r="PTE20" s="413"/>
      <c r="PTF20" s="413"/>
      <c r="PTG20" s="413"/>
      <c r="PTH20" s="413"/>
      <c r="PTI20" s="413"/>
      <c r="PTJ20" s="413"/>
      <c r="PTK20" s="413"/>
      <c r="PTL20" s="413"/>
      <c r="PTM20" s="413"/>
      <c r="PTN20" s="413"/>
      <c r="PTO20" s="413"/>
      <c r="PTP20" s="413"/>
      <c r="PTQ20" s="413"/>
      <c r="PTR20" s="413"/>
      <c r="PTS20" s="413"/>
      <c r="PTT20" s="413"/>
      <c r="PTU20" s="413"/>
      <c r="PTV20" s="413"/>
      <c r="PTW20" s="413"/>
      <c r="PTX20" s="413"/>
      <c r="PTY20" s="413"/>
      <c r="PTZ20" s="413"/>
      <c r="PUA20" s="413"/>
      <c r="PUB20" s="413"/>
      <c r="PUC20" s="413"/>
      <c r="PUD20" s="413"/>
      <c r="PUE20" s="413"/>
      <c r="PUF20" s="413"/>
      <c r="PUG20" s="413"/>
      <c r="PUH20" s="413"/>
      <c r="PUI20" s="413"/>
      <c r="PUJ20" s="413"/>
      <c r="PUK20" s="413"/>
      <c r="PUL20" s="413"/>
      <c r="PUM20" s="413"/>
      <c r="PUN20" s="413"/>
      <c r="PUO20" s="413"/>
      <c r="PUP20" s="413"/>
      <c r="PUQ20" s="413"/>
      <c r="PUR20" s="413"/>
      <c r="PUS20" s="413"/>
      <c r="PUT20" s="413"/>
      <c r="PUU20" s="413"/>
      <c r="PUV20" s="413"/>
      <c r="PUW20" s="413"/>
      <c r="PUX20" s="413"/>
      <c r="PUY20" s="413"/>
      <c r="PUZ20" s="413"/>
      <c r="PVA20" s="413"/>
      <c r="PVB20" s="413"/>
      <c r="PVC20" s="413"/>
      <c r="PVD20" s="413"/>
      <c r="PVE20" s="413"/>
      <c r="PVF20" s="413"/>
      <c r="PVG20" s="413"/>
      <c r="PVH20" s="413"/>
      <c r="PVI20" s="413"/>
      <c r="PVJ20" s="413"/>
      <c r="PVK20" s="413"/>
      <c r="PVL20" s="413"/>
      <c r="PVM20" s="413"/>
      <c r="PVN20" s="413"/>
      <c r="PVO20" s="413"/>
      <c r="PVP20" s="413"/>
      <c r="PVQ20" s="413"/>
      <c r="PVR20" s="413"/>
      <c r="PVS20" s="413"/>
      <c r="PVT20" s="413"/>
      <c r="PVU20" s="413"/>
      <c r="PVV20" s="413"/>
      <c r="PVW20" s="413"/>
      <c r="PVX20" s="413"/>
      <c r="PVY20" s="413"/>
      <c r="PVZ20" s="413"/>
      <c r="PWA20" s="413"/>
      <c r="PWB20" s="413"/>
      <c r="PWC20" s="413"/>
      <c r="PWD20" s="413"/>
      <c r="PWE20" s="413"/>
      <c r="PWF20" s="413"/>
      <c r="PWG20" s="413"/>
      <c r="PWH20" s="413"/>
      <c r="PWI20" s="413"/>
      <c r="PWJ20" s="413"/>
      <c r="PWK20" s="413"/>
      <c r="PWL20" s="413"/>
      <c r="PWM20" s="413"/>
      <c r="PWN20" s="413"/>
      <c r="PWO20" s="413"/>
      <c r="PWP20" s="413"/>
      <c r="PWQ20" s="413"/>
      <c r="PWR20" s="413"/>
      <c r="PWS20" s="413"/>
      <c r="PWT20" s="413"/>
      <c r="PWU20" s="413"/>
      <c r="PWV20" s="413"/>
      <c r="PWW20" s="413"/>
      <c r="PWX20" s="413"/>
      <c r="PWY20" s="413"/>
      <c r="PWZ20" s="413"/>
      <c r="PXA20" s="413"/>
      <c r="PXB20" s="413"/>
      <c r="PXC20" s="413"/>
      <c r="PXD20" s="413"/>
      <c r="PXE20" s="413"/>
      <c r="PXF20" s="413"/>
      <c r="PXG20" s="413"/>
      <c r="PXH20" s="413"/>
      <c r="PXI20" s="413"/>
      <c r="PXJ20" s="413"/>
      <c r="PXK20" s="413"/>
      <c r="PXL20" s="413"/>
      <c r="PXM20" s="413"/>
      <c r="PXN20" s="413"/>
      <c r="PXO20" s="413"/>
      <c r="PXP20" s="413"/>
      <c r="PXQ20" s="413"/>
      <c r="PXR20" s="413"/>
      <c r="PXS20" s="413"/>
      <c r="PXT20" s="413"/>
      <c r="PXU20" s="413"/>
      <c r="PXV20" s="413"/>
      <c r="PXW20" s="413"/>
      <c r="PXX20" s="413"/>
      <c r="PXY20" s="413"/>
      <c r="PXZ20" s="413"/>
      <c r="PYA20" s="413"/>
      <c r="PYB20" s="413"/>
      <c r="PYC20" s="413"/>
      <c r="PYD20" s="413"/>
      <c r="PYE20" s="413"/>
      <c r="PYF20" s="413"/>
      <c r="PYG20" s="413"/>
      <c r="PYH20" s="413"/>
      <c r="PYI20" s="413"/>
      <c r="PYJ20" s="413"/>
      <c r="PYK20" s="413"/>
      <c r="PYL20" s="413"/>
      <c r="PYM20" s="413"/>
      <c r="PYN20" s="413"/>
      <c r="PYO20" s="413"/>
      <c r="PYP20" s="413"/>
      <c r="PYQ20" s="413"/>
      <c r="PYR20" s="413"/>
      <c r="PYS20" s="413"/>
      <c r="PYT20" s="413"/>
      <c r="PYU20" s="413"/>
      <c r="PYV20" s="413"/>
      <c r="PYW20" s="413"/>
      <c r="PYX20" s="413"/>
      <c r="PYY20" s="413"/>
      <c r="PYZ20" s="413"/>
      <c r="PZA20" s="413"/>
      <c r="PZB20" s="413"/>
      <c r="PZC20" s="413"/>
      <c r="PZD20" s="413"/>
      <c r="PZE20" s="413"/>
      <c r="PZF20" s="413"/>
      <c r="PZG20" s="413"/>
      <c r="PZH20" s="413"/>
      <c r="PZI20" s="413"/>
      <c r="PZJ20" s="413"/>
      <c r="PZK20" s="413"/>
      <c r="PZL20" s="413"/>
      <c r="PZM20" s="413"/>
      <c r="PZN20" s="413"/>
      <c r="PZO20" s="413"/>
      <c r="PZP20" s="413"/>
      <c r="PZQ20" s="413"/>
      <c r="PZR20" s="413"/>
      <c r="PZS20" s="413"/>
      <c r="PZT20" s="413"/>
      <c r="PZU20" s="413"/>
      <c r="PZV20" s="413"/>
      <c r="PZW20" s="413"/>
      <c r="PZX20" s="413"/>
      <c r="PZY20" s="413"/>
      <c r="PZZ20" s="413"/>
      <c r="QAA20" s="413"/>
      <c r="QAB20" s="413"/>
      <c r="QAC20" s="413"/>
      <c r="QAD20" s="413"/>
      <c r="QAE20" s="413"/>
      <c r="QAF20" s="413"/>
      <c r="QAG20" s="413"/>
      <c r="QAH20" s="413"/>
      <c r="QAI20" s="413"/>
      <c r="QAJ20" s="413"/>
      <c r="QAK20" s="413"/>
      <c r="QAL20" s="413"/>
      <c r="QAM20" s="413"/>
      <c r="QAN20" s="413"/>
      <c r="QAO20" s="413"/>
      <c r="QAP20" s="413"/>
      <c r="QAQ20" s="413"/>
      <c r="QAR20" s="413"/>
      <c r="QAS20" s="413"/>
      <c r="QAT20" s="413"/>
      <c r="QAU20" s="413"/>
      <c r="QAV20" s="413"/>
      <c r="QAW20" s="413"/>
      <c r="QAX20" s="413"/>
      <c r="QAY20" s="413"/>
      <c r="QAZ20" s="413"/>
      <c r="QBA20" s="413"/>
      <c r="QBB20" s="413"/>
      <c r="QBC20" s="413"/>
      <c r="QBD20" s="413"/>
      <c r="QBE20" s="413"/>
      <c r="QBF20" s="413"/>
      <c r="QBG20" s="413"/>
      <c r="QBH20" s="413"/>
      <c r="QBI20" s="413"/>
      <c r="QBJ20" s="413"/>
      <c r="QBK20" s="413"/>
      <c r="QBL20" s="413"/>
      <c r="QBM20" s="413"/>
      <c r="QBN20" s="413"/>
      <c r="QBO20" s="413"/>
      <c r="QBP20" s="413"/>
      <c r="QBQ20" s="413"/>
      <c r="QBR20" s="413"/>
      <c r="QBS20" s="413"/>
      <c r="QBT20" s="413"/>
      <c r="QBU20" s="413"/>
      <c r="QBV20" s="413"/>
      <c r="QBW20" s="413"/>
      <c r="QBX20" s="413"/>
      <c r="QBY20" s="413"/>
      <c r="QBZ20" s="413"/>
      <c r="QCA20" s="413"/>
      <c r="QCB20" s="413"/>
      <c r="QCC20" s="413"/>
      <c r="QCD20" s="413"/>
      <c r="QCE20" s="413"/>
      <c r="QCF20" s="413"/>
      <c r="QCG20" s="413"/>
      <c r="QCH20" s="413"/>
      <c r="QCI20" s="413"/>
      <c r="QCJ20" s="413"/>
      <c r="QCK20" s="413"/>
      <c r="QCL20" s="413"/>
      <c r="QCM20" s="413"/>
      <c r="QCN20" s="413"/>
      <c r="QCO20" s="413"/>
      <c r="QCP20" s="413"/>
      <c r="QCQ20" s="413"/>
      <c r="QCR20" s="413"/>
      <c r="QCS20" s="413"/>
      <c r="QCT20" s="413"/>
      <c r="QCU20" s="413"/>
      <c r="QCV20" s="413"/>
      <c r="QCW20" s="413"/>
      <c r="QCX20" s="413"/>
      <c r="QCY20" s="413"/>
      <c r="QCZ20" s="413"/>
      <c r="QDA20" s="413"/>
      <c r="QDB20" s="413"/>
      <c r="QDC20" s="413"/>
      <c r="QDD20" s="413"/>
      <c r="QDE20" s="413"/>
      <c r="QDF20" s="413"/>
      <c r="QDG20" s="413"/>
      <c r="QDH20" s="413"/>
      <c r="QDI20" s="413"/>
      <c r="QDJ20" s="413"/>
      <c r="QDK20" s="413"/>
      <c r="QDL20" s="413"/>
      <c r="QDM20" s="413"/>
      <c r="QDN20" s="413"/>
      <c r="QDO20" s="413"/>
      <c r="QDP20" s="413"/>
      <c r="QDQ20" s="413"/>
      <c r="QDR20" s="413"/>
      <c r="QDS20" s="413"/>
      <c r="QDT20" s="413"/>
      <c r="QDU20" s="413"/>
      <c r="QDV20" s="413"/>
      <c r="QDW20" s="413"/>
      <c r="QDX20" s="413"/>
      <c r="QDY20" s="413"/>
      <c r="QDZ20" s="413"/>
      <c r="QEA20" s="413"/>
      <c r="QEB20" s="413"/>
      <c r="QEC20" s="413"/>
      <c r="QED20" s="413"/>
      <c r="QEE20" s="413"/>
      <c r="QEF20" s="413"/>
      <c r="QEG20" s="413"/>
      <c r="QEH20" s="413"/>
      <c r="QEI20" s="413"/>
      <c r="QEJ20" s="413"/>
      <c r="QEK20" s="413"/>
      <c r="QEL20" s="413"/>
      <c r="QEM20" s="413"/>
      <c r="QEN20" s="413"/>
      <c r="QEO20" s="413"/>
      <c r="QEP20" s="413"/>
      <c r="QEQ20" s="413"/>
      <c r="QER20" s="413"/>
      <c r="QES20" s="413"/>
      <c r="QET20" s="413"/>
      <c r="QEU20" s="413"/>
      <c r="QEV20" s="413"/>
      <c r="QEW20" s="413"/>
      <c r="QEX20" s="413"/>
      <c r="QEY20" s="413"/>
      <c r="QEZ20" s="413"/>
      <c r="QFA20" s="413"/>
      <c r="QFB20" s="413"/>
      <c r="QFC20" s="413"/>
      <c r="QFD20" s="413"/>
      <c r="QFE20" s="413"/>
      <c r="QFF20" s="413"/>
      <c r="QFG20" s="413"/>
      <c r="QFH20" s="413"/>
      <c r="QFI20" s="413"/>
      <c r="QFJ20" s="413"/>
      <c r="QFK20" s="413"/>
      <c r="QFL20" s="413"/>
      <c r="QFM20" s="413"/>
      <c r="QFN20" s="413"/>
      <c r="QFO20" s="413"/>
      <c r="QFP20" s="413"/>
      <c r="QFQ20" s="413"/>
      <c r="QFR20" s="413"/>
      <c r="QFS20" s="413"/>
      <c r="QFT20" s="413"/>
      <c r="QFU20" s="413"/>
      <c r="QFV20" s="413"/>
      <c r="QFW20" s="413"/>
      <c r="QFX20" s="413"/>
      <c r="QFY20" s="413"/>
      <c r="QFZ20" s="413"/>
      <c r="QGA20" s="413"/>
      <c r="QGB20" s="413"/>
      <c r="QGC20" s="413"/>
      <c r="QGD20" s="413"/>
      <c r="QGE20" s="413"/>
      <c r="QGF20" s="413"/>
      <c r="QGG20" s="413"/>
      <c r="QGH20" s="413"/>
      <c r="QGI20" s="413"/>
      <c r="QGJ20" s="413"/>
      <c r="QGK20" s="413"/>
      <c r="QGL20" s="413"/>
      <c r="QGM20" s="413"/>
      <c r="QGN20" s="413"/>
      <c r="QGO20" s="413"/>
      <c r="QGP20" s="413"/>
      <c r="QGQ20" s="413"/>
      <c r="QGR20" s="413"/>
      <c r="QGS20" s="413"/>
      <c r="QGT20" s="413"/>
      <c r="QGU20" s="413"/>
      <c r="QGV20" s="413"/>
      <c r="QGW20" s="413"/>
      <c r="QGX20" s="413"/>
      <c r="QGY20" s="413"/>
      <c r="QGZ20" s="413"/>
      <c r="QHA20" s="413"/>
      <c r="QHB20" s="413"/>
      <c r="QHC20" s="413"/>
      <c r="QHD20" s="413"/>
      <c r="QHE20" s="413"/>
      <c r="QHF20" s="413"/>
      <c r="QHG20" s="413"/>
      <c r="QHH20" s="413"/>
      <c r="QHI20" s="413"/>
      <c r="QHJ20" s="413"/>
      <c r="QHK20" s="413"/>
      <c r="QHL20" s="413"/>
      <c r="QHM20" s="413"/>
      <c r="QHN20" s="413"/>
      <c r="QHO20" s="413"/>
      <c r="QHP20" s="413"/>
      <c r="QHQ20" s="413"/>
      <c r="QHR20" s="413"/>
      <c r="QHS20" s="413"/>
      <c r="QHT20" s="413"/>
      <c r="QHU20" s="413"/>
      <c r="QHV20" s="413"/>
      <c r="QHW20" s="413"/>
      <c r="QHX20" s="413"/>
      <c r="QHY20" s="413"/>
      <c r="QHZ20" s="413"/>
      <c r="QIA20" s="413"/>
      <c r="QIB20" s="413"/>
      <c r="QIC20" s="413"/>
      <c r="QID20" s="413"/>
      <c r="QIE20" s="413"/>
      <c r="QIF20" s="413"/>
      <c r="QIG20" s="413"/>
      <c r="QIH20" s="413"/>
      <c r="QII20" s="413"/>
      <c r="QIJ20" s="413"/>
      <c r="QIK20" s="413"/>
      <c r="QIL20" s="413"/>
      <c r="QIM20" s="413"/>
      <c r="QIN20" s="413"/>
      <c r="QIO20" s="413"/>
      <c r="QIP20" s="413"/>
      <c r="QIQ20" s="413"/>
      <c r="QIR20" s="413"/>
      <c r="QIS20" s="413"/>
      <c r="QIT20" s="413"/>
      <c r="QIU20" s="413"/>
      <c r="QIV20" s="413"/>
      <c r="QIW20" s="413"/>
      <c r="QIX20" s="413"/>
      <c r="QIY20" s="413"/>
      <c r="QIZ20" s="413"/>
      <c r="QJA20" s="413"/>
      <c r="QJB20" s="413"/>
      <c r="QJC20" s="413"/>
      <c r="QJD20" s="413"/>
      <c r="QJE20" s="413"/>
      <c r="QJF20" s="413"/>
      <c r="QJG20" s="413"/>
      <c r="QJH20" s="413"/>
      <c r="QJI20" s="413"/>
      <c r="QJJ20" s="413"/>
      <c r="QJK20" s="413"/>
      <c r="QJL20" s="413"/>
      <c r="QJM20" s="413"/>
      <c r="QJN20" s="413"/>
      <c r="QJO20" s="413"/>
      <c r="QJP20" s="413"/>
      <c r="QJQ20" s="413"/>
      <c r="QJR20" s="413"/>
      <c r="QJS20" s="413"/>
      <c r="QJT20" s="413"/>
      <c r="QJU20" s="413"/>
      <c r="QJV20" s="413"/>
      <c r="QJW20" s="413"/>
      <c r="QJX20" s="413"/>
      <c r="QJY20" s="413"/>
      <c r="QJZ20" s="413"/>
      <c r="QKA20" s="413"/>
      <c r="QKB20" s="413"/>
      <c r="QKC20" s="413"/>
      <c r="QKD20" s="413"/>
      <c r="QKE20" s="413"/>
      <c r="QKF20" s="413"/>
      <c r="QKG20" s="413"/>
      <c r="QKH20" s="413"/>
      <c r="QKI20" s="413"/>
      <c r="QKJ20" s="413"/>
      <c r="QKK20" s="413"/>
      <c r="QKL20" s="413"/>
      <c r="QKM20" s="413"/>
      <c r="QKN20" s="413"/>
      <c r="QKO20" s="413"/>
      <c r="QKP20" s="413"/>
      <c r="QKQ20" s="413"/>
      <c r="QKR20" s="413"/>
      <c r="QKS20" s="413"/>
      <c r="QKT20" s="413"/>
      <c r="QKU20" s="413"/>
      <c r="QKV20" s="413"/>
      <c r="QKW20" s="413"/>
      <c r="QKX20" s="413"/>
      <c r="QKY20" s="413"/>
      <c r="QKZ20" s="413"/>
      <c r="QLA20" s="413"/>
      <c r="QLB20" s="413"/>
      <c r="QLC20" s="413"/>
      <c r="QLD20" s="413"/>
      <c r="QLE20" s="413"/>
      <c r="QLF20" s="413"/>
      <c r="QLG20" s="413"/>
      <c r="QLH20" s="413"/>
      <c r="QLI20" s="413"/>
      <c r="QLJ20" s="413"/>
      <c r="QLK20" s="413"/>
      <c r="QLL20" s="413"/>
      <c r="QLM20" s="413"/>
      <c r="QLN20" s="413"/>
      <c r="QLO20" s="413"/>
      <c r="QLP20" s="413"/>
      <c r="QLQ20" s="413"/>
      <c r="QLR20" s="413"/>
      <c r="QLS20" s="413"/>
      <c r="QLT20" s="413"/>
      <c r="QLU20" s="413"/>
      <c r="QLV20" s="413"/>
      <c r="QLW20" s="413"/>
      <c r="QLX20" s="413"/>
      <c r="QLY20" s="413"/>
      <c r="QLZ20" s="413"/>
      <c r="QMA20" s="413"/>
      <c r="QMB20" s="413"/>
      <c r="QMC20" s="413"/>
      <c r="QMD20" s="413"/>
      <c r="QME20" s="413"/>
      <c r="QMF20" s="413"/>
      <c r="QMG20" s="413"/>
      <c r="QMH20" s="413"/>
      <c r="QMI20" s="413"/>
      <c r="QMJ20" s="413"/>
      <c r="QMK20" s="413"/>
      <c r="QML20" s="413"/>
      <c r="QMM20" s="413"/>
      <c r="QMN20" s="413"/>
      <c r="QMO20" s="413"/>
      <c r="QMP20" s="413"/>
      <c r="QMQ20" s="413"/>
      <c r="QMR20" s="413"/>
      <c r="QMS20" s="413"/>
      <c r="QMT20" s="413"/>
      <c r="QMU20" s="413"/>
      <c r="QMV20" s="413"/>
      <c r="QMW20" s="413"/>
      <c r="QMX20" s="413"/>
      <c r="QMY20" s="413"/>
      <c r="QMZ20" s="413"/>
      <c r="QNA20" s="413"/>
      <c r="QNB20" s="413"/>
      <c r="QNC20" s="413"/>
      <c r="QND20" s="413"/>
      <c r="QNE20" s="413"/>
      <c r="QNF20" s="413"/>
      <c r="QNG20" s="413"/>
      <c r="QNH20" s="413"/>
      <c r="QNI20" s="413"/>
      <c r="QNJ20" s="413"/>
      <c r="QNK20" s="413"/>
      <c r="QNL20" s="413"/>
      <c r="QNM20" s="413"/>
      <c r="QNN20" s="413"/>
      <c r="QNO20" s="413"/>
      <c r="QNP20" s="413"/>
      <c r="QNQ20" s="413"/>
      <c r="QNR20" s="413"/>
      <c r="QNS20" s="413"/>
      <c r="QNT20" s="413"/>
      <c r="QNU20" s="413"/>
      <c r="QNV20" s="413"/>
      <c r="QNW20" s="413"/>
      <c r="QNX20" s="413"/>
      <c r="QNY20" s="413"/>
      <c r="QNZ20" s="413"/>
      <c r="QOA20" s="413"/>
      <c r="QOB20" s="413"/>
      <c r="QOC20" s="413"/>
      <c r="QOD20" s="413"/>
      <c r="QOE20" s="413"/>
      <c r="QOF20" s="413"/>
      <c r="QOG20" s="413"/>
      <c r="QOH20" s="413"/>
      <c r="QOI20" s="413"/>
      <c r="QOJ20" s="413"/>
      <c r="QOK20" s="413"/>
      <c r="QOL20" s="413"/>
      <c r="QOM20" s="413"/>
      <c r="QON20" s="413"/>
      <c r="QOO20" s="413"/>
      <c r="QOP20" s="413"/>
      <c r="QOQ20" s="413"/>
      <c r="QOR20" s="413"/>
      <c r="QOS20" s="413"/>
      <c r="QOT20" s="413"/>
      <c r="QOU20" s="413"/>
      <c r="QOV20" s="413"/>
      <c r="QOW20" s="413"/>
      <c r="QOX20" s="413"/>
      <c r="QOY20" s="413"/>
      <c r="QOZ20" s="413"/>
      <c r="QPA20" s="413"/>
      <c r="QPB20" s="413"/>
      <c r="QPC20" s="413"/>
      <c r="QPD20" s="413"/>
      <c r="QPE20" s="413"/>
      <c r="QPF20" s="413"/>
      <c r="QPG20" s="413"/>
      <c r="QPH20" s="413"/>
      <c r="QPI20" s="413"/>
      <c r="QPJ20" s="413"/>
      <c r="QPK20" s="413"/>
      <c r="QPL20" s="413"/>
      <c r="QPM20" s="413"/>
      <c r="QPN20" s="413"/>
      <c r="QPO20" s="413"/>
      <c r="QPP20" s="413"/>
      <c r="QPQ20" s="413"/>
      <c r="QPR20" s="413"/>
      <c r="QPS20" s="413"/>
      <c r="QPT20" s="413"/>
      <c r="QPU20" s="413"/>
      <c r="QPV20" s="413"/>
      <c r="QPW20" s="413"/>
      <c r="QPX20" s="413"/>
      <c r="QPY20" s="413"/>
      <c r="QPZ20" s="413"/>
      <c r="QQA20" s="413"/>
      <c r="QQB20" s="413"/>
      <c r="QQC20" s="413"/>
      <c r="QQD20" s="413"/>
      <c r="QQE20" s="413"/>
      <c r="QQF20" s="413"/>
      <c r="QQG20" s="413"/>
      <c r="QQH20" s="413"/>
      <c r="QQI20" s="413"/>
      <c r="QQJ20" s="413"/>
      <c r="QQK20" s="413"/>
      <c r="QQL20" s="413"/>
      <c r="QQM20" s="413"/>
      <c r="QQN20" s="413"/>
      <c r="QQO20" s="413"/>
      <c r="QQP20" s="413"/>
      <c r="QQQ20" s="413"/>
      <c r="QQR20" s="413"/>
      <c r="QQS20" s="413"/>
      <c r="QQT20" s="413"/>
      <c r="QQU20" s="413"/>
      <c r="QQV20" s="413"/>
      <c r="QQW20" s="413"/>
      <c r="QQX20" s="413"/>
      <c r="QQY20" s="413"/>
      <c r="QQZ20" s="413"/>
      <c r="QRA20" s="413"/>
      <c r="QRB20" s="413"/>
      <c r="QRC20" s="413"/>
      <c r="QRD20" s="413"/>
      <c r="QRE20" s="413"/>
      <c r="QRF20" s="413"/>
      <c r="QRG20" s="413"/>
      <c r="QRH20" s="413"/>
      <c r="QRI20" s="413"/>
      <c r="QRJ20" s="413"/>
      <c r="QRK20" s="413"/>
      <c r="QRL20" s="413"/>
      <c r="QRM20" s="413"/>
      <c r="QRN20" s="413"/>
      <c r="QRO20" s="413"/>
      <c r="QRP20" s="413"/>
      <c r="QRQ20" s="413"/>
      <c r="QRR20" s="413"/>
      <c r="QRS20" s="413"/>
      <c r="QRT20" s="413"/>
      <c r="QRU20" s="413"/>
      <c r="QRV20" s="413"/>
      <c r="QRW20" s="413"/>
      <c r="QRX20" s="413"/>
      <c r="QRY20" s="413"/>
      <c r="QRZ20" s="413"/>
      <c r="QSA20" s="413"/>
      <c r="QSB20" s="413"/>
      <c r="QSC20" s="413"/>
      <c r="QSD20" s="413"/>
      <c r="QSE20" s="413"/>
      <c r="QSF20" s="413"/>
      <c r="QSG20" s="413"/>
      <c r="QSH20" s="413"/>
      <c r="QSI20" s="413"/>
      <c r="QSJ20" s="413"/>
      <c r="QSK20" s="413"/>
      <c r="QSL20" s="413"/>
      <c r="QSM20" s="413"/>
      <c r="QSN20" s="413"/>
      <c r="QSO20" s="413"/>
      <c r="QSP20" s="413"/>
      <c r="QSQ20" s="413"/>
      <c r="QSR20" s="413"/>
      <c r="QSS20" s="413"/>
      <c r="QST20" s="413"/>
      <c r="QSU20" s="413"/>
      <c r="QSV20" s="413"/>
      <c r="QSW20" s="413"/>
      <c r="QSX20" s="413"/>
      <c r="QSY20" s="413"/>
      <c r="QSZ20" s="413"/>
      <c r="QTA20" s="413"/>
      <c r="QTB20" s="413"/>
      <c r="QTC20" s="413"/>
      <c r="QTD20" s="413"/>
      <c r="QTE20" s="413"/>
      <c r="QTF20" s="413"/>
      <c r="QTG20" s="413"/>
      <c r="QTH20" s="413"/>
      <c r="QTI20" s="413"/>
      <c r="QTJ20" s="413"/>
      <c r="QTK20" s="413"/>
      <c r="QTL20" s="413"/>
      <c r="QTM20" s="413"/>
      <c r="QTN20" s="413"/>
      <c r="QTO20" s="413"/>
      <c r="QTP20" s="413"/>
      <c r="QTQ20" s="413"/>
      <c r="QTR20" s="413"/>
      <c r="QTS20" s="413"/>
      <c r="QTT20" s="413"/>
      <c r="QTU20" s="413"/>
      <c r="QTV20" s="413"/>
      <c r="QTW20" s="413"/>
      <c r="QTX20" s="413"/>
      <c r="QTY20" s="413"/>
      <c r="QTZ20" s="413"/>
      <c r="QUA20" s="413"/>
      <c r="QUB20" s="413"/>
      <c r="QUC20" s="413"/>
      <c r="QUD20" s="413"/>
      <c r="QUE20" s="413"/>
      <c r="QUF20" s="413"/>
      <c r="QUG20" s="413"/>
      <c r="QUH20" s="413"/>
      <c r="QUI20" s="413"/>
      <c r="QUJ20" s="413"/>
      <c r="QUK20" s="413"/>
      <c r="QUL20" s="413"/>
      <c r="QUM20" s="413"/>
      <c r="QUN20" s="413"/>
      <c r="QUO20" s="413"/>
      <c r="QUP20" s="413"/>
      <c r="QUQ20" s="413"/>
      <c r="QUR20" s="413"/>
      <c r="QUS20" s="413"/>
      <c r="QUT20" s="413"/>
      <c r="QUU20" s="413"/>
      <c r="QUV20" s="413"/>
      <c r="QUW20" s="413"/>
      <c r="QUX20" s="413"/>
      <c r="QUY20" s="413"/>
      <c r="QUZ20" s="413"/>
      <c r="QVA20" s="413"/>
      <c r="QVB20" s="413"/>
      <c r="QVC20" s="413"/>
      <c r="QVD20" s="413"/>
      <c r="QVE20" s="413"/>
      <c r="QVF20" s="413"/>
      <c r="QVG20" s="413"/>
      <c r="QVH20" s="413"/>
      <c r="QVI20" s="413"/>
      <c r="QVJ20" s="413"/>
      <c r="QVK20" s="413"/>
      <c r="QVL20" s="413"/>
      <c r="QVM20" s="413"/>
      <c r="QVN20" s="413"/>
      <c r="QVO20" s="413"/>
      <c r="QVP20" s="413"/>
      <c r="QVQ20" s="413"/>
      <c r="QVR20" s="413"/>
      <c r="QVS20" s="413"/>
      <c r="QVT20" s="413"/>
      <c r="QVU20" s="413"/>
      <c r="QVV20" s="413"/>
      <c r="QVW20" s="413"/>
      <c r="QVX20" s="413"/>
      <c r="QVY20" s="413"/>
      <c r="QVZ20" s="413"/>
      <c r="QWA20" s="413"/>
      <c r="QWB20" s="413"/>
      <c r="QWC20" s="413"/>
      <c r="QWD20" s="413"/>
      <c r="QWE20" s="413"/>
      <c r="QWF20" s="413"/>
      <c r="QWG20" s="413"/>
      <c r="QWH20" s="413"/>
      <c r="QWI20" s="413"/>
      <c r="QWJ20" s="413"/>
      <c r="QWK20" s="413"/>
      <c r="QWL20" s="413"/>
      <c r="QWM20" s="413"/>
      <c r="QWN20" s="413"/>
      <c r="QWO20" s="413"/>
      <c r="QWP20" s="413"/>
      <c r="QWQ20" s="413"/>
      <c r="QWR20" s="413"/>
      <c r="QWS20" s="413"/>
      <c r="QWT20" s="413"/>
      <c r="QWU20" s="413"/>
      <c r="QWV20" s="413"/>
      <c r="QWW20" s="413"/>
      <c r="QWX20" s="413"/>
      <c r="QWY20" s="413"/>
      <c r="QWZ20" s="413"/>
      <c r="QXA20" s="413"/>
      <c r="QXB20" s="413"/>
      <c r="QXC20" s="413"/>
      <c r="QXD20" s="413"/>
      <c r="QXE20" s="413"/>
      <c r="QXF20" s="413"/>
      <c r="QXG20" s="413"/>
      <c r="QXH20" s="413"/>
      <c r="QXI20" s="413"/>
      <c r="QXJ20" s="413"/>
      <c r="QXK20" s="413"/>
      <c r="QXL20" s="413"/>
      <c r="QXM20" s="413"/>
      <c r="QXN20" s="413"/>
      <c r="QXO20" s="413"/>
      <c r="QXP20" s="413"/>
      <c r="QXQ20" s="413"/>
      <c r="QXR20" s="413"/>
      <c r="QXS20" s="413"/>
      <c r="QXT20" s="413"/>
      <c r="QXU20" s="413"/>
      <c r="QXV20" s="413"/>
      <c r="QXW20" s="413"/>
      <c r="QXX20" s="413"/>
      <c r="QXY20" s="413"/>
      <c r="QXZ20" s="413"/>
      <c r="QYA20" s="413"/>
      <c r="QYB20" s="413"/>
      <c r="QYC20" s="413"/>
      <c r="QYD20" s="413"/>
      <c r="QYE20" s="413"/>
      <c r="QYF20" s="413"/>
      <c r="QYG20" s="413"/>
      <c r="QYH20" s="413"/>
      <c r="QYI20" s="413"/>
      <c r="QYJ20" s="413"/>
      <c r="QYK20" s="413"/>
      <c r="QYL20" s="413"/>
      <c r="QYM20" s="413"/>
      <c r="QYN20" s="413"/>
      <c r="QYO20" s="413"/>
      <c r="QYP20" s="413"/>
      <c r="QYQ20" s="413"/>
      <c r="QYR20" s="413"/>
      <c r="QYS20" s="413"/>
      <c r="QYT20" s="413"/>
      <c r="QYU20" s="413"/>
      <c r="QYV20" s="413"/>
      <c r="QYW20" s="413"/>
      <c r="QYX20" s="413"/>
      <c r="QYY20" s="413"/>
      <c r="QYZ20" s="413"/>
      <c r="QZA20" s="413"/>
      <c r="QZB20" s="413"/>
      <c r="QZC20" s="413"/>
      <c r="QZD20" s="413"/>
      <c r="QZE20" s="413"/>
      <c r="QZF20" s="413"/>
      <c r="QZG20" s="413"/>
      <c r="QZH20" s="413"/>
      <c r="QZI20" s="413"/>
      <c r="QZJ20" s="413"/>
      <c r="QZK20" s="413"/>
      <c r="QZL20" s="413"/>
      <c r="QZM20" s="413"/>
      <c r="QZN20" s="413"/>
      <c r="QZO20" s="413"/>
      <c r="QZP20" s="413"/>
      <c r="QZQ20" s="413"/>
      <c r="QZR20" s="413"/>
      <c r="QZS20" s="413"/>
      <c r="QZT20" s="413"/>
      <c r="QZU20" s="413"/>
      <c r="QZV20" s="413"/>
      <c r="QZW20" s="413"/>
      <c r="QZX20" s="413"/>
      <c r="QZY20" s="413"/>
      <c r="QZZ20" s="413"/>
      <c r="RAA20" s="413"/>
      <c r="RAB20" s="413"/>
      <c r="RAC20" s="413"/>
      <c r="RAD20" s="413"/>
      <c r="RAE20" s="413"/>
      <c r="RAF20" s="413"/>
      <c r="RAG20" s="413"/>
      <c r="RAH20" s="413"/>
      <c r="RAI20" s="413"/>
      <c r="RAJ20" s="413"/>
      <c r="RAK20" s="413"/>
      <c r="RAL20" s="413"/>
      <c r="RAM20" s="413"/>
      <c r="RAN20" s="413"/>
      <c r="RAO20" s="413"/>
      <c r="RAP20" s="413"/>
      <c r="RAQ20" s="413"/>
      <c r="RAR20" s="413"/>
      <c r="RAS20" s="413"/>
      <c r="RAT20" s="413"/>
      <c r="RAU20" s="413"/>
      <c r="RAV20" s="413"/>
      <c r="RAW20" s="413"/>
      <c r="RAX20" s="413"/>
      <c r="RAY20" s="413"/>
      <c r="RAZ20" s="413"/>
      <c r="RBA20" s="413"/>
      <c r="RBB20" s="413"/>
      <c r="RBC20" s="413"/>
      <c r="RBD20" s="413"/>
      <c r="RBE20" s="413"/>
      <c r="RBF20" s="413"/>
      <c r="RBG20" s="413"/>
      <c r="RBH20" s="413"/>
      <c r="RBI20" s="413"/>
      <c r="RBJ20" s="413"/>
      <c r="RBK20" s="413"/>
      <c r="RBL20" s="413"/>
      <c r="RBM20" s="413"/>
      <c r="RBN20" s="413"/>
      <c r="RBO20" s="413"/>
      <c r="RBP20" s="413"/>
      <c r="RBQ20" s="413"/>
      <c r="RBR20" s="413"/>
      <c r="RBS20" s="413"/>
      <c r="RBT20" s="413"/>
      <c r="RBU20" s="413"/>
      <c r="RBV20" s="413"/>
      <c r="RBW20" s="413"/>
      <c r="RBX20" s="413"/>
      <c r="RBY20" s="413"/>
      <c r="RBZ20" s="413"/>
      <c r="RCA20" s="413"/>
      <c r="RCB20" s="413"/>
      <c r="RCC20" s="413"/>
      <c r="RCD20" s="413"/>
      <c r="RCE20" s="413"/>
      <c r="RCF20" s="413"/>
      <c r="RCG20" s="413"/>
      <c r="RCH20" s="413"/>
      <c r="RCI20" s="413"/>
      <c r="RCJ20" s="413"/>
      <c r="RCK20" s="413"/>
      <c r="RCL20" s="413"/>
      <c r="RCM20" s="413"/>
      <c r="RCN20" s="413"/>
      <c r="RCO20" s="413"/>
      <c r="RCP20" s="413"/>
      <c r="RCQ20" s="413"/>
      <c r="RCR20" s="413"/>
      <c r="RCS20" s="413"/>
      <c r="RCT20" s="413"/>
      <c r="RCU20" s="413"/>
      <c r="RCV20" s="413"/>
      <c r="RCW20" s="413"/>
      <c r="RCX20" s="413"/>
      <c r="RCY20" s="413"/>
      <c r="RCZ20" s="413"/>
      <c r="RDA20" s="413"/>
      <c r="RDB20" s="413"/>
      <c r="RDC20" s="413"/>
      <c r="RDD20" s="413"/>
      <c r="RDE20" s="413"/>
      <c r="RDF20" s="413"/>
      <c r="RDG20" s="413"/>
      <c r="RDH20" s="413"/>
      <c r="RDI20" s="413"/>
      <c r="RDJ20" s="413"/>
      <c r="RDK20" s="413"/>
      <c r="RDL20" s="413"/>
      <c r="RDM20" s="413"/>
      <c r="RDN20" s="413"/>
      <c r="RDO20" s="413"/>
      <c r="RDP20" s="413"/>
      <c r="RDQ20" s="413"/>
      <c r="RDR20" s="413"/>
      <c r="RDS20" s="413"/>
      <c r="RDT20" s="413"/>
      <c r="RDU20" s="413"/>
      <c r="RDV20" s="413"/>
      <c r="RDW20" s="413"/>
      <c r="RDX20" s="413"/>
      <c r="RDY20" s="413"/>
      <c r="RDZ20" s="413"/>
      <c r="REA20" s="413"/>
      <c r="REB20" s="413"/>
      <c r="REC20" s="413"/>
      <c r="RED20" s="413"/>
      <c r="REE20" s="413"/>
      <c r="REF20" s="413"/>
      <c r="REG20" s="413"/>
      <c r="REH20" s="413"/>
      <c r="REI20" s="413"/>
      <c r="REJ20" s="413"/>
      <c r="REK20" s="413"/>
      <c r="REL20" s="413"/>
      <c r="REM20" s="413"/>
      <c r="REN20" s="413"/>
      <c r="REO20" s="413"/>
      <c r="REP20" s="413"/>
      <c r="REQ20" s="413"/>
      <c r="RER20" s="413"/>
      <c r="RES20" s="413"/>
      <c r="RET20" s="413"/>
      <c r="REU20" s="413"/>
      <c r="REV20" s="413"/>
      <c r="REW20" s="413"/>
      <c r="REX20" s="413"/>
      <c r="REY20" s="413"/>
      <c r="REZ20" s="413"/>
      <c r="RFA20" s="413"/>
      <c r="RFB20" s="413"/>
      <c r="RFC20" s="413"/>
      <c r="RFD20" s="413"/>
      <c r="RFE20" s="413"/>
      <c r="RFF20" s="413"/>
      <c r="RFG20" s="413"/>
      <c r="RFH20" s="413"/>
      <c r="RFI20" s="413"/>
      <c r="RFJ20" s="413"/>
      <c r="RFK20" s="413"/>
      <c r="RFL20" s="413"/>
      <c r="RFM20" s="413"/>
      <c r="RFN20" s="413"/>
      <c r="RFO20" s="413"/>
      <c r="RFP20" s="413"/>
      <c r="RFQ20" s="413"/>
      <c r="RFR20" s="413"/>
      <c r="RFS20" s="413"/>
      <c r="RFT20" s="413"/>
      <c r="RFU20" s="413"/>
      <c r="RFV20" s="413"/>
      <c r="RFW20" s="413"/>
      <c r="RFX20" s="413"/>
      <c r="RFY20" s="413"/>
      <c r="RFZ20" s="413"/>
      <c r="RGA20" s="413"/>
      <c r="RGB20" s="413"/>
      <c r="RGC20" s="413"/>
      <c r="RGD20" s="413"/>
      <c r="RGE20" s="413"/>
      <c r="RGF20" s="413"/>
      <c r="RGG20" s="413"/>
      <c r="RGH20" s="413"/>
      <c r="RGI20" s="413"/>
      <c r="RGJ20" s="413"/>
      <c r="RGK20" s="413"/>
      <c r="RGL20" s="413"/>
      <c r="RGM20" s="413"/>
      <c r="RGN20" s="413"/>
      <c r="RGO20" s="413"/>
      <c r="RGP20" s="413"/>
      <c r="RGQ20" s="413"/>
      <c r="RGR20" s="413"/>
      <c r="RGS20" s="413"/>
      <c r="RGT20" s="413"/>
      <c r="RGU20" s="413"/>
      <c r="RGV20" s="413"/>
      <c r="RGW20" s="413"/>
      <c r="RGX20" s="413"/>
      <c r="RGY20" s="413"/>
      <c r="RGZ20" s="413"/>
      <c r="RHA20" s="413"/>
      <c r="RHB20" s="413"/>
      <c r="RHC20" s="413"/>
      <c r="RHD20" s="413"/>
      <c r="RHE20" s="413"/>
      <c r="RHF20" s="413"/>
      <c r="RHG20" s="413"/>
      <c r="RHH20" s="413"/>
      <c r="RHI20" s="413"/>
      <c r="RHJ20" s="413"/>
      <c r="RHK20" s="413"/>
      <c r="RHL20" s="413"/>
      <c r="RHM20" s="413"/>
      <c r="RHN20" s="413"/>
      <c r="RHO20" s="413"/>
      <c r="RHP20" s="413"/>
      <c r="RHQ20" s="413"/>
      <c r="RHR20" s="413"/>
      <c r="RHS20" s="413"/>
      <c r="RHT20" s="413"/>
      <c r="RHU20" s="413"/>
      <c r="RHV20" s="413"/>
      <c r="RHW20" s="413"/>
      <c r="RHX20" s="413"/>
      <c r="RHY20" s="413"/>
      <c r="RHZ20" s="413"/>
      <c r="RIA20" s="413"/>
      <c r="RIB20" s="413"/>
      <c r="RIC20" s="413"/>
      <c r="RID20" s="413"/>
      <c r="RIE20" s="413"/>
      <c r="RIF20" s="413"/>
      <c r="RIG20" s="413"/>
      <c r="RIH20" s="413"/>
      <c r="RII20" s="413"/>
      <c r="RIJ20" s="413"/>
      <c r="RIK20" s="413"/>
      <c r="RIL20" s="413"/>
      <c r="RIM20" s="413"/>
      <c r="RIN20" s="413"/>
      <c r="RIO20" s="413"/>
      <c r="RIP20" s="413"/>
      <c r="RIQ20" s="413"/>
      <c r="RIR20" s="413"/>
      <c r="RIS20" s="413"/>
      <c r="RIT20" s="413"/>
      <c r="RIU20" s="413"/>
      <c r="RIV20" s="413"/>
      <c r="RIW20" s="413"/>
      <c r="RIX20" s="413"/>
      <c r="RIY20" s="413"/>
      <c r="RIZ20" s="413"/>
      <c r="RJA20" s="413"/>
      <c r="RJB20" s="413"/>
      <c r="RJC20" s="413"/>
      <c r="RJD20" s="413"/>
      <c r="RJE20" s="413"/>
      <c r="RJF20" s="413"/>
      <c r="RJG20" s="413"/>
      <c r="RJH20" s="413"/>
      <c r="RJI20" s="413"/>
      <c r="RJJ20" s="413"/>
      <c r="RJK20" s="413"/>
      <c r="RJL20" s="413"/>
      <c r="RJM20" s="413"/>
      <c r="RJN20" s="413"/>
      <c r="RJO20" s="413"/>
      <c r="RJP20" s="413"/>
      <c r="RJQ20" s="413"/>
      <c r="RJR20" s="413"/>
      <c r="RJS20" s="413"/>
      <c r="RJT20" s="413"/>
      <c r="RJU20" s="413"/>
      <c r="RJV20" s="413"/>
      <c r="RJW20" s="413"/>
      <c r="RJX20" s="413"/>
      <c r="RJY20" s="413"/>
      <c r="RJZ20" s="413"/>
      <c r="RKA20" s="413"/>
      <c r="RKB20" s="413"/>
      <c r="RKC20" s="413"/>
      <c r="RKD20" s="413"/>
      <c r="RKE20" s="413"/>
      <c r="RKF20" s="413"/>
      <c r="RKG20" s="413"/>
      <c r="RKH20" s="413"/>
      <c r="RKI20" s="413"/>
      <c r="RKJ20" s="413"/>
      <c r="RKK20" s="413"/>
      <c r="RKL20" s="413"/>
      <c r="RKM20" s="413"/>
      <c r="RKN20" s="413"/>
      <c r="RKO20" s="413"/>
      <c r="RKP20" s="413"/>
      <c r="RKQ20" s="413"/>
      <c r="RKR20" s="413"/>
      <c r="RKS20" s="413"/>
      <c r="RKT20" s="413"/>
      <c r="RKU20" s="413"/>
      <c r="RKV20" s="413"/>
      <c r="RKW20" s="413"/>
      <c r="RKX20" s="413"/>
      <c r="RKY20" s="413"/>
      <c r="RKZ20" s="413"/>
      <c r="RLA20" s="413"/>
      <c r="RLB20" s="413"/>
      <c r="RLC20" s="413"/>
      <c r="RLD20" s="413"/>
      <c r="RLE20" s="413"/>
      <c r="RLF20" s="413"/>
      <c r="RLG20" s="413"/>
      <c r="RLH20" s="413"/>
      <c r="RLI20" s="413"/>
      <c r="RLJ20" s="413"/>
      <c r="RLK20" s="413"/>
      <c r="RLL20" s="413"/>
      <c r="RLM20" s="413"/>
      <c r="RLN20" s="413"/>
      <c r="RLO20" s="413"/>
      <c r="RLP20" s="413"/>
      <c r="RLQ20" s="413"/>
      <c r="RLR20" s="413"/>
      <c r="RLS20" s="413"/>
      <c r="RLT20" s="413"/>
      <c r="RLU20" s="413"/>
      <c r="RLV20" s="413"/>
      <c r="RLW20" s="413"/>
      <c r="RLX20" s="413"/>
      <c r="RLY20" s="413"/>
      <c r="RLZ20" s="413"/>
      <c r="RMA20" s="413"/>
      <c r="RMB20" s="413"/>
      <c r="RMC20" s="413"/>
      <c r="RMD20" s="413"/>
      <c r="RME20" s="413"/>
      <c r="RMF20" s="413"/>
      <c r="RMG20" s="413"/>
      <c r="RMH20" s="413"/>
      <c r="RMI20" s="413"/>
      <c r="RMJ20" s="413"/>
      <c r="RMK20" s="413"/>
      <c r="RML20" s="413"/>
      <c r="RMM20" s="413"/>
      <c r="RMN20" s="413"/>
      <c r="RMO20" s="413"/>
      <c r="RMP20" s="413"/>
      <c r="RMQ20" s="413"/>
      <c r="RMR20" s="413"/>
      <c r="RMS20" s="413"/>
      <c r="RMT20" s="413"/>
      <c r="RMU20" s="413"/>
      <c r="RMV20" s="413"/>
      <c r="RMW20" s="413"/>
      <c r="RMX20" s="413"/>
      <c r="RMY20" s="413"/>
      <c r="RMZ20" s="413"/>
      <c r="RNA20" s="413"/>
      <c r="RNB20" s="413"/>
      <c r="RNC20" s="413"/>
      <c r="RND20" s="413"/>
      <c r="RNE20" s="413"/>
      <c r="RNF20" s="413"/>
      <c r="RNG20" s="413"/>
      <c r="RNH20" s="413"/>
      <c r="RNI20" s="413"/>
      <c r="RNJ20" s="413"/>
      <c r="RNK20" s="413"/>
      <c r="RNL20" s="413"/>
      <c r="RNM20" s="413"/>
      <c r="RNN20" s="413"/>
      <c r="RNO20" s="413"/>
      <c r="RNP20" s="413"/>
      <c r="RNQ20" s="413"/>
      <c r="RNR20" s="413"/>
      <c r="RNS20" s="413"/>
      <c r="RNT20" s="413"/>
      <c r="RNU20" s="413"/>
      <c r="RNV20" s="413"/>
      <c r="RNW20" s="413"/>
      <c r="RNX20" s="413"/>
      <c r="RNY20" s="413"/>
      <c r="RNZ20" s="413"/>
      <c r="ROA20" s="413"/>
      <c r="ROB20" s="413"/>
      <c r="ROC20" s="413"/>
      <c r="ROD20" s="413"/>
      <c r="ROE20" s="413"/>
      <c r="ROF20" s="413"/>
      <c r="ROG20" s="413"/>
      <c r="ROH20" s="413"/>
      <c r="ROI20" s="413"/>
      <c r="ROJ20" s="413"/>
      <c r="ROK20" s="413"/>
      <c r="ROL20" s="413"/>
      <c r="ROM20" s="413"/>
      <c r="RON20" s="413"/>
      <c r="ROO20" s="413"/>
      <c r="ROP20" s="413"/>
      <c r="ROQ20" s="413"/>
      <c r="ROR20" s="413"/>
      <c r="ROS20" s="413"/>
      <c r="ROT20" s="413"/>
      <c r="ROU20" s="413"/>
      <c r="ROV20" s="413"/>
      <c r="ROW20" s="413"/>
      <c r="ROX20" s="413"/>
      <c r="ROY20" s="413"/>
      <c r="ROZ20" s="413"/>
      <c r="RPA20" s="413"/>
      <c r="RPB20" s="413"/>
      <c r="RPC20" s="413"/>
      <c r="RPD20" s="413"/>
      <c r="RPE20" s="413"/>
      <c r="RPF20" s="413"/>
      <c r="RPG20" s="413"/>
      <c r="RPH20" s="413"/>
      <c r="RPI20" s="413"/>
      <c r="RPJ20" s="413"/>
      <c r="RPK20" s="413"/>
      <c r="RPL20" s="413"/>
      <c r="RPM20" s="413"/>
      <c r="RPN20" s="413"/>
      <c r="RPO20" s="413"/>
      <c r="RPP20" s="413"/>
      <c r="RPQ20" s="413"/>
      <c r="RPR20" s="413"/>
      <c r="RPS20" s="413"/>
      <c r="RPT20" s="413"/>
      <c r="RPU20" s="413"/>
      <c r="RPV20" s="413"/>
      <c r="RPW20" s="413"/>
      <c r="RPX20" s="413"/>
      <c r="RPY20" s="413"/>
      <c r="RPZ20" s="413"/>
      <c r="RQA20" s="413"/>
      <c r="RQB20" s="413"/>
      <c r="RQC20" s="413"/>
      <c r="RQD20" s="413"/>
      <c r="RQE20" s="413"/>
      <c r="RQF20" s="413"/>
      <c r="RQG20" s="413"/>
      <c r="RQH20" s="413"/>
      <c r="RQI20" s="413"/>
      <c r="RQJ20" s="413"/>
      <c r="RQK20" s="413"/>
      <c r="RQL20" s="413"/>
      <c r="RQM20" s="413"/>
      <c r="RQN20" s="413"/>
      <c r="RQO20" s="413"/>
      <c r="RQP20" s="413"/>
      <c r="RQQ20" s="413"/>
      <c r="RQR20" s="413"/>
      <c r="RQS20" s="413"/>
      <c r="RQT20" s="413"/>
      <c r="RQU20" s="413"/>
      <c r="RQV20" s="413"/>
      <c r="RQW20" s="413"/>
      <c r="RQX20" s="413"/>
      <c r="RQY20" s="413"/>
      <c r="RQZ20" s="413"/>
      <c r="RRA20" s="413"/>
      <c r="RRB20" s="413"/>
      <c r="RRC20" s="413"/>
      <c r="RRD20" s="413"/>
      <c r="RRE20" s="413"/>
      <c r="RRF20" s="413"/>
      <c r="RRG20" s="413"/>
      <c r="RRH20" s="413"/>
      <c r="RRI20" s="413"/>
      <c r="RRJ20" s="413"/>
      <c r="RRK20" s="413"/>
      <c r="RRL20" s="413"/>
      <c r="RRM20" s="413"/>
      <c r="RRN20" s="413"/>
      <c r="RRO20" s="413"/>
      <c r="RRP20" s="413"/>
      <c r="RRQ20" s="413"/>
      <c r="RRR20" s="413"/>
      <c r="RRS20" s="413"/>
      <c r="RRT20" s="413"/>
      <c r="RRU20" s="413"/>
      <c r="RRV20" s="413"/>
      <c r="RRW20" s="413"/>
      <c r="RRX20" s="413"/>
      <c r="RRY20" s="413"/>
      <c r="RRZ20" s="413"/>
      <c r="RSA20" s="413"/>
      <c r="RSB20" s="413"/>
      <c r="RSC20" s="413"/>
      <c r="RSD20" s="413"/>
      <c r="RSE20" s="413"/>
      <c r="RSF20" s="413"/>
      <c r="RSG20" s="413"/>
      <c r="RSH20" s="413"/>
      <c r="RSI20" s="413"/>
      <c r="RSJ20" s="413"/>
      <c r="RSK20" s="413"/>
      <c r="RSL20" s="413"/>
      <c r="RSM20" s="413"/>
      <c r="RSN20" s="413"/>
      <c r="RSO20" s="413"/>
      <c r="RSP20" s="413"/>
      <c r="RSQ20" s="413"/>
      <c r="RSR20" s="413"/>
      <c r="RSS20" s="413"/>
      <c r="RST20" s="413"/>
      <c r="RSU20" s="413"/>
      <c r="RSV20" s="413"/>
      <c r="RSW20" s="413"/>
      <c r="RSX20" s="413"/>
      <c r="RSY20" s="413"/>
      <c r="RSZ20" s="413"/>
      <c r="RTA20" s="413"/>
      <c r="RTB20" s="413"/>
      <c r="RTC20" s="413"/>
      <c r="RTD20" s="413"/>
      <c r="RTE20" s="413"/>
      <c r="RTF20" s="413"/>
      <c r="RTG20" s="413"/>
      <c r="RTH20" s="413"/>
      <c r="RTI20" s="413"/>
      <c r="RTJ20" s="413"/>
      <c r="RTK20" s="413"/>
      <c r="RTL20" s="413"/>
      <c r="RTM20" s="413"/>
      <c r="RTN20" s="413"/>
      <c r="RTO20" s="413"/>
      <c r="RTP20" s="413"/>
      <c r="RTQ20" s="413"/>
      <c r="RTR20" s="413"/>
      <c r="RTS20" s="413"/>
      <c r="RTT20" s="413"/>
      <c r="RTU20" s="413"/>
      <c r="RTV20" s="413"/>
      <c r="RTW20" s="413"/>
      <c r="RTX20" s="413"/>
      <c r="RTY20" s="413"/>
      <c r="RTZ20" s="413"/>
      <c r="RUA20" s="413"/>
      <c r="RUB20" s="413"/>
      <c r="RUC20" s="413"/>
      <c r="RUD20" s="413"/>
      <c r="RUE20" s="413"/>
      <c r="RUF20" s="413"/>
      <c r="RUG20" s="413"/>
      <c r="RUH20" s="413"/>
      <c r="RUI20" s="413"/>
      <c r="RUJ20" s="413"/>
      <c r="RUK20" s="413"/>
      <c r="RUL20" s="413"/>
      <c r="RUM20" s="413"/>
      <c r="RUN20" s="413"/>
      <c r="RUO20" s="413"/>
      <c r="RUP20" s="413"/>
      <c r="RUQ20" s="413"/>
      <c r="RUR20" s="413"/>
      <c r="RUS20" s="413"/>
      <c r="RUT20" s="413"/>
      <c r="RUU20" s="413"/>
      <c r="RUV20" s="413"/>
      <c r="RUW20" s="413"/>
      <c r="RUX20" s="413"/>
      <c r="RUY20" s="413"/>
      <c r="RUZ20" s="413"/>
      <c r="RVA20" s="413"/>
      <c r="RVB20" s="413"/>
      <c r="RVC20" s="413"/>
      <c r="RVD20" s="413"/>
      <c r="RVE20" s="413"/>
      <c r="RVF20" s="413"/>
      <c r="RVG20" s="413"/>
      <c r="RVH20" s="413"/>
      <c r="RVI20" s="413"/>
      <c r="RVJ20" s="413"/>
      <c r="RVK20" s="413"/>
      <c r="RVL20" s="413"/>
      <c r="RVM20" s="413"/>
      <c r="RVN20" s="413"/>
      <c r="RVO20" s="413"/>
      <c r="RVP20" s="413"/>
      <c r="RVQ20" s="413"/>
      <c r="RVR20" s="413"/>
      <c r="RVS20" s="413"/>
      <c r="RVT20" s="413"/>
      <c r="RVU20" s="413"/>
      <c r="RVV20" s="413"/>
      <c r="RVW20" s="413"/>
      <c r="RVX20" s="413"/>
      <c r="RVY20" s="413"/>
      <c r="RVZ20" s="413"/>
      <c r="RWA20" s="413"/>
      <c r="RWB20" s="413"/>
      <c r="RWC20" s="413"/>
      <c r="RWD20" s="413"/>
      <c r="RWE20" s="413"/>
      <c r="RWF20" s="413"/>
      <c r="RWG20" s="413"/>
      <c r="RWH20" s="413"/>
      <c r="RWI20" s="413"/>
      <c r="RWJ20" s="413"/>
      <c r="RWK20" s="413"/>
      <c r="RWL20" s="413"/>
      <c r="RWM20" s="413"/>
      <c r="RWN20" s="413"/>
      <c r="RWO20" s="413"/>
      <c r="RWP20" s="413"/>
      <c r="RWQ20" s="413"/>
      <c r="RWR20" s="413"/>
      <c r="RWS20" s="413"/>
      <c r="RWT20" s="413"/>
      <c r="RWU20" s="413"/>
      <c r="RWV20" s="413"/>
      <c r="RWW20" s="413"/>
      <c r="RWX20" s="413"/>
      <c r="RWY20" s="413"/>
      <c r="RWZ20" s="413"/>
      <c r="RXA20" s="413"/>
      <c r="RXB20" s="413"/>
      <c r="RXC20" s="413"/>
      <c r="RXD20" s="413"/>
      <c r="RXE20" s="413"/>
      <c r="RXF20" s="413"/>
      <c r="RXG20" s="413"/>
      <c r="RXH20" s="413"/>
      <c r="RXI20" s="413"/>
      <c r="RXJ20" s="413"/>
      <c r="RXK20" s="413"/>
      <c r="RXL20" s="413"/>
      <c r="RXM20" s="413"/>
      <c r="RXN20" s="413"/>
      <c r="RXO20" s="413"/>
      <c r="RXP20" s="413"/>
      <c r="RXQ20" s="413"/>
      <c r="RXR20" s="413"/>
      <c r="RXS20" s="413"/>
      <c r="RXT20" s="413"/>
      <c r="RXU20" s="413"/>
      <c r="RXV20" s="413"/>
      <c r="RXW20" s="413"/>
      <c r="RXX20" s="413"/>
      <c r="RXY20" s="413"/>
      <c r="RXZ20" s="413"/>
      <c r="RYA20" s="413"/>
      <c r="RYB20" s="413"/>
      <c r="RYC20" s="413"/>
      <c r="RYD20" s="413"/>
      <c r="RYE20" s="413"/>
      <c r="RYF20" s="413"/>
      <c r="RYG20" s="413"/>
      <c r="RYH20" s="413"/>
      <c r="RYI20" s="413"/>
      <c r="RYJ20" s="413"/>
      <c r="RYK20" s="413"/>
      <c r="RYL20" s="413"/>
      <c r="RYM20" s="413"/>
      <c r="RYN20" s="413"/>
      <c r="RYO20" s="413"/>
      <c r="RYP20" s="413"/>
      <c r="RYQ20" s="413"/>
      <c r="RYR20" s="413"/>
      <c r="RYS20" s="413"/>
      <c r="RYT20" s="413"/>
      <c r="RYU20" s="413"/>
      <c r="RYV20" s="413"/>
      <c r="RYW20" s="413"/>
      <c r="RYX20" s="413"/>
      <c r="RYY20" s="413"/>
      <c r="RYZ20" s="413"/>
      <c r="RZA20" s="413"/>
      <c r="RZB20" s="413"/>
      <c r="RZC20" s="413"/>
      <c r="RZD20" s="413"/>
      <c r="RZE20" s="413"/>
      <c r="RZF20" s="413"/>
      <c r="RZG20" s="413"/>
      <c r="RZH20" s="413"/>
      <c r="RZI20" s="413"/>
      <c r="RZJ20" s="413"/>
      <c r="RZK20" s="413"/>
      <c r="RZL20" s="413"/>
      <c r="RZM20" s="413"/>
      <c r="RZN20" s="413"/>
      <c r="RZO20" s="413"/>
      <c r="RZP20" s="413"/>
      <c r="RZQ20" s="413"/>
      <c r="RZR20" s="413"/>
      <c r="RZS20" s="413"/>
      <c r="RZT20" s="413"/>
      <c r="RZU20" s="413"/>
      <c r="RZV20" s="413"/>
      <c r="RZW20" s="413"/>
      <c r="RZX20" s="413"/>
      <c r="RZY20" s="413"/>
      <c r="RZZ20" s="413"/>
      <c r="SAA20" s="413"/>
      <c r="SAB20" s="413"/>
      <c r="SAC20" s="413"/>
      <c r="SAD20" s="413"/>
      <c r="SAE20" s="413"/>
      <c r="SAF20" s="413"/>
      <c r="SAG20" s="413"/>
      <c r="SAH20" s="413"/>
      <c r="SAI20" s="413"/>
      <c r="SAJ20" s="413"/>
      <c r="SAK20" s="413"/>
      <c r="SAL20" s="413"/>
      <c r="SAM20" s="413"/>
      <c r="SAN20" s="413"/>
      <c r="SAO20" s="413"/>
      <c r="SAP20" s="413"/>
      <c r="SAQ20" s="413"/>
      <c r="SAR20" s="413"/>
      <c r="SAS20" s="413"/>
      <c r="SAT20" s="413"/>
      <c r="SAU20" s="413"/>
      <c r="SAV20" s="413"/>
      <c r="SAW20" s="413"/>
      <c r="SAX20" s="413"/>
      <c r="SAY20" s="413"/>
      <c r="SAZ20" s="413"/>
      <c r="SBA20" s="413"/>
      <c r="SBB20" s="413"/>
      <c r="SBC20" s="413"/>
      <c r="SBD20" s="413"/>
      <c r="SBE20" s="413"/>
      <c r="SBF20" s="413"/>
      <c r="SBG20" s="413"/>
      <c r="SBH20" s="413"/>
      <c r="SBI20" s="413"/>
      <c r="SBJ20" s="413"/>
      <c r="SBK20" s="413"/>
      <c r="SBL20" s="413"/>
      <c r="SBM20" s="413"/>
      <c r="SBN20" s="413"/>
      <c r="SBO20" s="413"/>
      <c r="SBP20" s="413"/>
      <c r="SBQ20" s="413"/>
      <c r="SBR20" s="413"/>
      <c r="SBS20" s="413"/>
      <c r="SBT20" s="413"/>
      <c r="SBU20" s="413"/>
      <c r="SBV20" s="413"/>
      <c r="SBW20" s="413"/>
      <c r="SBX20" s="413"/>
      <c r="SBY20" s="413"/>
      <c r="SBZ20" s="413"/>
      <c r="SCA20" s="413"/>
      <c r="SCB20" s="413"/>
      <c r="SCC20" s="413"/>
      <c r="SCD20" s="413"/>
      <c r="SCE20" s="413"/>
      <c r="SCF20" s="413"/>
      <c r="SCG20" s="413"/>
      <c r="SCH20" s="413"/>
      <c r="SCI20" s="413"/>
      <c r="SCJ20" s="413"/>
      <c r="SCK20" s="413"/>
      <c r="SCL20" s="413"/>
      <c r="SCM20" s="413"/>
      <c r="SCN20" s="413"/>
      <c r="SCO20" s="413"/>
      <c r="SCP20" s="413"/>
      <c r="SCQ20" s="413"/>
      <c r="SCR20" s="413"/>
      <c r="SCS20" s="413"/>
      <c r="SCT20" s="413"/>
      <c r="SCU20" s="413"/>
      <c r="SCV20" s="413"/>
      <c r="SCW20" s="413"/>
      <c r="SCX20" s="413"/>
      <c r="SCY20" s="413"/>
      <c r="SCZ20" s="413"/>
      <c r="SDA20" s="413"/>
      <c r="SDB20" s="413"/>
      <c r="SDC20" s="413"/>
      <c r="SDD20" s="413"/>
      <c r="SDE20" s="413"/>
      <c r="SDF20" s="413"/>
      <c r="SDG20" s="413"/>
      <c r="SDH20" s="413"/>
      <c r="SDI20" s="413"/>
      <c r="SDJ20" s="413"/>
      <c r="SDK20" s="413"/>
      <c r="SDL20" s="413"/>
      <c r="SDM20" s="413"/>
      <c r="SDN20" s="413"/>
      <c r="SDO20" s="413"/>
      <c r="SDP20" s="413"/>
      <c r="SDQ20" s="413"/>
      <c r="SDR20" s="413"/>
      <c r="SDS20" s="413"/>
      <c r="SDT20" s="413"/>
      <c r="SDU20" s="413"/>
      <c r="SDV20" s="413"/>
      <c r="SDW20" s="413"/>
      <c r="SDX20" s="413"/>
      <c r="SDY20" s="413"/>
      <c r="SDZ20" s="413"/>
      <c r="SEA20" s="413"/>
      <c r="SEB20" s="413"/>
      <c r="SEC20" s="413"/>
      <c r="SED20" s="413"/>
      <c r="SEE20" s="413"/>
      <c r="SEF20" s="413"/>
      <c r="SEG20" s="413"/>
      <c r="SEH20" s="413"/>
      <c r="SEI20" s="413"/>
      <c r="SEJ20" s="413"/>
      <c r="SEK20" s="413"/>
      <c r="SEL20" s="413"/>
      <c r="SEM20" s="413"/>
      <c r="SEN20" s="413"/>
      <c r="SEO20" s="413"/>
      <c r="SEP20" s="413"/>
      <c r="SEQ20" s="413"/>
      <c r="SER20" s="413"/>
      <c r="SES20" s="413"/>
      <c r="SET20" s="413"/>
      <c r="SEU20" s="413"/>
      <c r="SEV20" s="413"/>
      <c r="SEW20" s="413"/>
      <c r="SEX20" s="413"/>
      <c r="SEY20" s="413"/>
      <c r="SEZ20" s="413"/>
      <c r="SFA20" s="413"/>
      <c r="SFB20" s="413"/>
      <c r="SFC20" s="413"/>
      <c r="SFD20" s="413"/>
      <c r="SFE20" s="413"/>
      <c r="SFF20" s="413"/>
      <c r="SFG20" s="413"/>
      <c r="SFH20" s="413"/>
      <c r="SFI20" s="413"/>
      <c r="SFJ20" s="413"/>
      <c r="SFK20" s="413"/>
      <c r="SFL20" s="413"/>
      <c r="SFM20" s="413"/>
      <c r="SFN20" s="413"/>
      <c r="SFO20" s="413"/>
      <c r="SFP20" s="413"/>
      <c r="SFQ20" s="413"/>
      <c r="SFR20" s="413"/>
      <c r="SFS20" s="413"/>
      <c r="SFT20" s="413"/>
      <c r="SFU20" s="413"/>
      <c r="SFV20" s="413"/>
      <c r="SFW20" s="413"/>
      <c r="SFX20" s="413"/>
      <c r="SFY20" s="413"/>
      <c r="SFZ20" s="413"/>
      <c r="SGA20" s="413"/>
      <c r="SGB20" s="413"/>
      <c r="SGC20" s="413"/>
      <c r="SGD20" s="413"/>
      <c r="SGE20" s="413"/>
      <c r="SGF20" s="413"/>
      <c r="SGG20" s="413"/>
      <c r="SGH20" s="413"/>
      <c r="SGI20" s="413"/>
      <c r="SGJ20" s="413"/>
      <c r="SGK20" s="413"/>
      <c r="SGL20" s="413"/>
      <c r="SGM20" s="413"/>
      <c r="SGN20" s="413"/>
      <c r="SGO20" s="413"/>
      <c r="SGP20" s="413"/>
      <c r="SGQ20" s="413"/>
      <c r="SGR20" s="413"/>
      <c r="SGS20" s="413"/>
      <c r="SGT20" s="413"/>
      <c r="SGU20" s="413"/>
      <c r="SGV20" s="413"/>
      <c r="SGW20" s="413"/>
      <c r="SGX20" s="413"/>
      <c r="SGY20" s="413"/>
      <c r="SGZ20" s="413"/>
      <c r="SHA20" s="413"/>
      <c r="SHB20" s="413"/>
      <c r="SHC20" s="413"/>
      <c r="SHD20" s="413"/>
      <c r="SHE20" s="413"/>
      <c r="SHF20" s="413"/>
      <c r="SHG20" s="413"/>
      <c r="SHH20" s="413"/>
      <c r="SHI20" s="413"/>
      <c r="SHJ20" s="413"/>
      <c r="SHK20" s="413"/>
      <c r="SHL20" s="413"/>
      <c r="SHM20" s="413"/>
      <c r="SHN20" s="413"/>
      <c r="SHO20" s="413"/>
      <c r="SHP20" s="413"/>
      <c r="SHQ20" s="413"/>
      <c r="SHR20" s="413"/>
      <c r="SHS20" s="413"/>
      <c r="SHT20" s="413"/>
      <c r="SHU20" s="413"/>
      <c r="SHV20" s="413"/>
      <c r="SHW20" s="413"/>
      <c r="SHX20" s="413"/>
      <c r="SHY20" s="413"/>
      <c r="SHZ20" s="413"/>
      <c r="SIA20" s="413"/>
      <c r="SIB20" s="413"/>
      <c r="SIC20" s="413"/>
      <c r="SID20" s="413"/>
      <c r="SIE20" s="413"/>
      <c r="SIF20" s="413"/>
      <c r="SIG20" s="413"/>
      <c r="SIH20" s="413"/>
      <c r="SII20" s="413"/>
      <c r="SIJ20" s="413"/>
      <c r="SIK20" s="413"/>
      <c r="SIL20" s="413"/>
      <c r="SIM20" s="413"/>
      <c r="SIN20" s="413"/>
      <c r="SIO20" s="413"/>
      <c r="SIP20" s="413"/>
      <c r="SIQ20" s="413"/>
      <c r="SIR20" s="413"/>
      <c r="SIS20" s="413"/>
      <c r="SIT20" s="413"/>
      <c r="SIU20" s="413"/>
      <c r="SIV20" s="413"/>
      <c r="SIW20" s="413"/>
      <c r="SIX20" s="413"/>
      <c r="SIY20" s="413"/>
      <c r="SIZ20" s="413"/>
      <c r="SJA20" s="413"/>
      <c r="SJB20" s="413"/>
      <c r="SJC20" s="413"/>
      <c r="SJD20" s="413"/>
      <c r="SJE20" s="413"/>
      <c r="SJF20" s="413"/>
      <c r="SJG20" s="413"/>
      <c r="SJH20" s="413"/>
      <c r="SJI20" s="413"/>
      <c r="SJJ20" s="413"/>
      <c r="SJK20" s="413"/>
      <c r="SJL20" s="413"/>
      <c r="SJM20" s="413"/>
      <c r="SJN20" s="413"/>
      <c r="SJO20" s="413"/>
      <c r="SJP20" s="413"/>
      <c r="SJQ20" s="413"/>
      <c r="SJR20" s="413"/>
      <c r="SJS20" s="413"/>
      <c r="SJT20" s="413"/>
      <c r="SJU20" s="413"/>
      <c r="SJV20" s="413"/>
      <c r="SJW20" s="413"/>
      <c r="SJX20" s="413"/>
      <c r="SJY20" s="413"/>
      <c r="SJZ20" s="413"/>
      <c r="SKA20" s="413"/>
      <c r="SKB20" s="413"/>
      <c r="SKC20" s="413"/>
      <c r="SKD20" s="413"/>
      <c r="SKE20" s="413"/>
      <c r="SKF20" s="413"/>
      <c r="SKG20" s="413"/>
      <c r="SKH20" s="413"/>
      <c r="SKI20" s="413"/>
      <c r="SKJ20" s="413"/>
      <c r="SKK20" s="413"/>
      <c r="SKL20" s="413"/>
      <c r="SKM20" s="413"/>
      <c r="SKN20" s="413"/>
      <c r="SKO20" s="413"/>
      <c r="SKP20" s="413"/>
      <c r="SKQ20" s="413"/>
      <c r="SKR20" s="413"/>
      <c r="SKS20" s="413"/>
      <c r="SKT20" s="413"/>
      <c r="SKU20" s="413"/>
      <c r="SKV20" s="413"/>
      <c r="SKW20" s="413"/>
      <c r="SKX20" s="413"/>
      <c r="SKY20" s="413"/>
      <c r="SKZ20" s="413"/>
      <c r="SLA20" s="413"/>
      <c r="SLB20" s="413"/>
      <c r="SLC20" s="413"/>
      <c r="SLD20" s="413"/>
      <c r="SLE20" s="413"/>
      <c r="SLF20" s="413"/>
      <c r="SLG20" s="413"/>
      <c r="SLH20" s="413"/>
      <c r="SLI20" s="413"/>
      <c r="SLJ20" s="413"/>
      <c r="SLK20" s="413"/>
      <c r="SLL20" s="413"/>
      <c r="SLM20" s="413"/>
      <c r="SLN20" s="413"/>
      <c r="SLO20" s="413"/>
      <c r="SLP20" s="413"/>
      <c r="SLQ20" s="413"/>
      <c r="SLR20" s="413"/>
      <c r="SLS20" s="413"/>
      <c r="SLT20" s="413"/>
      <c r="SLU20" s="413"/>
      <c r="SLV20" s="413"/>
      <c r="SLW20" s="413"/>
      <c r="SLX20" s="413"/>
      <c r="SLY20" s="413"/>
      <c r="SLZ20" s="413"/>
      <c r="SMA20" s="413"/>
      <c r="SMB20" s="413"/>
      <c r="SMC20" s="413"/>
      <c r="SMD20" s="413"/>
      <c r="SME20" s="413"/>
      <c r="SMF20" s="413"/>
      <c r="SMG20" s="413"/>
      <c r="SMH20" s="413"/>
      <c r="SMI20" s="413"/>
      <c r="SMJ20" s="413"/>
      <c r="SMK20" s="413"/>
      <c r="SML20" s="413"/>
      <c r="SMM20" s="413"/>
      <c r="SMN20" s="413"/>
      <c r="SMO20" s="413"/>
      <c r="SMP20" s="413"/>
      <c r="SMQ20" s="413"/>
      <c r="SMR20" s="413"/>
      <c r="SMS20" s="413"/>
      <c r="SMT20" s="413"/>
      <c r="SMU20" s="413"/>
      <c r="SMV20" s="413"/>
      <c r="SMW20" s="413"/>
      <c r="SMX20" s="413"/>
      <c r="SMY20" s="413"/>
      <c r="SMZ20" s="413"/>
      <c r="SNA20" s="413"/>
      <c r="SNB20" s="413"/>
      <c r="SNC20" s="413"/>
      <c r="SND20" s="413"/>
      <c r="SNE20" s="413"/>
      <c r="SNF20" s="413"/>
      <c r="SNG20" s="413"/>
      <c r="SNH20" s="413"/>
      <c r="SNI20" s="413"/>
      <c r="SNJ20" s="413"/>
      <c r="SNK20" s="413"/>
      <c r="SNL20" s="413"/>
      <c r="SNM20" s="413"/>
      <c r="SNN20" s="413"/>
      <c r="SNO20" s="413"/>
      <c r="SNP20" s="413"/>
      <c r="SNQ20" s="413"/>
      <c r="SNR20" s="413"/>
      <c r="SNS20" s="413"/>
      <c r="SNT20" s="413"/>
      <c r="SNU20" s="413"/>
      <c r="SNV20" s="413"/>
      <c r="SNW20" s="413"/>
      <c r="SNX20" s="413"/>
      <c r="SNY20" s="413"/>
      <c r="SNZ20" s="413"/>
      <c r="SOA20" s="413"/>
      <c r="SOB20" s="413"/>
      <c r="SOC20" s="413"/>
      <c r="SOD20" s="413"/>
      <c r="SOE20" s="413"/>
      <c r="SOF20" s="413"/>
      <c r="SOG20" s="413"/>
      <c r="SOH20" s="413"/>
      <c r="SOI20" s="413"/>
      <c r="SOJ20" s="413"/>
      <c r="SOK20" s="413"/>
      <c r="SOL20" s="413"/>
      <c r="SOM20" s="413"/>
      <c r="SON20" s="413"/>
      <c r="SOO20" s="413"/>
      <c r="SOP20" s="413"/>
      <c r="SOQ20" s="413"/>
      <c r="SOR20" s="413"/>
      <c r="SOS20" s="413"/>
      <c r="SOT20" s="413"/>
      <c r="SOU20" s="413"/>
      <c r="SOV20" s="413"/>
      <c r="SOW20" s="413"/>
      <c r="SOX20" s="413"/>
      <c r="SOY20" s="413"/>
      <c r="SOZ20" s="413"/>
      <c r="SPA20" s="413"/>
      <c r="SPB20" s="413"/>
      <c r="SPC20" s="413"/>
      <c r="SPD20" s="413"/>
      <c r="SPE20" s="413"/>
      <c r="SPF20" s="413"/>
      <c r="SPG20" s="413"/>
      <c r="SPH20" s="413"/>
      <c r="SPI20" s="413"/>
      <c r="SPJ20" s="413"/>
      <c r="SPK20" s="413"/>
      <c r="SPL20" s="413"/>
      <c r="SPM20" s="413"/>
      <c r="SPN20" s="413"/>
      <c r="SPO20" s="413"/>
      <c r="SPP20" s="413"/>
      <c r="SPQ20" s="413"/>
      <c r="SPR20" s="413"/>
      <c r="SPS20" s="413"/>
      <c r="SPT20" s="413"/>
      <c r="SPU20" s="413"/>
      <c r="SPV20" s="413"/>
      <c r="SPW20" s="413"/>
      <c r="SPX20" s="413"/>
      <c r="SPY20" s="413"/>
      <c r="SPZ20" s="413"/>
      <c r="SQA20" s="413"/>
      <c r="SQB20" s="413"/>
      <c r="SQC20" s="413"/>
      <c r="SQD20" s="413"/>
      <c r="SQE20" s="413"/>
      <c r="SQF20" s="413"/>
      <c r="SQG20" s="413"/>
      <c r="SQH20" s="413"/>
      <c r="SQI20" s="413"/>
      <c r="SQJ20" s="413"/>
      <c r="SQK20" s="413"/>
      <c r="SQL20" s="413"/>
      <c r="SQM20" s="413"/>
      <c r="SQN20" s="413"/>
      <c r="SQO20" s="413"/>
      <c r="SQP20" s="413"/>
      <c r="SQQ20" s="413"/>
      <c r="SQR20" s="413"/>
      <c r="SQS20" s="413"/>
      <c r="SQT20" s="413"/>
      <c r="SQU20" s="413"/>
      <c r="SQV20" s="413"/>
      <c r="SQW20" s="413"/>
      <c r="SQX20" s="413"/>
      <c r="SQY20" s="413"/>
      <c r="SQZ20" s="413"/>
      <c r="SRA20" s="413"/>
      <c r="SRB20" s="413"/>
      <c r="SRC20" s="413"/>
      <c r="SRD20" s="413"/>
      <c r="SRE20" s="413"/>
      <c r="SRF20" s="413"/>
      <c r="SRG20" s="413"/>
      <c r="SRH20" s="413"/>
      <c r="SRI20" s="413"/>
      <c r="SRJ20" s="413"/>
      <c r="SRK20" s="413"/>
      <c r="SRL20" s="413"/>
      <c r="SRM20" s="413"/>
      <c r="SRN20" s="413"/>
      <c r="SRO20" s="413"/>
      <c r="SRP20" s="413"/>
      <c r="SRQ20" s="413"/>
      <c r="SRR20" s="413"/>
      <c r="SRS20" s="413"/>
      <c r="SRT20" s="413"/>
      <c r="SRU20" s="413"/>
      <c r="SRV20" s="413"/>
      <c r="SRW20" s="413"/>
      <c r="SRX20" s="413"/>
      <c r="SRY20" s="413"/>
      <c r="SRZ20" s="413"/>
      <c r="SSA20" s="413"/>
      <c r="SSB20" s="413"/>
      <c r="SSC20" s="413"/>
      <c r="SSD20" s="413"/>
      <c r="SSE20" s="413"/>
      <c r="SSF20" s="413"/>
      <c r="SSG20" s="413"/>
      <c r="SSH20" s="413"/>
      <c r="SSI20" s="413"/>
      <c r="SSJ20" s="413"/>
      <c r="SSK20" s="413"/>
      <c r="SSL20" s="413"/>
      <c r="SSM20" s="413"/>
      <c r="SSN20" s="413"/>
      <c r="SSO20" s="413"/>
      <c r="SSP20" s="413"/>
      <c r="SSQ20" s="413"/>
      <c r="SSR20" s="413"/>
      <c r="SSS20" s="413"/>
      <c r="SST20" s="413"/>
      <c r="SSU20" s="413"/>
      <c r="SSV20" s="413"/>
      <c r="SSW20" s="413"/>
      <c r="SSX20" s="413"/>
      <c r="SSY20" s="413"/>
      <c r="SSZ20" s="413"/>
      <c r="STA20" s="413"/>
      <c r="STB20" s="413"/>
      <c r="STC20" s="413"/>
      <c r="STD20" s="413"/>
      <c r="STE20" s="413"/>
      <c r="STF20" s="413"/>
      <c r="STG20" s="413"/>
      <c r="STH20" s="413"/>
      <c r="STI20" s="413"/>
      <c r="STJ20" s="413"/>
      <c r="STK20" s="413"/>
      <c r="STL20" s="413"/>
      <c r="STM20" s="413"/>
      <c r="STN20" s="413"/>
      <c r="STO20" s="413"/>
      <c r="STP20" s="413"/>
      <c r="STQ20" s="413"/>
      <c r="STR20" s="413"/>
      <c r="STS20" s="413"/>
      <c r="STT20" s="413"/>
      <c r="STU20" s="413"/>
      <c r="STV20" s="413"/>
      <c r="STW20" s="413"/>
      <c r="STX20" s="413"/>
      <c r="STY20" s="413"/>
      <c r="STZ20" s="413"/>
      <c r="SUA20" s="413"/>
      <c r="SUB20" s="413"/>
      <c r="SUC20" s="413"/>
      <c r="SUD20" s="413"/>
      <c r="SUE20" s="413"/>
      <c r="SUF20" s="413"/>
      <c r="SUG20" s="413"/>
      <c r="SUH20" s="413"/>
      <c r="SUI20" s="413"/>
      <c r="SUJ20" s="413"/>
      <c r="SUK20" s="413"/>
      <c r="SUL20" s="413"/>
      <c r="SUM20" s="413"/>
      <c r="SUN20" s="413"/>
      <c r="SUO20" s="413"/>
      <c r="SUP20" s="413"/>
      <c r="SUQ20" s="413"/>
      <c r="SUR20" s="413"/>
      <c r="SUS20" s="413"/>
      <c r="SUT20" s="413"/>
      <c r="SUU20" s="413"/>
      <c r="SUV20" s="413"/>
      <c r="SUW20" s="413"/>
      <c r="SUX20" s="413"/>
      <c r="SUY20" s="413"/>
      <c r="SUZ20" s="413"/>
      <c r="SVA20" s="413"/>
      <c r="SVB20" s="413"/>
      <c r="SVC20" s="413"/>
      <c r="SVD20" s="413"/>
      <c r="SVE20" s="413"/>
      <c r="SVF20" s="413"/>
      <c r="SVG20" s="413"/>
      <c r="SVH20" s="413"/>
      <c r="SVI20" s="413"/>
      <c r="SVJ20" s="413"/>
      <c r="SVK20" s="413"/>
      <c r="SVL20" s="413"/>
      <c r="SVM20" s="413"/>
      <c r="SVN20" s="413"/>
      <c r="SVO20" s="413"/>
      <c r="SVP20" s="413"/>
      <c r="SVQ20" s="413"/>
      <c r="SVR20" s="413"/>
      <c r="SVS20" s="413"/>
      <c r="SVT20" s="413"/>
      <c r="SVU20" s="413"/>
      <c r="SVV20" s="413"/>
      <c r="SVW20" s="413"/>
      <c r="SVX20" s="413"/>
      <c r="SVY20" s="413"/>
      <c r="SVZ20" s="413"/>
      <c r="SWA20" s="413"/>
      <c r="SWB20" s="413"/>
      <c r="SWC20" s="413"/>
      <c r="SWD20" s="413"/>
      <c r="SWE20" s="413"/>
      <c r="SWF20" s="413"/>
      <c r="SWG20" s="413"/>
      <c r="SWH20" s="413"/>
      <c r="SWI20" s="413"/>
      <c r="SWJ20" s="413"/>
      <c r="SWK20" s="413"/>
      <c r="SWL20" s="413"/>
      <c r="SWM20" s="413"/>
      <c r="SWN20" s="413"/>
      <c r="SWO20" s="413"/>
      <c r="SWP20" s="413"/>
      <c r="SWQ20" s="413"/>
      <c r="SWR20" s="413"/>
      <c r="SWS20" s="413"/>
      <c r="SWT20" s="413"/>
      <c r="SWU20" s="413"/>
      <c r="SWV20" s="413"/>
      <c r="SWW20" s="413"/>
      <c r="SWX20" s="413"/>
      <c r="SWY20" s="413"/>
      <c r="SWZ20" s="413"/>
      <c r="SXA20" s="413"/>
      <c r="SXB20" s="413"/>
      <c r="SXC20" s="413"/>
      <c r="SXD20" s="413"/>
      <c r="SXE20" s="413"/>
      <c r="SXF20" s="413"/>
      <c r="SXG20" s="413"/>
      <c r="SXH20" s="413"/>
      <c r="SXI20" s="413"/>
      <c r="SXJ20" s="413"/>
      <c r="SXK20" s="413"/>
      <c r="SXL20" s="413"/>
      <c r="SXM20" s="413"/>
      <c r="SXN20" s="413"/>
      <c r="SXO20" s="413"/>
      <c r="SXP20" s="413"/>
      <c r="SXQ20" s="413"/>
      <c r="SXR20" s="413"/>
      <c r="SXS20" s="413"/>
      <c r="SXT20" s="413"/>
      <c r="SXU20" s="413"/>
      <c r="SXV20" s="413"/>
      <c r="SXW20" s="413"/>
      <c r="SXX20" s="413"/>
      <c r="SXY20" s="413"/>
      <c r="SXZ20" s="413"/>
      <c r="SYA20" s="413"/>
      <c r="SYB20" s="413"/>
      <c r="SYC20" s="413"/>
      <c r="SYD20" s="413"/>
      <c r="SYE20" s="413"/>
      <c r="SYF20" s="413"/>
      <c r="SYG20" s="413"/>
      <c r="SYH20" s="413"/>
      <c r="SYI20" s="413"/>
      <c r="SYJ20" s="413"/>
      <c r="SYK20" s="413"/>
      <c r="SYL20" s="413"/>
      <c r="SYM20" s="413"/>
      <c r="SYN20" s="413"/>
      <c r="SYO20" s="413"/>
      <c r="SYP20" s="413"/>
      <c r="SYQ20" s="413"/>
      <c r="SYR20" s="413"/>
      <c r="SYS20" s="413"/>
      <c r="SYT20" s="413"/>
      <c r="SYU20" s="413"/>
      <c r="SYV20" s="413"/>
      <c r="SYW20" s="413"/>
      <c r="SYX20" s="413"/>
      <c r="SYY20" s="413"/>
      <c r="SYZ20" s="413"/>
      <c r="SZA20" s="413"/>
      <c r="SZB20" s="413"/>
      <c r="SZC20" s="413"/>
      <c r="SZD20" s="413"/>
      <c r="SZE20" s="413"/>
      <c r="SZF20" s="413"/>
      <c r="SZG20" s="413"/>
      <c r="SZH20" s="413"/>
      <c r="SZI20" s="413"/>
      <c r="SZJ20" s="413"/>
      <c r="SZK20" s="413"/>
      <c r="SZL20" s="413"/>
      <c r="SZM20" s="413"/>
      <c r="SZN20" s="413"/>
      <c r="SZO20" s="413"/>
      <c r="SZP20" s="413"/>
      <c r="SZQ20" s="413"/>
      <c r="SZR20" s="413"/>
      <c r="SZS20" s="413"/>
      <c r="SZT20" s="413"/>
      <c r="SZU20" s="413"/>
      <c r="SZV20" s="413"/>
      <c r="SZW20" s="413"/>
      <c r="SZX20" s="413"/>
      <c r="SZY20" s="413"/>
      <c r="SZZ20" s="413"/>
      <c r="TAA20" s="413"/>
      <c r="TAB20" s="413"/>
      <c r="TAC20" s="413"/>
      <c r="TAD20" s="413"/>
      <c r="TAE20" s="413"/>
      <c r="TAF20" s="413"/>
      <c r="TAG20" s="413"/>
      <c r="TAH20" s="413"/>
      <c r="TAI20" s="413"/>
      <c r="TAJ20" s="413"/>
      <c r="TAK20" s="413"/>
      <c r="TAL20" s="413"/>
      <c r="TAM20" s="413"/>
      <c r="TAN20" s="413"/>
      <c r="TAO20" s="413"/>
      <c r="TAP20" s="413"/>
      <c r="TAQ20" s="413"/>
      <c r="TAR20" s="413"/>
      <c r="TAS20" s="413"/>
      <c r="TAT20" s="413"/>
      <c r="TAU20" s="413"/>
      <c r="TAV20" s="413"/>
      <c r="TAW20" s="413"/>
      <c r="TAX20" s="413"/>
      <c r="TAY20" s="413"/>
      <c r="TAZ20" s="413"/>
      <c r="TBA20" s="413"/>
      <c r="TBB20" s="413"/>
      <c r="TBC20" s="413"/>
      <c r="TBD20" s="413"/>
      <c r="TBE20" s="413"/>
      <c r="TBF20" s="413"/>
      <c r="TBG20" s="413"/>
      <c r="TBH20" s="413"/>
      <c r="TBI20" s="413"/>
      <c r="TBJ20" s="413"/>
      <c r="TBK20" s="413"/>
      <c r="TBL20" s="413"/>
      <c r="TBM20" s="413"/>
      <c r="TBN20" s="413"/>
      <c r="TBO20" s="413"/>
      <c r="TBP20" s="413"/>
      <c r="TBQ20" s="413"/>
      <c r="TBR20" s="413"/>
      <c r="TBS20" s="413"/>
      <c r="TBT20" s="413"/>
      <c r="TBU20" s="413"/>
      <c r="TBV20" s="413"/>
      <c r="TBW20" s="413"/>
      <c r="TBX20" s="413"/>
      <c r="TBY20" s="413"/>
      <c r="TBZ20" s="413"/>
      <c r="TCA20" s="413"/>
      <c r="TCB20" s="413"/>
      <c r="TCC20" s="413"/>
      <c r="TCD20" s="413"/>
      <c r="TCE20" s="413"/>
      <c r="TCF20" s="413"/>
      <c r="TCG20" s="413"/>
      <c r="TCH20" s="413"/>
      <c r="TCI20" s="413"/>
      <c r="TCJ20" s="413"/>
      <c r="TCK20" s="413"/>
      <c r="TCL20" s="413"/>
      <c r="TCM20" s="413"/>
      <c r="TCN20" s="413"/>
      <c r="TCO20" s="413"/>
      <c r="TCP20" s="413"/>
      <c r="TCQ20" s="413"/>
      <c r="TCR20" s="413"/>
      <c r="TCS20" s="413"/>
      <c r="TCT20" s="413"/>
      <c r="TCU20" s="413"/>
      <c r="TCV20" s="413"/>
      <c r="TCW20" s="413"/>
      <c r="TCX20" s="413"/>
      <c r="TCY20" s="413"/>
      <c r="TCZ20" s="413"/>
      <c r="TDA20" s="413"/>
      <c r="TDB20" s="413"/>
      <c r="TDC20" s="413"/>
      <c r="TDD20" s="413"/>
      <c r="TDE20" s="413"/>
      <c r="TDF20" s="413"/>
      <c r="TDG20" s="413"/>
      <c r="TDH20" s="413"/>
      <c r="TDI20" s="413"/>
      <c r="TDJ20" s="413"/>
      <c r="TDK20" s="413"/>
      <c r="TDL20" s="413"/>
      <c r="TDM20" s="413"/>
      <c r="TDN20" s="413"/>
      <c r="TDO20" s="413"/>
      <c r="TDP20" s="413"/>
      <c r="TDQ20" s="413"/>
      <c r="TDR20" s="413"/>
      <c r="TDS20" s="413"/>
      <c r="TDT20" s="413"/>
      <c r="TDU20" s="413"/>
      <c r="TDV20" s="413"/>
      <c r="TDW20" s="413"/>
      <c r="TDX20" s="413"/>
      <c r="TDY20" s="413"/>
      <c r="TDZ20" s="413"/>
      <c r="TEA20" s="413"/>
      <c r="TEB20" s="413"/>
      <c r="TEC20" s="413"/>
      <c r="TED20" s="413"/>
      <c r="TEE20" s="413"/>
      <c r="TEF20" s="413"/>
      <c r="TEG20" s="413"/>
      <c r="TEH20" s="413"/>
      <c r="TEI20" s="413"/>
      <c r="TEJ20" s="413"/>
      <c r="TEK20" s="413"/>
      <c r="TEL20" s="413"/>
      <c r="TEM20" s="413"/>
      <c r="TEN20" s="413"/>
      <c r="TEO20" s="413"/>
      <c r="TEP20" s="413"/>
      <c r="TEQ20" s="413"/>
      <c r="TER20" s="413"/>
      <c r="TES20" s="413"/>
      <c r="TET20" s="413"/>
      <c r="TEU20" s="413"/>
      <c r="TEV20" s="413"/>
      <c r="TEW20" s="413"/>
      <c r="TEX20" s="413"/>
      <c r="TEY20" s="413"/>
      <c r="TEZ20" s="413"/>
      <c r="TFA20" s="413"/>
      <c r="TFB20" s="413"/>
      <c r="TFC20" s="413"/>
      <c r="TFD20" s="413"/>
      <c r="TFE20" s="413"/>
      <c r="TFF20" s="413"/>
      <c r="TFG20" s="413"/>
      <c r="TFH20" s="413"/>
      <c r="TFI20" s="413"/>
      <c r="TFJ20" s="413"/>
      <c r="TFK20" s="413"/>
      <c r="TFL20" s="413"/>
      <c r="TFM20" s="413"/>
      <c r="TFN20" s="413"/>
      <c r="TFO20" s="413"/>
      <c r="TFP20" s="413"/>
      <c r="TFQ20" s="413"/>
      <c r="TFR20" s="413"/>
      <c r="TFS20" s="413"/>
      <c r="TFT20" s="413"/>
      <c r="TFU20" s="413"/>
      <c r="TFV20" s="413"/>
      <c r="TFW20" s="413"/>
      <c r="TFX20" s="413"/>
      <c r="TFY20" s="413"/>
      <c r="TFZ20" s="413"/>
      <c r="TGA20" s="413"/>
      <c r="TGB20" s="413"/>
      <c r="TGC20" s="413"/>
      <c r="TGD20" s="413"/>
      <c r="TGE20" s="413"/>
      <c r="TGF20" s="413"/>
      <c r="TGG20" s="413"/>
      <c r="TGH20" s="413"/>
      <c r="TGI20" s="413"/>
      <c r="TGJ20" s="413"/>
      <c r="TGK20" s="413"/>
      <c r="TGL20" s="413"/>
      <c r="TGM20" s="413"/>
      <c r="TGN20" s="413"/>
      <c r="TGO20" s="413"/>
      <c r="TGP20" s="413"/>
      <c r="TGQ20" s="413"/>
      <c r="TGR20" s="413"/>
      <c r="TGS20" s="413"/>
      <c r="TGT20" s="413"/>
      <c r="TGU20" s="413"/>
      <c r="TGV20" s="413"/>
      <c r="TGW20" s="413"/>
      <c r="TGX20" s="413"/>
      <c r="TGY20" s="413"/>
      <c r="TGZ20" s="413"/>
      <c r="THA20" s="413"/>
      <c r="THB20" s="413"/>
      <c r="THC20" s="413"/>
      <c r="THD20" s="413"/>
      <c r="THE20" s="413"/>
      <c r="THF20" s="413"/>
      <c r="THG20" s="413"/>
      <c r="THH20" s="413"/>
      <c r="THI20" s="413"/>
      <c r="THJ20" s="413"/>
      <c r="THK20" s="413"/>
      <c r="THL20" s="413"/>
      <c r="THM20" s="413"/>
      <c r="THN20" s="413"/>
      <c r="THO20" s="413"/>
      <c r="THP20" s="413"/>
      <c r="THQ20" s="413"/>
      <c r="THR20" s="413"/>
      <c r="THS20" s="413"/>
      <c r="THT20" s="413"/>
      <c r="THU20" s="413"/>
      <c r="THV20" s="413"/>
      <c r="THW20" s="413"/>
      <c r="THX20" s="413"/>
      <c r="THY20" s="413"/>
      <c r="THZ20" s="413"/>
      <c r="TIA20" s="413"/>
      <c r="TIB20" s="413"/>
      <c r="TIC20" s="413"/>
      <c r="TID20" s="413"/>
      <c r="TIE20" s="413"/>
      <c r="TIF20" s="413"/>
      <c r="TIG20" s="413"/>
      <c r="TIH20" s="413"/>
      <c r="TII20" s="413"/>
      <c r="TIJ20" s="413"/>
      <c r="TIK20" s="413"/>
      <c r="TIL20" s="413"/>
      <c r="TIM20" s="413"/>
      <c r="TIN20" s="413"/>
      <c r="TIO20" s="413"/>
      <c r="TIP20" s="413"/>
      <c r="TIQ20" s="413"/>
      <c r="TIR20" s="413"/>
      <c r="TIS20" s="413"/>
      <c r="TIT20" s="413"/>
      <c r="TIU20" s="413"/>
      <c r="TIV20" s="413"/>
      <c r="TIW20" s="413"/>
      <c r="TIX20" s="413"/>
      <c r="TIY20" s="413"/>
      <c r="TIZ20" s="413"/>
      <c r="TJA20" s="413"/>
      <c r="TJB20" s="413"/>
      <c r="TJC20" s="413"/>
      <c r="TJD20" s="413"/>
      <c r="TJE20" s="413"/>
      <c r="TJF20" s="413"/>
      <c r="TJG20" s="413"/>
      <c r="TJH20" s="413"/>
      <c r="TJI20" s="413"/>
      <c r="TJJ20" s="413"/>
      <c r="TJK20" s="413"/>
      <c r="TJL20" s="413"/>
      <c r="TJM20" s="413"/>
      <c r="TJN20" s="413"/>
      <c r="TJO20" s="413"/>
      <c r="TJP20" s="413"/>
      <c r="TJQ20" s="413"/>
      <c r="TJR20" s="413"/>
      <c r="TJS20" s="413"/>
      <c r="TJT20" s="413"/>
      <c r="TJU20" s="413"/>
      <c r="TJV20" s="413"/>
      <c r="TJW20" s="413"/>
      <c r="TJX20" s="413"/>
      <c r="TJY20" s="413"/>
      <c r="TJZ20" s="413"/>
      <c r="TKA20" s="413"/>
      <c r="TKB20" s="413"/>
      <c r="TKC20" s="413"/>
      <c r="TKD20" s="413"/>
      <c r="TKE20" s="413"/>
      <c r="TKF20" s="413"/>
      <c r="TKG20" s="413"/>
      <c r="TKH20" s="413"/>
      <c r="TKI20" s="413"/>
      <c r="TKJ20" s="413"/>
      <c r="TKK20" s="413"/>
      <c r="TKL20" s="413"/>
      <c r="TKM20" s="413"/>
      <c r="TKN20" s="413"/>
      <c r="TKO20" s="413"/>
      <c r="TKP20" s="413"/>
      <c r="TKQ20" s="413"/>
      <c r="TKR20" s="413"/>
      <c r="TKS20" s="413"/>
      <c r="TKT20" s="413"/>
      <c r="TKU20" s="413"/>
      <c r="TKV20" s="413"/>
      <c r="TKW20" s="413"/>
      <c r="TKX20" s="413"/>
      <c r="TKY20" s="413"/>
      <c r="TKZ20" s="413"/>
      <c r="TLA20" s="413"/>
      <c r="TLB20" s="413"/>
      <c r="TLC20" s="413"/>
      <c r="TLD20" s="413"/>
      <c r="TLE20" s="413"/>
      <c r="TLF20" s="413"/>
      <c r="TLG20" s="413"/>
      <c r="TLH20" s="413"/>
      <c r="TLI20" s="413"/>
      <c r="TLJ20" s="413"/>
      <c r="TLK20" s="413"/>
      <c r="TLL20" s="413"/>
      <c r="TLM20" s="413"/>
      <c r="TLN20" s="413"/>
      <c r="TLO20" s="413"/>
      <c r="TLP20" s="413"/>
      <c r="TLQ20" s="413"/>
      <c r="TLR20" s="413"/>
      <c r="TLS20" s="413"/>
      <c r="TLT20" s="413"/>
      <c r="TLU20" s="413"/>
      <c r="TLV20" s="413"/>
      <c r="TLW20" s="413"/>
      <c r="TLX20" s="413"/>
      <c r="TLY20" s="413"/>
      <c r="TLZ20" s="413"/>
      <c r="TMA20" s="413"/>
      <c r="TMB20" s="413"/>
      <c r="TMC20" s="413"/>
      <c r="TMD20" s="413"/>
      <c r="TME20" s="413"/>
      <c r="TMF20" s="413"/>
      <c r="TMG20" s="413"/>
      <c r="TMH20" s="413"/>
      <c r="TMI20" s="413"/>
      <c r="TMJ20" s="413"/>
      <c r="TMK20" s="413"/>
      <c r="TML20" s="413"/>
      <c r="TMM20" s="413"/>
      <c r="TMN20" s="413"/>
      <c r="TMO20" s="413"/>
      <c r="TMP20" s="413"/>
      <c r="TMQ20" s="413"/>
      <c r="TMR20" s="413"/>
      <c r="TMS20" s="413"/>
      <c r="TMT20" s="413"/>
      <c r="TMU20" s="413"/>
      <c r="TMV20" s="413"/>
      <c r="TMW20" s="413"/>
      <c r="TMX20" s="413"/>
      <c r="TMY20" s="413"/>
      <c r="TMZ20" s="413"/>
      <c r="TNA20" s="413"/>
      <c r="TNB20" s="413"/>
      <c r="TNC20" s="413"/>
      <c r="TND20" s="413"/>
      <c r="TNE20" s="413"/>
      <c r="TNF20" s="413"/>
      <c r="TNG20" s="413"/>
      <c r="TNH20" s="413"/>
      <c r="TNI20" s="413"/>
      <c r="TNJ20" s="413"/>
      <c r="TNK20" s="413"/>
      <c r="TNL20" s="413"/>
      <c r="TNM20" s="413"/>
      <c r="TNN20" s="413"/>
      <c r="TNO20" s="413"/>
      <c r="TNP20" s="413"/>
      <c r="TNQ20" s="413"/>
      <c r="TNR20" s="413"/>
      <c r="TNS20" s="413"/>
      <c r="TNT20" s="413"/>
      <c r="TNU20" s="413"/>
      <c r="TNV20" s="413"/>
      <c r="TNW20" s="413"/>
      <c r="TNX20" s="413"/>
      <c r="TNY20" s="413"/>
      <c r="TNZ20" s="413"/>
      <c r="TOA20" s="413"/>
      <c r="TOB20" s="413"/>
      <c r="TOC20" s="413"/>
      <c r="TOD20" s="413"/>
      <c r="TOE20" s="413"/>
      <c r="TOF20" s="413"/>
      <c r="TOG20" s="413"/>
      <c r="TOH20" s="413"/>
      <c r="TOI20" s="413"/>
      <c r="TOJ20" s="413"/>
      <c r="TOK20" s="413"/>
      <c r="TOL20" s="413"/>
      <c r="TOM20" s="413"/>
      <c r="TON20" s="413"/>
      <c r="TOO20" s="413"/>
      <c r="TOP20" s="413"/>
      <c r="TOQ20" s="413"/>
      <c r="TOR20" s="413"/>
      <c r="TOS20" s="413"/>
      <c r="TOT20" s="413"/>
      <c r="TOU20" s="413"/>
      <c r="TOV20" s="413"/>
      <c r="TOW20" s="413"/>
      <c r="TOX20" s="413"/>
      <c r="TOY20" s="413"/>
      <c r="TOZ20" s="413"/>
      <c r="TPA20" s="413"/>
      <c r="TPB20" s="413"/>
      <c r="TPC20" s="413"/>
      <c r="TPD20" s="413"/>
      <c r="TPE20" s="413"/>
      <c r="TPF20" s="413"/>
      <c r="TPG20" s="413"/>
      <c r="TPH20" s="413"/>
      <c r="TPI20" s="413"/>
      <c r="TPJ20" s="413"/>
      <c r="TPK20" s="413"/>
      <c r="TPL20" s="413"/>
      <c r="TPM20" s="413"/>
      <c r="TPN20" s="413"/>
      <c r="TPO20" s="413"/>
      <c r="TPP20" s="413"/>
      <c r="TPQ20" s="413"/>
      <c r="TPR20" s="413"/>
      <c r="TPS20" s="413"/>
      <c r="TPT20" s="413"/>
      <c r="TPU20" s="413"/>
      <c r="TPV20" s="413"/>
      <c r="TPW20" s="413"/>
      <c r="TPX20" s="413"/>
      <c r="TPY20" s="413"/>
      <c r="TPZ20" s="413"/>
      <c r="TQA20" s="413"/>
      <c r="TQB20" s="413"/>
      <c r="TQC20" s="413"/>
      <c r="TQD20" s="413"/>
      <c r="TQE20" s="413"/>
      <c r="TQF20" s="413"/>
      <c r="TQG20" s="413"/>
      <c r="TQH20" s="413"/>
      <c r="TQI20" s="413"/>
      <c r="TQJ20" s="413"/>
      <c r="TQK20" s="413"/>
      <c r="TQL20" s="413"/>
      <c r="TQM20" s="413"/>
      <c r="TQN20" s="413"/>
      <c r="TQO20" s="413"/>
      <c r="TQP20" s="413"/>
      <c r="TQQ20" s="413"/>
      <c r="TQR20" s="413"/>
      <c r="TQS20" s="413"/>
      <c r="TQT20" s="413"/>
      <c r="TQU20" s="413"/>
      <c r="TQV20" s="413"/>
      <c r="TQW20" s="413"/>
      <c r="TQX20" s="413"/>
      <c r="TQY20" s="413"/>
      <c r="TQZ20" s="413"/>
      <c r="TRA20" s="413"/>
      <c r="TRB20" s="413"/>
      <c r="TRC20" s="413"/>
      <c r="TRD20" s="413"/>
      <c r="TRE20" s="413"/>
      <c r="TRF20" s="413"/>
      <c r="TRG20" s="413"/>
      <c r="TRH20" s="413"/>
      <c r="TRI20" s="413"/>
      <c r="TRJ20" s="413"/>
      <c r="TRK20" s="413"/>
      <c r="TRL20" s="413"/>
      <c r="TRM20" s="413"/>
      <c r="TRN20" s="413"/>
      <c r="TRO20" s="413"/>
      <c r="TRP20" s="413"/>
      <c r="TRQ20" s="413"/>
      <c r="TRR20" s="413"/>
      <c r="TRS20" s="413"/>
      <c r="TRT20" s="413"/>
      <c r="TRU20" s="413"/>
      <c r="TRV20" s="413"/>
      <c r="TRW20" s="413"/>
      <c r="TRX20" s="413"/>
      <c r="TRY20" s="413"/>
      <c r="TRZ20" s="413"/>
      <c r="TSA20" s="413"/>
      <c r="TSB20" s="413"/>
      <c r="TSC20" s="413"/>
      <c r="TSD20" s="413"/>
      <c r="TSE20" s="413"/>
      <c r="TSF20" s="413"/>
      <c r="TSG20" s="413"/>
      <c r="TSH20" s="413"/>
      <c r="TSI20" s="413"/>
      <c r="TSJ20" s="413"/>
      <c r="TSK20" s="413"/>
      <c r="TSL20" s="413"/>
      <c r="TSM20" s="413"/>
      <c r="TSN20" s="413"/>
      <c r="TSO20" s="413"/>
      <c r="TSP20" s="413"/>
      <c r="TSQ20" s="413"/>
      <c r="TSR20" s="413"/>
      <c r="TSS20" s="413"/>
      <c r="TST20" s="413"/>
      <c r="TSU20" s="413"/>
      <c r="TSV20" s="413"/>
      <c r="TSW20" s="413"/>
      <c r="TSX20" s="413"/>
      <c r="TSY20" s="413"/>
      <c r="TSZ20" s="413"/>
      <c r="TTA20" s="413"/>
      <c r="TTB20" s="413"/>
      <c r="TTC20" s="413"/>
      <c r="TTD20" s="413"/>
      <c r="TTE20" s="413"/>
      <c r="TTF20" s="413"/>
      <c r="TTG20" s="413"/>
      <c r="TTH20" s="413"/>
      <c r="TTI20" s="413"/>
      <c r="TTJ20" s="413"/>
      <c r="TTK20" s="413"/>
      <c r="TTL20" s="413"/>
      <c r="TTM20" s="413"/>
      <c r="TTN20" s="413"/>
      <c r="TTO20" s="413"/>
      <c r="TTP20" s="413"/>
      <c r="TTQ20" s="413"/>
      <c r="TTR20" s="413"/>
      <c r="TTS20" s="413"/>
      <c r="TTT20" s="413"/>
      <c r="TTU20" s="413"/>
      <c r="TTV20" s="413"/>
      <c r="TTW20" s="413"/>
      <c r="TTX20" s="413"/>
      <c r="TTY20" s="413"/>
      <c r="TTZ20" s="413"/>
      <c r="TUA20" s="413"/>
      <c r="TUB20" s="413"/>
      <c r="TUC20" s="413"/>
      <c r="TUD20" s="413"/>
      <c r="TUE20" s="413"/>
      <c r="TUF20" s="413"/>
      <c r="TUG20" s="413"/>
      <c r="TUH20" s="413"/>
      <c r="TUI20" s="413"/>
      <c r="TUJ20" s="413"/>
      <c r="TUK20" s="413"/>
      <c r="TUL20" s="413"/>
      <c r="TUM20" s="413"/>
      <c r="TUN20" s="413"/>
      <c r="TUO20" s="413"/>
      <c r="TUP20" s="413"/>
      <c r="TUQ20" s="413"/>
      <c r="TUR20" s="413"/>
      <c r="TUS20" s="413"/>
      <c r="TUT20" s="413"/>
      <c r="TUU20" s="413"/>
      <c r="TUV20" s="413"/>
      <c r="TUW20" s="413"/>
      <c r="TUX20" s="413"/>
      <c r="TUY20" s="413"/>
      <c r="TUZ20" s="413"/>
      <c r="TVA20" s="413"/>
      <c r="TVB20" s="413"/>
      <c r="TVC20" s="413"/>
      <c r="TVD20" s="413"/>
      <c r="TVE20" s="413"/>
      <c r="TVF20" s="413"/>
      <c r="TVG20" s="413"/>
      <c r="TVH20" s="413"/>
      <c r="TVI20" s="413"/>
      <c r="TVJ20" s="413"/>
      <c r="TVK20" s="413"/>
      <c r="TVL20" s="413"/>
      <c r="TVM20" s="413"/>
      <c r="TVN20" s="413"/>
      <c r="TVO20" s="413"/>
      <c r="TVP20" s="413"/>
      <c r="TVQ20" s="413"/>
      <c r="TVR20" s="413"/>
      <c r="TVS20" s="413"/>
      <c r="TVT20" s="413"/>
      <c r="TVU20" s="413"/>
      <c r="TVV20" s="413"/>
      <c r="TVW20" s="413"/>
      <c r="TVX20" s="413"/>
      <c r="TVY20" s="413"/>
      <c r="TVZ20" s="413"/>
      <c r="TWA20" s="413"/>
      <c r="TWB20" s="413"/>
      <c r="TWC20" s="413"/>
      <c r="TWD20" s="413"/>
      <c r="TWE20" s="413"/>
      <c r="TWF20" s="413"/>
      <c r="TWG20" s="413"/>
      <c r="TWH20" s="413"/>
      <c r="TWI20" s="413"/>
      <c r="TWJ20" s="413"/>
      <c r="TWK20" s="413"/>
      <c r="TWL20" s="413"/>
      <c r="TWM20" s="413"/>
      <c r="TWN20" s="413"/>
      <c r="TWO20" s="413"/>
      <c r="TWP20" s="413"/>
      <c r="TWQ20" s="413"/>
      <c r="TWR20" s="413"/>
      <c r="TWS20" s="413"/>
      <c r="TWT20" s="413"/>
      <c r="TWU20" s="413"/>
      <c r="TWV20" s="413"/>
      <c r="TWW20" s="413"/>
      <c r="TWX20" s="413"/>
      <c r="TWY20" s="413"/>
      <c r="TWZ20" s="413"/>
      <c r="TXA20" s="413"/>
      <c r="TXB20" s="413"/>
      <c r="TXC20" s="413"/>
      <c r="TXD20" s="413"/>
      <c r="TXE20" s="413"/>
      <c r="TXF20" s="413"/>
      <c r="TXG20" s="413"/>
      <c r="TXH20" s="413"/>
      <c r="TXI20" s="413"/>
      <c r="TXJ20" s="413"/>
      <c r="TXK20" s="413"/>
      <c r="TXL20" s="413"/>
      <c r="TXM20" s="413"/>
      <c r="TXN20" s="413"/>
      <c r="TXO20" s="413"/>
      <c r="TXP20" s="413"/>
      <c r="TXQ20" s="413"/>
      <c r="TXR20" s="413"/>
      <c r="TXS20" s="413"/>
      <c r="TXT20" s="413"/>
      <c r="TXU20" s="413"/>
      <c r="TXV20" s="413"/>
      <c r="TXW20" s="413"/>
      <c r="TXX20" s="413"/>
      <c r="TXY20" s="413"/>
      <c r="TXZ20" s="413"/>
      <c r="TYA20" s="413"/>
      <c r="TYB20" s="413"/>
      <c r="TYC20" s="413"/>
      <c r="TYD20" s="413"/>
      <c r="TYE20" s="413"/>
      <c r="TYF20" s="413"/>
      <c r="TYG20" s="413"/>
      <c r="TYH20" s="413"/>
      <c r="TYI20" s="413"/>
      <c r="TYJ20" s="413"/>
      <c r="TYK20" s="413"/>
      <c r="TYL20" s="413"/>
      <c r="TYM20" s="413"/>
      <c r="TYN20" s="413"/>
      <c r="TYO20" s="413"/>
      <c r="TYP20" s="413"/>
      <c r="TYQ20" s="413"/>
      <c r="TYR20" s="413"/>
      <c r="TYS20" s="413"/>
      <c r="TYT20" s="413"/>
      <c r="TYU20" s="413"/>
      <c r="TYV20" s="413"/>
      <c r="TYW20" s="413"/>
      <c r="TYX20" s="413"/>
      <c r="TYY20" s="413"/>
      <c r="TYZ20" s="413"/>
      <c r="TZA20" s="413"/>
      <c r="TZB20" s="413"/>
      <c r="TZC20" s="413"/>
      <c r="TZD20" s="413"/>
      <c r="TZE20" s="413"/>
      <c r="TZF20" s="413"/>
      <c r="TZG20" s="413"/>
      <c r="TZH20" s="413"/>
      <c r="TZI20" s="413"/>
      <c r="TZJ20" s="413"/>
      <c r="TZK20" s="413"/>
      <c r="TZL20" s="413"/>
      <c r="TZM20" s="413"/>
      <c r="TZN20" s="413"/>
      <c r="TZO20" s="413"/>
      <c r="TZP20" s="413"/>
      <c r="TZQ20" s="413"/>
      <c r="TZR20" s="413"/>
      <c r="TZS20" s="413"/>
      <c r="TZT20" s="413"/>
      <c r="TZU20" s="413"/>
      <c r="TZV20" s="413"/>
      <c r="TZW20" s="413"/>
      <c r="TZX20" s="413"/>
      <c r="TZY20" s="413"/>
      <c r="TZZ20" s="413"/>
      <c r="UAA20" s="413"/>
      <c r="UAB20" s="413"/>
      <c r="UAC20" s="413"/>
      <c r="UAD20" s="413"/>
      <c r="UAE20" s="413"/>
      <c r="UAF20" s="413"/>
      <c r="UAG20" s="413"/>
      <c r="UAH20" s="413"/>
      <c r="UAI20" s="413"/>
      <c r="UAJ20" s="413"/>
      <c r="UAK20" s="413"/>
      <c r="UAL20" s="413"/>
      <c r="UAM20" s="413"/>
      <c r="UAN20" s="413"/>
      <c r="UAO20" s="413"/>
      <c r="UAP20" s="413"/>
      <c r="UAQ20" s="413"/>
      <c r="UAR20" s="413"/>
      <c r="UAS20" s="413"/>
      <c r="UAT20" s="413"/>
      <c r="UAU20" s="413"/>
      <c r="UAV20" s="413"/>
      <c r="UAW20" s="413"/>
      <c r="UAX20" s="413"/>
      <c r="UAY20" s="413"/>
      <c r="UAZ20" s="413"/>
      <c r="UBA20" s="413"/>
      <c r="UBB20" s="413"/>
      <c r="UBC20" s="413"/>
      <c r="UBD20" s="413"/>
      <c r="UBE20" s="413"/>
      <c r="UBF20" s="413"/>
      <c r="UBG20" s="413"/>
      <c r="UBH20" s="413"/>
      <c r="UBI20" s="413"/>
      <c r="UBJ20" s="413"/>
      <c r="UBK20" s="413"/>
      <c r="UBL20" s="413"/>
      <c r="UBM20" s="413"/>
      <c r="UBN20" s="413"/>
      <c r="UBO20" s="413"/>
      <c r="UBP20" s="413"/>
      <c r="UBQ20" s="413"/>
      <c r="UBR20" s="413"/>
      <c r="UBS20" s="413"/>
      <c r="UBT20" s="413"/>
      <c r="UBU20" s="413"/>
      <c r="UBV20" s="413"/>
      <c r="UBW20" s="413"/>
      <c r="UBX20" s="413"/>
      <c r="UBY20" s="413"/>
      <c r="UBZ20" s="413"/>
      <c r="UCA20" s="413"/>
      <c r="UCB20" s="413"/>
      <c r="UCC20" s="413"/>
      <c r="UCD20" s="413"/>
      <c r="UCE20" s="413"/>
      <c r="UCF20" s="413"/>
      <c r="UCG20" s="413"/>
      <c r="UCH20" s="413"/>
      <c r="UCI20" s="413"/>
      <c r="UCJ20" s="413"/>
      <c r="UCK20" s="413"/>
      <c r="UCL20" s="413"/>
      <c r="UCM20" s="413"/>
      <c r="UCN20" s="413"/>
      <c r="UCO20" s="413"/>
      <c r="UCP20" s="413"/>
      <c r="UCQ20" s="413"/>
      <c r="UCR20" s="413"/>
      <c r="UCS20" s="413"/>
      <c r="UCT20" s="413"/>
      <c r="UCU20" s="413"/>
      <c r="UCV20" s="413"/>
      <c r="UCW20" s="413"/>
      <c r="UCX20" s="413"/>
      <c r="UCY20" s="413"/>
      <c r="UCZ20" s="413"/>
      <c r="UDA20" s="413"/>
      <c r="UDB20" s="413"/>
      <c r="UDC20" s="413"/>
      <c r="UDD20" s="413"/>
      <c r="UDE20" s="413"/>
      <c r="UDF20" s="413"/>
      <c r="UDG20" s="413"/>
      <c r="UDH20" s="413"/>
      <c r="UDI20" s="413"/>
      <c r="UDJ20" s="413"/>
      <c r="UDK20" s="413"/>
      <c r="UDL20" s="413"/>
      <c r="UDM20" s="413"/>
      <c r="UDN20" s="413"/>
      <c r="UDO20" s="413"/>
      <c r="UDP20" s="413"/>
      <c r="UDQ20" s="413"/>
      <c r="UDR20" s="413"/>
      <c r="UDS20" s="413"/>
      <c r="UDT20" s="413"/>
      <c r="UDU20" s="413"/>
      <c r="UDV20" s="413"/>
      <c r="UDW20" s="413"/>
      <c r="UDX20" s="413"/>
      <c r="UDY20" s="413"/>
      <c r="UDZ20" s="413"/>
      <c r="UEA20" s="413"/>
      <c r="UEB20" s="413"/>
      <c r="UEC20" s="413"/>
      <c r="UED20" s="413"/>
      <c r="UEE20" s="413"/>
      <c r="UEF20" s="413"/>
      <c r="UEG20" s="413"/>
      <c r="UEH20" s="413"/>
      <c r="UEI20" s="413"/>
      <c r="UEJ20" s="413"/>
      <c r="UEK20" s="413"/>
      <c r="UEL20" s="413"/>
      <c r="UEM20" s="413"/>
      <c r="UEN20" s="413"/>
      <c r="UEO20" s="413"/>
      <c r="UEP20" s="413"/>
      <c r="UEQ20" s="413"/>
      <c r="UER20" s="413"/>
      <c r="UES20" s="413"/>
      <c r="UET20" s="413"/>
      <c r="UEU20" s="413"/>
      <c r="UEV20" s="413"/>
      <c r="UEW20" s="413"/>
      <c r="UEX20" s="413"/>
      <c r="UEY20" s="413"/>
      <c r="UEZ20" s="413"/>
      <c r="UFA20" s="413"/>
      <c r="UFB20" s="413"/>
      <c r="UFC20" s="413"/>
      <c r="UFD20" s="413"/>
      <c r="UFE20" s="413"/>
      <c r="UFF20" s="413"/>
      <c r="UFG20" s="413"/>
      <c r="UFH20" s="413"/>
      <c r="UFI20" s="413"/>
      <c r="UFJ20" s="413"/>
      <c r="UFK20" s="413"/>
      <c r="UFL20" s="413"/>
      <c r="UFM20" s="413"/>
      <c r="UFN20" s="413"/>
      <c r="UFO20" s="413"/>
      <c r="UFP20" s="413"/>
      <c r="UFQ20" s="413"/>
      <c r="UFR20" s="413"/>
      <c r="UFS20" s="413"/>
      <c r="UFT20" s="413"/>
      <c r="UFU20" s="413"/>
      <c r="UFV20" s="413"/>
      <c r="UFW20" s="413"/>
      <c r="UFX20" s="413"/>
      <c r="UFY20" s="413"/>
      <c r="UFZ20" s="413"/>
      <c r="UGA20" s="413"/>
      <c r="UGB20" s="413"/>
      <c r="UGC20" s="413"/>
      <c r="UGD20" s="413"/>
      <c r="UGE20" s="413"/>
      <c r="UGF20" s="413"/>
      <c r="UGG20" s="413"/>
      <c r="UGH20" s="413"/>
      <c r="UGI20" s="413"/>
      <c r="UGJ20" s="413"/>
      <c r="UGK20" s="413"/>
      <c r="UGL20" s="413"/>
      <c r="UGM20" s="413"/>
      <c r="UGN20" s="413"/>
      <c r="UGO20" s="413"/>
      <c r="UGP20" s="413"/>
      <c r="UGQ20" s="413"/>
      <c r="UGR20" s="413"/>
      <c r="UGS20" s="413"/>
      <c r="UGT20" s="413"/>
      <c r="UGU20" s="413"/>
      <c r="UGV20" s="413"/>
      <c r="UGW20" s="413"/>
      <c r="UGX20" s="413"/>
      <c r="UGY20" s="413"/>
      <c r="UGZ20" s="413"/>
      <c r="UHA20" s="413"/>
      <c r="UHB20" s="413"/>
      <c r="UHC20" s="413"/>
      <c r="UHD20" s="413"/>
      <c r="UHE20" s="413"/>
      <c r="UHF20" s="413"/>
      <c r="UHG20" s="413"/>
      <c r="UHH20" s="413"/>
      <c r="UHI20" s="413"/>
      <c r="UHJ20" s="413"/>
      <c r="UHK20" s="413"/>
      <c r="UHL20" s="413"/>
      <c r="UHM20" s="413"/>
      <c r="UHN20" s="413"/>
      <c r="UHO20" s="413"/>
      <c r="UHP20" s="413"/>
      <c r="UHQ20" s="413"/>
      <c r="UHR20" s="413"/>
      <c r="UHS20" s="413"/>
      <c r="UHT20" s="413"/>
      <c r="UHU20" s="413"/>
      <c r="UHV20" s="413"/>
      <c r="UHW20" s="413"/>
      <c r="UHX20" s="413"/>
      <c r="UHY20" s="413"/>
      <c r="UHZ20" s="413"/>
      <c r="UIA20" s="413"/>
      <c r="UIB20" s="413"/>
      <c r="UIC20" s="413"/>
      <c r="UID20" s="413"/>
      <c r="UIE20" s="413"/>
      <c r="UIF20" s="413"/>
      <c r="UIG20" s="413"/>
      <c r="UIH20" s="413"/>
      <c r="UII20" s="413"/>
      <c r="UIJ20" s="413"/>
      <c r="UIK20" s="413"/>
      <c r="UIL20" s="413"/>
      <c r="UIM20" s="413"/>
      <c r="UIN20" s="413"/>
      <c r="UIO20" s="413"/>
      <c r="UIP20" s="413"/>
      <c r="UIQ20" s="413"/>
      <c r="UIR20" s="413"/>
      <c r="UIS20" s="413"/>
      <c r="UIT20" s="413"/>
      <c r="UIU20" s="413"/>
      <c r="UIV20" s="413"/>
      <c r="UIW20" s="413"/>
      <c r="UIX20" s="413"/>
      <c r="UIY20" s="413"/>
      <c r="UIZ20" s="413"/>
      <c r="UJA20" s="413"/>
      <c r="UJB20" s="413"/>
      <c r="UJC20" s="413"/>
      <c r="UJD20" s="413"/>
      <c r="UJE20" s="413"/>
      <c r="UJF20" s="413"/>
      <c r="UJG20" s="413"/>
      <c r="UJH20" s="413"/>
      <c r="UJI20" s="413"/>
      <c r="UJJ20" s="413"/>
      <c r="UJK20" s="413"/>
      <c r="UJL20" s="413"/>
      <c r="UJM20" s="413"/>
      <c r="UJN20" s="413"/>
      <c r="UJO20" s="413"/>
      <c r="UJP20" s="413"/>
      <c r="UJQ20" s="413"/>
      <c r="UJR20" s="413"/>
      <c r="UJS20" s="413"/>
      <c r="UJT20" s="413"/>
      <c r="UJU20" s="413"/>
      <c r="UJV20" s="413"/>
      <c r="UJW20" s="413"/>
      <c r="UJX20" s="413"/>
      <c r="UJY20" s="413"/>
      <c r="UJZ20" s="413"/>
      <c r="UKA20" s="413"/>
      <c r="UKB20" s="413"/>
      <c r="UKC20" s="413"/>
      <c r="UKD20" s="413"/>
      <c r="UKE20" s="413"/>
      <c r="UKF20" s="413"/>
      <c r="UKG20" s="413"/>
      <c r="UKH20" s="413"/>
      <c r="UKI20" s="413"/>
      <c r="UKJ20" s="413"/>
      <c r="UKK20" s="413"/>
      <c r="UKL20" s="413"/>
      <c r="UKM20" s="413"/>
      <c r="UKN20" s="413"/>
      <c r="UKO20" s="413"/>
      <c r="UKP20" s="413"/>
      <c r="UKQ20" s="413"/>
      <c r="UKR20" s="413"/>
      <c r="UKS20" s="413"/>
      <c r="UKT20" s="413"/>
      <c r="UKU20" s="413"/>
      <c r="UKV20" s="413"/>
      <c r="UKW20" s="413"/>
      <c r="UKX20" s="413"/>
      <c r="UKY20" s="413"/>
      <c r="UKZ20" s="413"/>
      <c r="ULA20" s="413"/>
      <c r="ULB20" s="413"/>
      <c r="ULC20" s="413"/>
      <c r="ULD20" s="413"/>
      <c r="ULE20" s="413"/>
      <c r="ULF20" s="413"/>
      <c r="ULG20" s="413"/>
      <c r="ULH20" s="413"/>
      <c r="ULI20" s="413"/>
      <c r="ULJ20" s="413"/>
      <c r="ULK20" s="413"/>
      <c r="ULL20" s="413"/>
      <c r="ULM20" s="413"/>
      <c r="ULN20" s="413"/>
      <c r="ULO20" s="413"/>
      <c r="ULP20" s="413"/>
      <c r="ULQ20" s="413"/>
      <c r="ULR20" s="413"/>
      <c r="ULS20" s="413"/>
      <c r="ULT20" s="413"/>
      <c r="ULU20" s="413"/>
      <c r="ULV20" s="413"/>
      <c r="ULW20" s="413"/>
      <c r="ULX20" s="413"/>
      <c r="ULY20" s="413"/>
      <c r="ULZ20" s="413"/>
      <c r="UMA20" s="413"/>
      <c r="UMB20" s="413"/>
      <c r="UMC20" s="413"/>
      <c r="UMD20" s="413"/>
      <c r="UME20" s="413"/>
      <c r="UMF20" s="413"/>
      <c r="UMG20" s="413"/>
      <c r="UMH20" s="413"/>
      <c r="UMI20" s="413"/>
      <c r="UMJ20" s="413"/>
      <c r="UMK20" s="413"/>
      <c r="UML20" s="413"/>
      <c r="UMM20" s="413"/>
      <c r="UMN20" s="413"/>
      <c r="UMO20" s="413"/>
      <c r="UMP20" s="413"/>
      <c r="UMQ20" s="413"/>
      <c r="UMR20" s="413"/>
      <c r="UMS20" s="413"/>
      <c r="UMT20" s="413"/>
      <c r="UMU20" s="413"/>
      <c r="UMV20" s="413"/>
      <c r="UMW20" s="413"/>
      <c r="UMX20" s="413"/>
      <c r="UMY20" s="413"/>
      <c r="UMZ20" s="413"/>
      <c r="UNA20" s="413"/>
      <c r="UNB20" s="413"/>
      <c r="UNC20" s="413"/>
      <c r="UND20" s="413"/>
      <c r="UNE20" s="413"/>
      <c r="UNF20" s="413"/>
      <c r="UNG20" s="413"/>
      <c r="UNH20" s="413"/>
      <c r="UNI20" s="413"/>
      <c r="UNJ20" s="413"/>
      <c r="UNK20" s="413"/>
      <c r="UNL20" s="413"/>
      <c r="UNM20" s="413"/>
      <c r="UNN20" s="413"/>
      <c r="UNO20" s="413"/>
      <c r="UNP20" s="413"/>
      <c r="UNQ20" s="413"/>
      <c r="UNR20" s="413"/>
      <c r="UNS20" s="413"/>
      <c r="UNT20" s="413"/>
      <c r="UNU20" s="413"/>
      <c r="UNV20" s="413"/>
      <c r="UNW20" s="413"/>
      <c r="UNX20" s="413"/>
      <c r="UNY20" s="413"/>
      <c r="UNZ20" s="413"/>
      <c r="UOA20" s="413"/>
      <c r="UOB20" s="413"/>
      <c r="UOC20" s="413"/>
      <c r="UOD20" s="413"/>
      <c r="UOE20" s="413"/>
      <c r="UOF20" s="413"/>
      <c r="UOG20" s="413"/>
      <c r="UOH20" s="413"/>
      <c r="UOI20" s="413"/>
      <c r="UOJ20" s="413"/>
      <c r="UOK20" s="413"/>
      <c r="UOL20" s="413"/>
      <c r="UOM20" s="413"/>
      <c r="UON20" s="413"/>
      <c r="UOO20" s="413"/>
      <c r="UOP20" s="413"/>
      <c r="UOQ20" s="413"/>
      <c r="UOR20" s="413"/>
      <c r="UOS20" s="413"/>
      <c r="UOT20" s="413"/>
      <c r="UOU20" s="413"/>
      <c r="UOV20" s="413"/>
      <c r="UOW20" s="413"/>
      <c r="UOX20" s="413"/>
      <c r="UOY20" s="413"/>
      <c r="UOZ20" s="413"/>
      <c r="UPA20" s="413"/>
      <c r="UPB20" s="413"/>
      <c r="UPC20" s="413"/>
      <c r="UPD20" s="413"/>
      <c r="UPE20" s="413"/>
      <c r="UPF20" s="413"/>
      <c r="UPG20" s="413"/>
      <c r="UPH20" s="413"/>
      <c r="UPI20" s="413"/>
      <c r="UPJ20" s="413"/>
      <c r="UPK20" s="413"/>
      <c r="UPL20" s="413"/>
      <c r="UPM20" s="413"/>
      <c r="UPN20" s="413"/>
      <c r="UPO20" s="413"/>
      <c r="UPP20" s="413"/>
      <c r="UPQ20" s="413"/>
      <c r="UPR20" s="413"/>
      <c r="UPS20" s="413"/>
      <c r="UPT20" s="413"/>
      <c r="UPU20" s="413"/>
      <c r="UPV20" s="413"/>
      <c r="UPW20" s="413"/>
      <c r="UPX20" s="413"/>
      <c r="UPY20" s="413"/>
      <c r="UPZ20" s="413"/>
      <c r="UQA20" s="413"/>
      <c r="UQB20" s="413"/>
      <c r="UQC20" s="413"/>
      <c r="UQD20" s="413"/>
      <c r="UQE20" s="413"/>
      <c r="UQF20" s="413"/>
      <c r="UQG20" s="413"/>
      <c r="UQH20" s="413"/>
      <c r="UQI20" s="413"/>
      <c r="UQJ20" s="413"/>
      <c r="UQK20" s="413"/>
      <c r="UQL20" s="413"/>
      <c r="UQM20" s="413"/>
      <c r="UQN20" s="413"/>
      <c r="UQO20" s="413"/>
      <c r="UQP20" s="413"/>
      <c r="UQQ20" s="413"/>
      <c r="UQR20" s="413"/>
      <c r="UQS20" s="413"/>
      <c r="UQT20" s="413"/>
      <c r="UQU20" s="413"/>
      <c r="UQV20" s="413"/>
      <c r="UQW20" s="413"/>
      <c r="UQX20" s="413"/>
      <c r="UQY20" s="413"/>
      <c r="UQZ20" s="413"/>
      <c r="URA20" s="413"/>
      <c r="URB20" s="413"/>
      <c r="URC20" s="413"/>
      <c r="URD20" s="413"/>
      <c r="URE20" s="413"/>
      <c r="URF20" s="413"/>
      <c r="URG20" s="413"/>
      <c r="URH20" s="413"/>
      <c r="URI20" s="413"/>
      <c r="URJ20" s="413"/>
      <c r="URK20" s="413"/>
      <c r="URL20" s="413"/>
      <c r="URM20" s="413"/>
      <c r="URN20" s="413"/>
      <c r="URO20" s="413"/>
      <c r="URP20" s="413"/>
      <c r="URQ20" s="413"/>
      <c r="URR20" s="413"/>
      <c r="URS20" s="413"/>
      <c r="URT20" s="413"/>
      <c r="URU20" s="413"/>
      <c r="URV20" s="413"/>
      <c r="URW20" s="413"/>
      <c r="URX20" s="413"/>
      <c r="URY20" s="413"/>
      <c r="URZ20" s="413"/>
      <c r="USA20" s="413"/>
      <c r="USB20" s="413"/>
      <c r="USC20" s="413"/>
      <c r="USD20" s="413"/>
      <c r="USE20" s="413"/>
      <c r="USF20" s="413"/>
      <c r="USG20" s="413"/>
      <c r="USH20" s="413"/>
      <c r="USI20" s="413"/>
      <c r="USJ20" s="413"/>
      <c r="USK20" s="413"/>
      <c r="USL20" s="413"/>
      <c r="USM20" s="413"/>
      <c r="USN20" s="413"/>
      <c r="USO20" s="413"/>
      <c r="USP20" s="413"/>
      <c r="USQ20" s="413"/>
      <c r="USR20" s="413"/>
      <c r="USS20" s="413"/>
      <c r="UST20" s="413"/>
      <c r="USU20" s="413"/>
      <c r="USV20" s="413"/>
      <c r="USW20" s="413"/>
      <c r="USX20" s="413"/>
      <c r="USY20" s="413"/>
      <c r="USZ20" s="413"/>
      <c r="UTA20" s="413"/>
      <c r="UTB20" s="413"/>
      <c r="UTC20" s="413"/>
      <c r="UTD20" s="413"/>
      <c r="UTE20" s="413"/>
      <c r="UTF20" s="413"/>
      <c r="UTG20" s="413"/>
      <c r="UTH20" s="413"/>
      <c r="UTI20" s="413"/>
      <c r="UTJ20" s="413"/>
      <c r="UTK20" s="413"/>
      <c r="UTL20" s="413"/>
      <c r="UTM20" s="413"/>
      <c r="UTN20" s="413"/>
      <c r="UTO20" s="413"/>
      <c r="UTP20" s="413"/>
      <c r="UTQ20" s="413"/>
      <c r="UTR20" s="413"/>
      <c r="UTS20" s="413"/>
      <c r="UTT20" s="413"/>
      <c r="UTU20" s="413"/>
      <c r="UTV20" s="413"/>
      <c r="UTW20" s="413"/>
      <c r="UTX20" s="413"/>
      <c r="UTY20" s="413"/>
      <c r="UTZ20" s="413"/>
      <c r="UUA20" s="413"/>
      <c r="UUB20" s="413"/>
      <c r="UUC20" s="413"/>
      <c r="UUD20" s="413"/>
      <c r="UUE20" s="413"/>
      <c r="UUF20" s="413"/>
      <c r="UUG20" s="413"/>
      <c r="UUH20" s="413"/>
      <c r="UUI20" s="413"/>
      <c r="UUJ20" s="413"/>
      <c r="UUK20" s="413"/>
      <c r="UUL20" s="413"/>
      <c r="UUM20" s="413"/>
      <c r="UUN20" s="413"/>
      <c r="UUO20" s="413"/>
      <c r="UUP20" s="413"/>
      <c r="UUQ20" s="413"/>
      <c r="UUR20" s="413"/>
      <c r="UUS20" s="413"/>
      <c r="UUT20" s="413"/>
      <c r="UUU20" s="413"/>
      <c r="UUV20" s="413"/>
      <c r="UUW20" s="413"/>
      <c r="UUX20" s="413"/>
      <c r="UUY20" s="413"/>
      <c r="UUZ20" s="413"/>
      <c r="UVA20" s="413"/>
      <c r="UVB20" s="413"/>
      <c r="UVC20" s="413"/>
      <c r="UVD20" s="413"/>
      <c r="UVE20" s="413"/>
      <c r="UVF20" s="413"/>
      <c r="UVG20" s="413"/>
      <c r="UVH20" s="413"/>
      <c r="UVI20" s="413"/>
      <c r="UVJ20" s="413"/>
      <c r="UVK20" s="413"/>
      <c r="UVL20" s="413"/>
      <c r="UVM20" s="413"/>
      <c r="UVN20" s="413"/>
      <c r="UVO20" s="413"/>
      <c r="UVP20" s="413"/>
      <c r="UVQ20" s="413"/>
      <c r="UVR20" s="413"/>
      <c r="UVS20" s="413"/>
      <c r="UVT20" s="413"/>
      <c r="UVU20" s="413"/>
      <c r="UVV20" s="413"/>
      <c r="UVW20" s="413"/>
      <c r="UVX20" s="413"/>
      <c r="UVY20" s="413"/>
      <c r="UVZ20" s="413"/>
      <c r="UWA20" s="413"/>
      <c r="UWB20" s="413"/>
      <c r="UWC20" s="413"/>
      <c r="UWD20" s="413"/>
      <c r="UWE20" s="413"/>
      <c r="UWF20" s="413"/>
      <c r="UWG20" s="413"/>
      <c r="UWH20" s="413"/>
      <c r="UWI20" s="413"/>
      <c r="UWJ20" s="413"/>
      <c r="UWK20" s="413"/>
      <c r="UWL20" s="413"/>
      <c r="UWM20" s="413"/>
      <c r="UWN20" s="413"/>
      <c r="UWO20" s="413"/>
      <c r="UWP20" s="413"/>
      <c r="UWQ20" s="413"/>
      <c r="UWR20" s="413"/>
      <c r="UWS20" s="413"/>
      <c r="UWT20" s="413"/>
      <c r="UWU20" s="413"/>
      <c r="UWV20" s="413"/>
      <c r="UWW20" s="413"/>
      <c r="UWX20" s="413"/>
      <c r="UWY20" s="413"/>
      <c r="UWZ20" s="413"/>
      <c r="UXA20" s="413"/>
      <c r="UXB20" s="413"/>
      <c r="UXC20" s="413"/>
      <c r="UXD20" s="413"/>
      <c r="UXE20" s="413"/>
      <c r="UXF20" s="413"/>
      <c r="UXG20" s="413"/>
      <c r="UXH20" s="413"/>
      <c r="UXI20" s="413"/>
      <c r="UXJ20" s="413"/>
      <c r="UXK20" s="413"/>
      <c r="UXL20" s="413"/>
      <c r="UXM20" s="413"/>
      <c r="UXN20" s="413"/>
      <c r="UXO20" s="413"/>
      <c r="UXP20" s="413"/>
      <c r="UXQ20" s="413"/>
      <c r="UXR20" s="413"/>
      <c r="UXS20" s="413"/>
      <c r="UXT20" s="413"/>
      <c r="UXU20" s="413"/>
      <c r="UXV20" s="413"/>
      <c r="UXW20" s="413"/>
      <c r="UXX20" s="413"/>
      <c r="UXY20" s="413"/>
      <c r="UXZ20" s="413"/>
      <c r="UYA20" s="413"/>
      <c r="UYB20" s="413"/>
      <c r="UYC20" s="413"/>
      <c r="UYD20" s="413"/>
      <c r="UYE20" s="413"/>
      <c r="UYF20" s="413"/>
      <c r="UYG20" s="413"/>
      <c r="UYH20" s="413"/>
      <c r="UYI20" s="413"/>
      <c r="UYJ20" s="413"/>
      <c r="UYK20" s="413"/>
      <c r="UYL20" s="413"/>
      <c r="UYM20" s="413"/>
      <c r="UYN20" s="413"/>
      <c r="UYO20" s="413"/>
      <c r="UYP20" s="413"/>
      <c r="UYQ20" s="413"/>
      <c r="UYR20" s="413"/>
      <c r="UYS20" s="413"/>
      <c r="UYT20" s="413"/>
      <c r="UYU20" s="413"/>
      <c r="UYV20" s="413"/>
      <c r="UYW20" s="413"/>
      <c r="UYX20" s="413"/>
      <c r="UYY20" s="413"/>
      <c r="UYZ20" s="413"/>
      <c r="UZA20" s="413"/>
      <c r="UZB20" s="413"/>
      <c r="UZC20" s="413"/>
      <c r="UZD20" s="413"/>
      <c r="UZE20" s="413"/>
      <c r="UZF20" s="413"/>
      <c r="UZG20" s="413"/>
      <c r="UZH20" s="413"/>
      <c r="UZI20" s="413"/>
      <c r="UZJ20" s="413"/>
      <c r="UZK20" s="413"/>
      <c r="UZL20" s="413"/>
      <c r="UZM20" s="413"/>
      <c r="UZN20" s="413"/>
      <c r="UZO20" s="413"/>
      <c r="UZP20" s="413"/>
      <c r="UZQ20" s="413"/>
      <c r="UZR20" s="413"/>
      <c r="UZS20" s="413"/>
      <c r="UZT20" s="413"/>
      <c r="UZU20" s="413"/>
      <c r="UZV20" s="413"/>
      <c r="UZW20" s="413"/>
      <c r="UZX20" s="413"/>
      <c r="UZY20" s="413"/>
      <c r="UZZ20" s="413"/>
      <c r="VAA20" s="413"/>
      <c r="VAB20" s="413"/>
      <c r="VAC20" s="413"/>
      <c r="VAD20" s="413"/>
      <c r="VAE20" s="413"/>
      <c r="VAF20" s="413"/>
      <c r="VAG20" s="413"/>
      <c r="VAH20" s="413"/>
      <c r="VAI20" s="413"/>
      <c r="VAJ20" s="413"/>
      <c r="VAK20" s="413"/>
      <c r="VAL20" s="413"/>
      <c r="VAM20" s="413"/>
      <c r="VAN20" s="413"/>
      <c r="VAO20" s="413"/>
      <c r="VAP20" s="413"/>
      <c r="VAQ20" s="413"/>
      <c r="VAR20" s="413"/>
      <c r="VAS20" s="413"/>
      <c r="VAT20" s="413"/>
      <c r="VAU20" s="413"/>
      <c r="VAV20" s="413"/>
      <c r="VAW20" s="413"/>
      <c r="VAX20" s="413"/>
      <c r="VAY20" s="413"/>
      <c r="VAZ20" s="413"/>
      <c r="VBA20" s="413"/>
      <c r="VBB20" s="413"/>
      <c r="VBC20" s="413"/>
      <c r="VBD20" s="413"/>
      <c r="VBE20" s="413"/>
      <c r="VBF20" s="413"/>
      <c r="VBG20" s="413"/>
      <c r="VBH20" s="413"/>
      <c r="VBI20" s="413"/>
      <c r="VBJ20" s="413"/>
      <c r="VBK20" s="413"/>
      <c r="VBL20" s="413"/>
      <c r="VBM20" s="413"/>
      <c r="VBN20" s="413"/>
      <c r="VBO20" s="413"/>
      <c r="VBP20" s="413"/>
      <c r="VBQ20" s="413"/>
      <c r="VBR20" s="413"/>
      <c r="VBS20" s="413"/>
      <c r="VBT20" s="413"/>
      <c r="VBU20" s="413"/>
      <c r="VBV20" s="413"/>
      <c r="VBW20" s="413"/>
      <c r="VBX20" s="413"/>
      <c r="VBY20" s="413"/>
      <c r="VBZ20" s="413"/>
      <c r="VCA20" s="413"/>
      <c r="VCB20" s="413"/>
      <c r="VCC20" s="413"/>
      <c r="VCD20" s="413"/>
      <c r="VCE20" s="413"/>
      <c r="VCF20" s="413"/>
      <c r="VCG20" s="413"/>
      <c r="VCH20" s="413"/>
      <c r="VCI20" s="413"/>
      <c r="VCJ20" s="413"/>
      <c r="VCK20" s="413"/>
      <c r="VCL20" s="413"/>
      <c r="VCM20" s="413"/>
      <c r="VCN20" s="413"/>
      <c r="VCO20" s="413"/>
      <c r="VCP20" s="413"/>
      <c r="VCQ20" s="413"/>
      <c r="VCR20" s="413"/>
      <c r="VCS20" s="413"/>
      <c r="VCT20" s="413"/>
      <c r="VCU20" s="413"/>
      <c r="VCV20" s="413"/>
      <c r="VCW20" s="413"/>
      <c r="VCX20" s="413"/>
      <c r="VCY20" s="413"/>
      <c r="VCZ20" s="413"/>
      <c r="VDA20" s="413"/>
      <c r="VDB20" s="413"/>
      <c r="VDC20" s="413"/>
      <c r="VDD20" s="413"/>
      <c r="VDE20" s="413"/>
      <c r="VDF20" s="413"/>
      <c r="VDG20" s="413"/>
      <c r="VDH20" s="413"/>
      <c r="VDI20" s="413"/>
      <c r="VDJ20" s="413"/>
      <c r="VDK20" s="413"/>
      <c r="VDL20" s="413"/>
      <c r="VDM20" s="413"/>
      <c r="VDN20" s="413"/>
      <c r="VDO20" s="413"/>
      <c r="VDP20" s="413"/>
      <c r="VDQ20" s="413"/>
      <c r="VDR20" s="413"/>
      <c r="VDS20" s="413"/>
      <c r="VDT20" s="413"/>
      <c r="VDU20" s="413"/>
      <c r="VDV20" s="413"/>
      <c r="VDW20" s="413"/>
      <c r="VDX20" s="413"/>
      <c r="VDY20" s="413"/>
      <c r="VDZ20" s="413"/>
      <c r="VEA20" s="413"/>
      <c r="VEB20" s="413"/>
      <c r="VEC20" s="413"/>
      <c r="VED20" s="413"/>
      <c r="VEE20" s="413"/>
      <c r="VEF20" s="413"/>
      <c r="VEG20" s="413"/>
      <c r="VEH20" s="413"/>
      <c r="VEI20" s="413"/>
      <c r="VEJ20" s="413"/>
      <c r="VEK20" s="413"/>
      <c r="VEL20" s="413"/>
      <c r="VEM20" s="413"/>
      <c r="VEN20" s="413"/>
      <c r="VEO20" s="413"/>
      <c r="VEP20" s="413"/>
      <c r="VEQ20" s="413"/>
      <c r="VER20" s="413"/>
      <c r="VES20" s="413"/>
      <c r="VET20" s="413"/>
      <c r="VEU20" s="413"/>
      <c r="VEV20" s="413"/>
      <c r="VEW20" s="413"/>
      <c r="VEX20" s="413"/>
      <c r="VEY20" s="413"/>
      <c r="VEZ20" s="413"/>
      <c r="VFA20" s="413"/>
      <c r="VFB20" s="413"/>
      <c r="VFC20" s="413"/>
      <c r="VFD20" s="413"/>
      <c r="VFE20" s="413"/>
      <c r="VFF20" s="413"/>
      <c r="VFG20" s="413"/>
      <c r="VFH20" s="413"/>
      <c r="VFI20" s="413"/>
      <c r="VFJ20" s="413"/>
      <c r="VFK20" s="413"/>
      <c r="VFL20" s="413"/>
      <c r="VFM20" s="413"/>
      <c r="VFN20" s="413"/>
      <c r="VFO20" s="413"/>
      <c r="VFP20" s="413"/>
      <c r="VFQ20" s="413"/>
      <c r="VFR20" s="413"/>
      <c r="VFS20" s="413"/>
      <c r="VFT20" s="413"/>
      <c r="VFU20" s="413"/>
      <c r="VFV20" s="413"/>
      <c r="VFW20" s="413"/>
      <c r="VFX20" s="413"/>
      <c r="VFY20" s="413"/>
      <c r="VFZ20" s="413"/>
      <c r="VGA20" s="413"/>
      <c r="VGB20" s="413"/>
      <c r="VGC20" s="413"/>
      <c r="VGD20" s="413"/>
      <c r="VGE20" s="413"/>
      <c r="VGF20" s="413"/>
      <c r="VGG20" s="413"/>
      <c r="VGH20" s="413"/>
      <c r="VGI20" s="413"/>
      <c r="VGJ20" s="413"/>
      <c r="VGK20" s="413"/>
      <c r="VGL20" s="413"/>
      <c r="VGM20" s="413"/>
      <c r="VGN20" s="413"/>
      <c r="VGO20" s="413"/>
      <c r="VGP20" s="413"/>
      <c r="VGQ20" s="413"/>
      <c r="VGR20" s="413"/>
      <c r="VGS20" s="413"/>
      <c r="VGT20" s="413"/>
      <c r="VGU20" s="413"/>
      <c r="VGV20" s="413"/>
      <c r="VGW20" s="413"/>
      <c r="VGX20" s="413"/>
      <c r="VGY20" s="413"/>
      <c r="VGZ20" s="413"/>
      <c r="VHA20" s="413"/>
      <c r="VHB20" s="413"/>
      <c r="VHC20" s="413"/>
      <c r="VHD20" s="413"/>
      <c r="VHE20" s="413"/>
      <c r="VHF20" s="413"/>
      <c r="VHG20" s="413"/>
      <c r="VHH20" s="413"/>
      <c r="VHI20" s="413"/>
      <c r="VHJ20" s="413"/>
      <c r="VHK20" s="413"/>
      <c r="VHL20" s="413"/>
      <c r="VHM20" s="413"/>
      <c r="VHN20" s="413"/>
      <c r="VHO20" s="413"/>
      <c r="VHP20" s="413"/>
      <c r="VHQ20" s="413"/>
      <c r="VHR20" s="413"/>
      <c r="VHS20" s="413"/>
      <c r="VHT20" s="413"/>
      <c r="VHU20" s="413"/>
      <c r="VHV20" s="413"/>
      <c r="VHW20" s="413"/>
      <c r="VHX20" s="413"/>
      <c r="VHY20" s="413"/>
      <c r="VHZ20" s="413"/>
      <c r="VIA20" s="413"/>
      <c r="VIB20" s="413"/>
      <c r="VIC20" s="413"/>
      <c r="VID20" s="413"/>
      <c r="VIE20" s="413"/>
      <c r="VIF20" s="413"/>
      <c r="VIG20" s="413"/>
      <c r="VIH20" s="413"/>
      <c r="VII20" s="413"/>
      <c r="VIJ20" s="413"/>
      <c r="VIK20" s="413"/>
      <c r="VIL20" s="413"/>
      <c r="VIM20" s="413"/>
      <c r="VIN20" s="413"/>
      <c r="VIO20" s="413"/>
      <c r="VIP20" s="413"/>
      <c r="VIQ20" s="413"/>
      <c r="VIR20" s="413"/>
      <c r="VIS20" s="413"/>
      <c r="VIT20" s="413"/>
      <c r="VIU20" s="413"/>
      <c r="VIV20" s="413"/>
      <c r="VIW20" s="413"/>
      <c r="VIX20" s="413"/>
      <c r="VIY20" s="413"/>
      <c r="VIZ20" s="413"/>
      <c r="VJA20" s="413"/>
      <c r="VJB20" s="413"/>
      <c r="VJC20" s="413"/>
      <c r="VJD20" s="413"/>
      <c r="VJE20" s="413"/>
      <c r="VJF20" s="413"/>
      <c r="VJG20" s="413"/>
      <c r="VJH20" s="413"/>
      <c r="VJI20" s="413"/>
      <c r="VJJ20" s="413"/>
      <c r="VJK20" s="413"/>
      <c r="VJL20" s="413"/>
      <c r="VJM20" s="413"/>
      <c r="VJN20" s="413"/>
      <c r="VJO20" s="413"/>
      <c r="VJP20" s="413"/>
      <c r="VJQ20" s="413"/>
      <c r="VJR20" s="413"/>
      <c r="VJS20" s="413"/>
      <c r="VJT20" s="413"/>
      <c r="VJU20" s="413"/>
      <c r="VJV20" s="413"/>
      <c r="VJW20" s="413"/>
      <c r="VJX20" s="413"/>
      <c r="VJY20" s="413"/>
      <c r="VJZ20" s="413"/>
      <c r="VKA20" s="413"/>
      <c r="VKB20" s="413"/>
      <c r="VKC20" s="413"/>
      <c r="VKD20" s="413"/>
      <c r="VKE20" s="413"/>
      <c r="VKF20" s="413"/>
      <c r="VKG20" s="413"/>
      <c r="VKH20" s="413"/>
      <c r="VKI20" s="413"/>
      <c r="VKJ20" s="413"/>
      <c r="VKK20" s="413"/>
      <c r="VKL20" s="413"/>
      <c r="VKM20" s="413"/>
      <c r="VKN20" s="413"/>
      <c r="VKO20" s="413"/>
      <c r="VKP20" s="413"/>
      <c r="VKQ20" s="413"/>
      <c r="VKR20" s="413"/>
      <c r="VKS20" s="413"/>
      <c r="VKT20" s="413"/>
      <c r="VKU20" s="413"/>
      <c r="VKV20" s="413"/>
      <c r="VKW20" s="413"/>
      <c r="VKX20" s="413"/>
      <c r="VKY20" s="413"/>
      <c r="VKZ20" s="413"/>
      <c r="VLA20" s="413"/>
      <c r="VLB20" s="413"/>
      <c r="VLC20" s="413"/>
      <c r="VLD20" s="413"/>
      <c r="VLE20" s="413"/>
      <c r="VLF20" s="413"/>
      <c r="VLG20" s="413"/>
      <c r="VLH20" s="413"/>
      <c r="VLI20" s="413"/>
      <c r="VLJ20" s="413"/>
      <c r="VLK20" s="413"/>
      <c r="VLL20" s="413"/>
      <c r="VLM20" s="413"/>
      <c r="VLN20" s="413"/>
      <c r="VLO20" s="413"/>
      <c r="VLP20" s="413"/>
      <c r="VLQ20" s="413"/>
      <c r="VLR20" s="413"/>
      <c r="VLS20" s="413"/>
      <c r="VLT20" s="413"/>
      <c r="VLU20" s="413"/>
      <c r="VLV20" s="413"/>
      <c r="VLW20" s="413"/>
      <c r="VLX20" s="413"/>
      <c r="VLY20" s="413"/>
      <c r="VLZ20" s="413"/>
      <c r="VMA20" s="413"/>
      <c r="VMB20" s="413"/>
      <c r="VMC20" s="413"/>
      <c r="VMD20" s="413"/>
      <c r="VME20" s="413"/>
      <c r="VMF20" s="413"/>
      <c r="VMG20" s="413"/>
      <c r="VMH20" s="413"/>
      <c r="VMI20" s="413"/>
      <c r="VMJ20" s="413"/>
      <c r="VMK20" s="413"/>
      <c r="VML20" s="413"/>
      <c r="VMM20" s="413"/>
      <c r="VMN20" s="413"/>
      <c r="VMO20" s="413"/>
      <c r="VMP20" s="413"/>
      <c r="VMQ20" s="413"/>
      <c r="VMR20" s="413"/>
      <c r="VMS20" s="413"/>
      <c r="VMT20" s="413"/>
      <c r="VMU20" s="413"/>
      <c r="VMV20" s="413"/>
      <c r="VMW20" s="413"/>
      <c r="VMX20" s="413"/>
      <c r="VMY20" s="413"/>
      <c r="VMZ20" s="413"/>
      <c r="VNA20" s="413"/>
      <c r="VNB20" s="413"/>
      <c r="VNC20" s="413"/>
      <c r="VND20" s="413"/>
      <c r="VNE20" s="413"/>
      <c r="VNF20" s="413"/>
      <c r="VNG20" s="413"/>
      <c r="VNH20" s="413"/>
      <c r="VNI20" s="413"/>
      <c r="VNJ20" s="413"/>
      <c r="VNK20" s="413"/>
      <c r="VNL20" s="413"/>
      <c r="VNM20" s="413"/>
      <c r="VNN20" s="413"/>
      <c r="VNO20" s="413"/>
      <c r="VNP20" s="413"/>
      <c r="VNQ20" s="413"/>
      <c r="VNR20" s="413"/>
      <c r="VNS20" s="413"/>
      <c r="VNT20" s="413"/>
      <c r="VNU20" s="413"/>
      <c r="VNV20" s="413"/>
      <c r="VNW20" s="413"/>
      <c r="VNX20" s="413"/>
      <c r="VNY20" s="413"/>
      <c r="VNZ20" s="413"/>
      <c r="VOA20" s="413"/>
      <c r="VOB20" s="413"/>
      <c r="VOC20" s="413"/>
      <c r="VOD20" s="413"/>
      <c r="VOE20" s="413"/>
      <c r="VOF20" s="413"/>
      <c r="VOG20" s="413"/>
      <c r="VOH20" s="413"/>
      <c r="VOI20" s="413"/>
      <c r="VOJ20" s="413"/>
      <c r="VOK20" s="413"/>
      <c r="VOL20" s="413"/>
      <c r="VOM20" s="413"/>
      <c r="VON20" s="413"/>
      <c r="VOO20" s="413"/>
      <c r="VOP20" s="413"/>
      <c r="VOQ20" s="413"/>
      <c r="VOR20" s="413"/>
      <c r="VOS20" s="413"/>
      <c r="VOT20" s="413"/>
      <c r="VOU20" s="413"/>
      <c r="VOV20" s="413"/>
      <c r="VOW20" s="413"/>
      <c r="VOX20" s="413"/>
      <c r="VOY20" s="413"/>
      <c r="VOZ20" s="413"/>
      <c r="VPA20" s="413"/>
      <c r="VPB20" s="413"/>
      <c r="VPC20" s="413"/>
      <c r="VPD20" s="413"/>
      <c r="VPE20" s="413"/>
      <c r="VPF20" s="413"/>
      <c r="VPG20" s="413"/>
      <c r="VPH20" s="413"/>
      <c r="VPI20" s="413"/>
      <c r="VPJ20" s="413"/>
      <c r="VPK20" s="413"/>
      <c r="VPL20" s="413"/>
      <c r="VPM20" s="413"/>
      <c r="VPN20" s="413"/>
      <c r="VPO20" s="413"/>
      <c r="VPP20" s="413"/>
      <c r="VPQ20" s="413"/>
      <c r="VPR20" s="413"/>
      <c r="VPS20" s="413"/>
      <c r="VPT20" s="413"/>
      <c r="VPU20" s="413"/>
      <c r="VPV20" s="413"/>
      <c r="VPW20" s="413"/>
      <c r="VPX20" s="413"/>
      <c r="VPY20" s="413"/>
      <c r="VPZ20" s="413"/>
      <c r="VQA20" s="413"/>
      <c r="VQB20" s="413"/>
      <c r="VQC20" s="413"/>
      <c r="VQD20" s="413"/>
      <c r="VQE20" s="413"/>
      <c r="VQF20" s="413"/>
      <c r="VQG20" s="413"/>
      <c r="VQH20" s="413"/>
      <c r="VQI20" s="413"/>
      <c r="VQJ20" s="413"/>
      <c r="VQK20" s="413"/>
      <c r="VQL20" s="413"/>
      <c r="VQM20" s="413"/>
      <c r="VQN20" s="413"/>
      <c r="VQO20" s="413"/>
      <c r="VQP20" s="413"/>
      <c r="VQQ20" s="413"/>
      <c r="VQR20" s="413"/>
      <c r="VQS20" s="413"/>
      <c r="VQT20" s="413"/>
      <c r="VQU20" s="413"/>
      <c r="VQV20" s="413"/>
      <c r="VQW20" s="413"/>
      <c r="VQX20" s="413"/>
      <c r="VQY20" s="413"/>
      <c r="VQZ20" s="413"/>
      <c r="VRA20" s="413"/>
      <c r="VRB20" s="413"/>
      <c r="VRC20" s="413"/>
      <c r="VRD20" s="413"/>
      <c r="VRE20" s="413"/>
      <c r="VRF20" s="413"/>
      <c r="VRG20" s="413"/>
      <c r="VRH20" s="413"/>
      <c r="VRI20" s="413"/>
      <c r="VRJ20" s="413"/>
      <c r="VRK20" s="413"/>
      <c r="VRL20" s="413"/>
      <c r="VRM20" s="413"/>
      <c r="VRN20" s="413"/>
      <c r="VRO20" s="413"/>
      <c r="VRP20" s="413"/>
      <c r="VRQ20" s="413"/>
      <c r="VRR20" s="413"/>
      <c r="VRS20" s="413"/>
      <c r="VRT20" s="413"/>
      <c r="VRU20" s="413"/>
      <c r="VRV20" s="413"/>
      <c r="VRW20" s="413"/>
      <c r="VRX20" s="413"/>
      <c r="VRY20" s="413"/>
      <c r="VRZ20" s="413"/>
      <c r="VSA20" s="413"/>
      <c r="VSB20" s="413"/>
      <c r="VSC20" s="413"/>
      <c r="VSD20" s="413"/>
      <c r="VSE20" s="413"/>
      <c r="VSF20" s="413"/>
      <c r="VSG20" s="413"/>
      <c r="VSH20" s="413"/>
      <c r="VSI20" s="413"/>
      <c r="VSJ20" s="413"/>
      <c r="VSK20" s="413"/>
      <c r="VSL20" s="413"/>
      <c r="VSM20" s="413"/>
      <c r="VSN20" s="413"/>
      <c r="VSO20" s="413"/>
      <c r="VSP20" s="413"/>
      <c r="VSQ20" s="413"/>
      <c r="VSR20" s="413"/>
      <c r="VSS20" s="413"/>
      <c r="VST20" s="413"/>
      <c r="VSU20" s="413"/>
      <c r="VSV20" s="413"/>
      <c r="VSW20" s="413"/>
      <c r="VSX20" s="413"/>
      <c r="VSY20" s="413"/>
      <c r="VSZ20" s="413"/>
      <c r="VTA20" s="413"/>
      <c r="VTB20" s="413"/>
      <c r="VTC20" s="413"/>
      <c r="VTD20" s="413"/>
      <c r="VTE20" s="413"/>
      <c r="VTF20" s="413"/>
      <c r="VTG20" s="413"/>
      <c r="VTH20" s="413"/>
      <c r="VTI20" s="413"/>
      <c r="VTJ20" s="413"/>
      <c r="VTK20" s="413"/>
      <c r="VTL20" s="413"/>
      <c r="VTM20" s="413"/>
      <c r="VTN20" s="413"/>
      <c r="VTO20" s="413"/>
      <c r="VTP20" s="413"/>
      <c r="VTQ20" s="413"/>
      <c r="VTR20" s="413"/>
      <c r="VTS20" s="413"/>
      <c r="VTT20" s="413"/>
      <c r="VTU20" s="413"/>
      <c r="VTV20" s="413"/>
      <c r="VTW20" s="413"/>
      <c r="VTX20" s="413"/>
      <c r="VTY20" s="413"/>
      <c r="VTZ20" s="413"/>
      <c r="VUA20" s="413"/>
      <c r="VUB20" s="413"/>
      <c r="VUC20" s="413"/>
      <c r="VUD20" s="413"/>
      <c r="VUE20" s="413"/>
      <c r="VUF20" s="413"/>
      <c r="VUG20" s="413"/>
      <c r="VUH20" s="413"/>
      <c r="VUI20" s="413"/>
      <c r="VUJ20" s="413"/>
      <c r="VUK20" s="413"/>
      <c r="VUL20" s="413"/>
      <c r="VUM20" s="413"/>
      <c r="VUN20" s="413"/>
      <c r="VUO20" s="413"/>
      <c r="VUP20" s="413"/>
      <c r="VUQ20" s="413"/>
      <c r="VUR20" s="413"/>
      <c r="VUS20" s="413"/>
      <c r="VUT20" s="413"/>
      <c r="VUU20" s="413"/>
      <c r="VUV20" s="413"/>
      <c r="VUW20" s="413"/>
      <c r="VUX20" s="413"/>
      <c r="VUY20" s="413"/>
      <c r="VUZ20" s="413"/>
      <c r="VVA20" s="413"/>
      <c r="VVB20" s="413"/>
      <c r="VVC20" s="413"/>
      <c r="VVD20" s="413"/>
      <c r="VVE20" s="413"/>
      <c r="VVF20" s="413"/>
      <c r="VVG20" s="413"/>
      <c r="VVH20" s="413"/>
      <c r="VVI20" s="413"/>
      <c r="VVJ20" s="413"/>
      <c r="VVK20" s="413"/>
      <c r="VVL20" s="413"/>
      <c r="VVM20" s="413"/>
      <c r="VVN20" s="413"/>
      <c r="VVO20" s="413"/>
      <c r="VVP20" s="413"/>
      <c r="VVQ20" s="413"/>
      <c r="VVR20" s="413"/>
      <c r="VVS20" s="413"/>
      <c r="VVT20" s="413"/>
      <c r="VVU20" s="413"/>
      <c r="VVV20" s="413"/>
      <c r="VVW20" s="413"/>
      <c r="VVX20" s="413"/>
      <c r="VVY20" s="413"/>
      <c r="VVZ20" s="413"/>
      <c r="VWA20" s="413"/>
      <c r="VWB20" s="413"/>
      <c r="VWC20" s="413"/>
      <c r="VWD20" s="413"/>
      <c r="VWE20" s="413"/>
      <c r="VWF20" s="413"/>
      <c r="VWG20" s="413"/>
      <c r="VWH20" s="413"/>
      <c r="VWI20" s="413"/>
      <c r="VWJ20" s="413"/>
      <c r="VWK20" s="413"/>
      <c r="VWL20" s="413"/>
      <c r="VWM20" s="413"/>
      <c r="VWN20" s="413"/>
      <c r="VWO20" s="413"/>
      <c r="VWP20" s="413"/>
      <c r="VWQ20" s="413"/>
      <c r="VWR20" s="413"/>
      <c r="VWS20" s="413"/>
      <c r="VWT20" s="413"/>
      <c r="VWU20" s="413"/>
      <c r="VWV20" s="413"/>
      <c r="VWW20" s="413"/>
      <c r="VWX20" s="413"/>
      <c r="VWY20" s="413"/>
      <c r="VWZ20" s="413"/>
      <c r="VXA20" s="413"/>
      <c r="VXB20" s="413"/>
      <c r="VXC20" s="413"/>
      <c r="VXD20" s="413"/>
      <c r="VXE20" s="413"/>
      <c r="VXF20" s="413"/>
      <c r="VXG20" s="413"/>
      <c r="VXH20" s="413"/>
      <c r="VXI20" s="413"/>
      <c r="VXJ20" s="413"/>
      <c r="VXK20" s="413"/>
      <c r="VXL20" s="413"/>
      <c r="VXM20" s="413"/>
      <c r="VXN20" s="413"/>
      <c r="VXO20" s="413"/>
      <c r="VXP20" s="413"/>
      <c r="VXQ20" s="413"/>
      <c r="VXR20" s="413"/>
      <c r="VXS20" s="413"/>
      <c r="VXT20" s="413"/>
      <c r="VXU20" s="413"/>
      <c r="VXV20" s="413"/>
      <c r="VXW20" s="413"/>
      <c r="VXX20" s="413"/>
      <c r="VXY20" s="413"/>
      <c r="VXZ20" s="413"/>
      <c r="VYA20" s="413"/>
      <c r="VYB20" s="413"/>
      <c r="VYC20" s="413"/>
      <c r="VYD20" s="413"/>
      <c r="VYE20" s="413"/>
      <c r="VYF20" s="413"/>
      <c r="VYG20" s="413"/>
      <c r="VYH20" s="413"/>
      <c r="VYI20" s="413"/>
      <c r="VYJ20" s="413"/>
      <c r="VYK20" s="413"/>
      <c r="VYL20" s="413"/>
      <c r="VYM20" s="413"/>
      <c r="VYN20" s="413"/>
      <c r="VYO20" s="413"/>
      <c r="VYP20" s="413"/>
      <c r="VYQ20" s="413"/>
      <c r="VYR20" s="413"/>
      <c r="VYS20" s="413"/>
      <c r="VYT20" s="413"/>
      <c r="VYU20" s="413"/>
      <c r="VYV20" s="413"/>
      <c r="VYW20" s="413"/>
      <c r="VYX20" s="413"/>
      <c r="VYY20" s="413"/>
      <c r="VYZ20" s="413"/>
      <c r="VZA20" s="413"/>
      <c r="VZB20" s="413"/>
      <c r="VZC20" s="413"/>
      <c r="VZD20" s="413"/>
      <c r="VZE20" s="413"/>
      <c r="VZF20" s="413"/>
      <c r="VZG20" s="413"/>
      <c r="VZH20" s="413"/>
      <c r="VZI20" s="413"/>
      <c r="VZJ20" s="413"/>
      <c r="VZK20" s="413"/>
      <c r="VZL20" s="413"/>
      <c r="VZM20" s="413"/>
      <c r="VZN20" s="413"/>
      <c r="VZO20" s="413"/>
      <c r="VZP20" s="413"/>
      <c r="VZQ20" s="413"/>
      <c r="VZR20" s="413"/>
      <c r="VZS20" s="413"/>
      <c r="VZT20" s="413"/>
      <c r="VZU20" s="413"/>
      <c r="VZV20" s="413"/>
      <c r="VZW20" s="413"/>
      <c r="VZX20" s="413"/>
      <c r="VZY20" s="413"/>
      <c r="VZZ20" s="413"/>
      <c r="WAA20" s="413"/>
      <c r="WAB20" s="413"/>
      <c r="WAC20" s="413"/>
      <c r="WAD20" s="413"/>
      <c r="WAE20" s="413"/>
      <c r="WAF20" s="413"/>
      <c r="WAG20" s="413"/>
      <c r="WAH20" s="413"/>
      <c r="WAI20" s="413"/>
      <c r="WAJ20" s="413"/>
      <c r="WAK20" s="413"/>
      <c r="WAL20" s="413"/>
      <c r="WAM20" s="413"/>
      <c r="WAN20" s="413"/>
      <c r="WAO20" s="413"/>
      <c r="WAP20" s="413"/>
      <c r="WAQ20" s="413"/>
      <c r="WAR20" s="413"/>
      <c r="WAS20" s="413"/>
      <c r="WAT20" s="413"/>
      <c r="WAU20" s="413"/>
      <c r="WAV20" s="413"/>
      <c r="WAW20" s="413"/>
      <c r="WAX20" s="413"/>
      <c r="WAY20" s="413"/>
      <c r="WAZ20" s="413"/>
      <c r="WBA20" s="413"/>
      <c r="WBB20" s="413"/>
      <c r="WBC20" s="413"/>
      <c r="WBD20" s="413"/>
      <c r="WBE20" s="413"/>
      <c r="WBF20" s="413"/>
      <c r="WBG20" s="413"/>
      <c r="WBH20" s="413"/>
      <c r="WBI20" s="413"/>
      <c r="WBJ20" s="413"/>
      <c r="WBK20" s="413"/>
      <c r="WBL20" s="413"/>
      <c r="WBM20" s="413"/>
      <c r="WBN20" s="413"/>
      <c r="WBO20" s="413"/>
      <c r="WBP20" s="413"/>
      <c r="WBQ20" s="413"/>
      <c r="WBR20" s="413"/>
      <c r="WBS20" s="413"/>
      <c r="WBT20" s="413"/>
      <c r="WBU20" s="413"/>
      <c r="WBV20" s="413"/>
      <c r="WBW20" s="413"/>
      <c r="WBX20" s="413"/>
      <c r="WBY20" s="413"/>
      <c r="WBZ20" s="413"/>
      <c r="WCA20" s="413"/>
      <c r="WCB20" s="413"/>
      <c r="WCC20" s="413"/>
      <c r="WCD20" s="413"/>
      <c r="WCE20" s="413"/>
      <c r="WCF20" s="413"/>
      <c r="WCG20" s="413"/>
      <c r="WCH20" s="413"/>
      <c r="WCI20" s="413"/>
      <c r="WCJ20" s="413"/>
      <c r="WCK20" s="413"/>
      <c r="WCL20" s="413"/>
      <c r="WCM20" s="413"/>
      <c r="WCN20" s="413"/>
      <c r="WCO20" s="413"/>
      <c r="WCP20" s="413"/>
      <c r="WCQ20" s="413"/>
      <c r="WCR20" s="413"/>
      <c r="WCS20" s="413"/>
      <c r="WCT20" s="413"/>
      <c r="WCU20" s="413"/>
      <c r="WCV20" s="413"/>
      <c r="WCW20" s="413"/>
      <c r="WCX20" s="413"/>
      <c r="WCY20" s="413"/>
      <c r="WCZ20" s="413"/>
      <c r="WDA20" s="413"/>
      <c r="WDB20" s="413"/>
      <c r="WDC20" s="413"/>
      <c r="WDD20" s="413"/>
      <c r="WDE20" s="413"/>
      <c r="WDF20" s="413"/>
      <c r="WDG20" s="413"/>
      <c r="WDH20" s="413"/>
      <c r="WDI20" s="413"/>
      <c r="WDJ20" s="413"/>
      <c r="WDK20" s="413"/>
      <c r="WDL20" s="413"/>
      <c r="WDM20" s="413"/>
      <c r="WDN20" s="413"/>
      <c r="WDO20" s="413"/>
      <c r="WDP20" s="413"/>
      <c r="WDQ20" s="413"/>
      <c r="WDR20" s="413"/>
      <c r="WDS20" s="413"/>
      <c r="WDT20" s="413"/>
      <c r="WDU20" s="413"/>
      <c r="WDV20" s="413"/>
      <c r="WDW20" s="413"/>
      <c r="WDX20" s="413"/>
      <c r="WDY20" s="413"/>
      <c r="WDZ20" s="413"/>
      <c r="WEA20" s="413"/>
      <c r="WEB20" s="413"/>
      <c r="WEC20" s="413"/>
      <c r="WED20" s="413"/>
      <c r="WEE20" s="413"/>
      <c r="WEF20" s="413"/>
      <c r="WEG20" s="413"/>
      <c r="WEH20" s="413"/>
      <c r="WEI20" s="413"/>
      <c r="WEJ20" s="413"/>
      <c r="WEK20" s="413"/>
      <c r="WEL20" s="413"/>
      <c r="WEM20" s="413"/>
      <c r="WEN20" s="413"/>
      <c r="WEO20" s="413"/>
      <c r="WEP20" s="413"/>
      <c r="WEQ20" s="413"/>
      <c r="WER20" s="413"/>
      <c r="WES20" s="413"/>
      <c r="WET20" s="413"/>
      <c r="WEU20" s="413"/>
      <c r="WEV20" s="413"/>
      <c r="WEW20" s="413"/>
      <c r="WEX20" s="413"/>
      <c r="WEY20" s="413"/>
      <c r="WEZ20" s="413"/>
      <c r="WFA20" s="413"/>
      <c r="WFB20" s="413"/>
      <c r="WFC20" s="413"/>
      <c r="WFD20" s="413"/>
      <c r="WFE20" s="413"/>
      <c r="WFF20" s="413"/>
      <c r="WFG20" s="413"/>
      <c r="WFH20" s="413"/>
      <c r="WFI20" s="413"/>
      <c r="WFJ20" s="413"/>
      <c r="WFK20" s="413"/>
      <c r="WFL20" s="413"/>
      <c r="WFM20" s="413"/>
      <c r="WFN20" s="413"/>
      <c r="WFO20" s="413"/>
      <c r="WFP20" s="413"/>
      <c r="WFQ20" s="413"/>
      <c r="WFR20" s="413"/>
      <c r="WFS20" s="413"/>
      <c r="WFT20" s="413"/>
      <c r="WFU20" s="413"/>
      <c r="WFV20" s="413"/>
      <c r="WFW20" s="413"/>
      <c r="WFX20" s="413"/>
      <c r="WFY20" s="413"/>
      <c r="WFZ20" s="413"/>
      <c r="WGA20" s="413"/>
      <c r="WGB20" s="413"/>
      <c r="WGC20" s="413"/>
      <c r="WGD20" s="413"/>
      <c r="WGE20" s="413"/>
      <c r="WGF20" s="413"/>
      <c r="WGG20" s="413"/>
      <c r="WGH20" s="413"/>
      <c r="WGI20" s="413"/>
      <c r="WGJ20" s="413"/>
      <c r="WGK20" s="413"/>
      <c r="WGL20" s="413"/>
      <c r="WGM20" s="413"/>
      <c r="WGN20" s="413"/>
      <c r="WGO20" s="413"/>
      <c r="WGP20" s="413"/>
      <c r="WGQ20" s="413"/>
      <c r="WGR20" s="413"/>
      <c r="WGS20" s="413"/>
      <c r="WGT20" s="413"/>
      <c r="WGU20" s="413"/>
      <c r="WGV20" s="413"/>
      <c r="WGW20" s="413"/>
      <c r="WGX20" s="413"/>
      <c r="WGY20" s="413"/>
      <c r="WGZ20" s="413"/>
      <c r="WHA20" s="413"/>
      <c r="WHB20" s="413"/>
      <c r="WHC20" s="413"/>
      <c r="WHD20" s="413"/>
      <c r="WHE20" s="413"/>
      <c r="WHF20" s="413"/>
      <c r="WHG20" s="413"/>
      <c r="WHH20" s="413"/>
      <c r="WHI20" s="413"/>
      <c r="WHJ20" s="413"/>
      <c r="WHK20" s="413"/>
      <c r="WHL20" s="413"/>
      <c r="WHM20" s="413"/>
      <c r="WHN20" s="413"/>
      <c r="WHO20" s="413"/>
      <c r="WHP20" s="413"/>
      <c r="WHQ20" s="413"/>
      <c r="WHR20" s="413"/>
      <c r="WHS20" s="413"/>
      <c r="WHT20" s="413"/>
      <c r="WHU20" s="413"/>
      <c r="WHV20" s="413"/>
      <c r="WHW20" s="413"/>
      <c r="WHX20" s="413"/>
      <c r="WHY20" s="413"/>
      <c r="WHZ20" s="413"/>
      <c r="WIA20" s="413"/>
      <c r="WIB20" s="413"/>
      <c r="WIC20" s="413"/>
      <c r="WID20" s="413"/>
      <c r="WIE20" s="413"/>
      <c r="WIF20" s="413"/>
      <c r="WIG20" s="413"/>
      <c r="WIH20" s="413"/>
      <c r="WII20" s="413"/>
      <c r="WIJ20" s="413"/>
      <c r="WIK20" s="413"/>
      <c r="WIL20" s="413"/>
      <c r="WIM20" s="413"/>
      <c r="WIN20" s="413"/>
      <c r="WIO20" s="413"/>
      <c r="WIP20" s="413"/>
      <c r="WIQ20" s="413"/>
      <c r="WIR20" s="413"/>
      <c r="WIS20" s="413"/>
      <c r="WIT20" s="413"/>
      <c r="WIU20" s="413"/>
      <c r="WIV20" s="413"/>
      <c r="WIW20" s="413"/>
      <c r="WIX20" s="413"/>
      <c r="WIY20" s="413"/>
      <c r="WIZ20" s="413"/>
      <c r="WJA20" s="413"/>
      <c r="WJB20" s="413"/>
      <c r="WJC20" s="413"/>
      <c r="WJD20" s="413"/>
      <c r="WJE20" s="413"/>
      <c r="WJF20" s="413"/>
      <c r="WJG20" s="413"/>
      <c r="WJH20" s="413"/>
      <c r="WJI20" s="413"/>
      <c r="WJJ20" s="413"/>
      <c r="WJK20" s="413"/>
      <c r="WJL20" s="413"/>
      <c r="WJM20" s="413"/>
      <c r="WJN20" s="413"/>
      <c r="WJO20" s="413"/>
      <c r="WJP20" s="413"/>
      <c r="WJQ20" s="413"/>
      <c r="WJR20" s="413"/>
      <c r="WJS20" s="413"/>
      <c r="WJT20" s="413"/>
      <c r="WJU20" s="413"/>
      <c r="WJV20" s="413"/>
      <c r="WJW20" s="413"/>
      <c r="WJX20" s="413"/>
      <c r="WJY20" s="413"/>
      <c r="WJZ20" s="413"/>
      <c r="WKA20" s="413"/>
      <c r="WKB20" s="413"/>
      <c r="WKC20" s="413"/>
      <c r="WKD20" s="413"/>
      <c r="WKE20" s="413"/>
      <c r="WKF20" s="413"/>
      <c r="WKG20" s="413"/>
      <c r="WKH20" s="413"/>
      <c r="WKI20" s="413"/>
      <c r="WKJ20" s="413"/>
      <c r="WKK20" s="413"/>
      <c r="WKL20" s="413"/>
      <c r="WKM20" s="413"/>
      <c r="WKN20" s="413"/>
      <c r="WKO20" s="413"/>
      <c r="WKP20" s="413"/>
      <c r="WKQ20" s="413"/>
      <c r="WKR20" s="413"/>
      <c r="WKS20" s="413"/>
      <c r="WKT20" s="413"/>
      <c r="WKU20" s="413"/>
      <c r="WKV20" s="413"/>
      <c r="WKW20" s="413"/>
      <c r="WKX20" s="413"/>
      <c r="WKY20" s="413"/>
      <c r="WKZ20" s="413"/>
      <c r="WLA20" s="413"/>
      <c r="WLB20" s="413"/>
      <c r="WLC20" s="413"/>
      <c r="WLD20" s="413"/>
      <c r="WLE20" s="413"/>
      <c r="WLF20" s="413"/>
      <c r="WLG20" s="413"/>
      <c r="WLH20" s="413"/>
      <c r="WLI20" s="413"/>
      <c r="WLJ20" s="413"/>
      <c r="WLK20" s="413"/>
      <c r="WLL20" s="413"/>
      <c r="WLM20" s="413"/>
      <c r="WLN20" s="413"/>
      <c r="WLO20" s="413"/>
      <c r="WLP20" s="413"/>
      <c r="WLQ20" s="413"/>
      <c r="WLR20" s="413"/>
      <c r="WLS20" s="413"/>
      <c r="WLT20" s="413"/>
      <c r="WLU20" s="413"/>
      <c r="WLV20" s="413"/>
      <c r="WLW20" s="413"/>
      <c r="WLX20" s="413"/>
      <c r="WLY20" s="413"/>
      <c r="WLZ20" s="413"/>
      <c r="WMA20" s="413"/>
      <c r="WMB20" s="413"/>
      <c r="WMC20" s="413"/>
      <c r="WMD20" s="413"/>
      <c r="WME20" s="413"/>
      <c r="WMF20" s="413"/>
      <c r="WMG20" s="413"/>
      <c r="WMH20" s="413"/>
      <c r="WMI20" s="413"/>
      <c r="WMJ20" s="413"/>
      <c r="WMK20" s="413"/>
      <c r="WML20" s="413"/>
      <c r="WMM20" s="413"/>
      <c r="WMN20" s="413"/>
      <c r="WMO20" s="413"/>
      <c r="WMP20" s="413"/>
      <c r="WMQ20" s="413"/>
      <c r="WMR20" s="413"/>
      <c r="WMS20" s="413"/>
      <c r="WMT20" s="413"/>
      <c r="WMU20" s="413"/>
      <c r="WMV20" s="413"/>
      <c r="WMW20" s="413"/>
      <c r="WMX20" s="413"/>
      <c r="WMY20" s="413"/>
      <c r="WMZ20" s="413"/>
      <c r="WNA20" s="413"/>
      <c r="WNB20" s="413"/>
      <c r="WNC20" s="413"/>
      <c r="WND20" s="413"/>
      <c r="WNE20" s="413"/>
      <c r="WNF20" s="413"/>
      <c r="WNG20" s="413"/>
      <c r="WNH20" s="413"/>
      <c r="WNI20" s="413"/>
      <c r="WNJ20" s="413"/>
      <c r="WNK20" s="413"/>
      <c r="WNL20" s="413"/>
      <c r="WNM20" s="413"/>
      <c r="WNN20" s="413"/>
      <c r="WNO20" s="413"/>
      <c r="WNP20" s="413"/>
      <c r="WNQ20" s="413"/>
      <c r="WNR20" s="413"/>
      <c r="WNS20" s="413"/>
      <c r="WNT20" s="413"/>
      <c r="WNU20" s="413"/>
      <c r="WNV20" s="413"/>
      <c r="WNW20" s="413"/>
      <c r="WNX20" s="413"/>
      <c r="WNY20" s="413"/>
      <c r="WNZ20" s="413"/>
      <c r="WOA20" s="413"/>
      <c r="WOB20" s="413"/>
      <c r="WOC20" s="413"/>
      <c r="WOD20" s="413"/>
      <c r="WOE20" s="413"/>
      <c r="WOF20" s="413"/>
      <c r="WOG20" s="413"/>
      <c r="WOH20" s="413"/>
      <c r="WOI20" s="413"/>
      <c r="WOJ20" s="413"/>
      <c r="WOK20" s="413"/>
      <c r="WOL20" s="413"/>
      <c r="WOM20" s="413"/>
      <c r="WON20" s="413"/>
      <c r="WOO20" s="413"/>
      <c r="WOP20" s="413"/>
      <c r="WOQ20" s="413"/>
      <c r="WOR20" s="413"/>
      <c r="WOS20" s="413"/>
      <c r="WOT20" s="413"/>
      <c r="WOU20" s="413"/>
      <c r="WOV20" s="413"/>
      <c r="WOW20" s="413"/>
      <c r="WOX20" s="413"/>
      <c r="WOY20" s="413"/>
      <c r="WOZ20" s="413"/>
      <c r="WPA20" s="413"/>
      <c r="WPB20" s="413"/>
      <c r="WPC20" s="413"/>
      <c r="WPD20" s="413"/>
      <c r="WPE20" s="413"/>
      <c r="WPF20" s="413"/>
      <c r="WPG20" s="413"/>
      <c r="WPH20" s="413"/>
      <c r="WPI20" s="413"/>
      <c r="WPJ20" s="413"/>
      <c r="WPK20" s="413"/>
      <c r="WPL20" s="413"/>
      <c r="WPM20" s="413"/>
      <c r="WPN20" s="413"/>
      <c r="WPO20" s="413"/>
      <c r="WPP20" s="413"/>
      <c r="WPQ20" s="413"/>
      <c r="WPR20" s="413"/>
      <c r="WPS20" s="413"/>
      <c r="WPT20" s="413"/>
      <c r="WPU20" s="413"/>
      <c r="WPV20" s="413"/>
      <c r="WPW20" s="413"/>
      <c r="WPX20" s="413"/>
      <c r="WPY20" s="413"/>
      <c r="WPZ20" s="413"/>
      <c r="WQA20" s="413"/>
      <c r="WQB20" s="413"/>
      <c r="WQC20" s="413"/>
      <c r="WQD20" s="413"/>
      <c r="WQE20" s="413"/>
      <c r="WQF20" s="413"/>
      <c r="WQG20" s="413"/>
      <c r="WQH20" s="413"/>
      <c r="WQI20" s="413"/>
      <c r="WQJ20" s="413"/>
      <c r="WQK20" s="413"/>
      <c r="WQL20" s="413"/>
      <c r="WQM20" s="413"/>
      <c r="WQN20" s="413"/>
      <c r="WQO20" s="413"/>
      <c r="WQP20" s="413"/>
      <c r="WQQ20" s="413"/>
      <c r="WQR20" s="413"/>
      <c r="WQS20" s="413"/>
      <c r="WQT20" s="413"/>
      <c r="WQU20" s="413"/>
      <c r="WQV20" s="413"/>
      <c r="WQW20" s="413"/>
      <c r="WQX20" s="413"/>
      <c r="WQY20" s="413"/>
      <c r="WQZ20" s="413"/>
      <c r="WRA20" s="413"/>
      <c r="WRB20" s="413"/>
      <c r="WRC20" s="413"/>
      <c r="WRD20" s="413"/>
      <c r="WRE20" s="413"/>
      <c r="WRF20" s="413"/>
      <c r="WRG20" s="413"/>
      <c r="WRH20" s="413"/>
      <c r="WRI20" s="413"/>
      <c r="WRJ20" s="413"/>
      <c r="WRK20" s="413"/>
      <c r="WRL20" s="413"/>
      <c r="WRM20" s="413"/>
      <c r="WRN20" s="413"/>
      <c r="WRO20" s="413"/>
      <c r="WRP20" s="413"/>
      <c r="WRQ20" s="413"/>
      <c r="WRR20" s="413"/>
      <c r="WRS20" s="413"/>
      <c r="WRT20" s="413"/>
      <c r="WRU20" s="413"/>
      <c r="WRV20" s="413"/>
      <c r="WRW20" s="413"/>
      <c r="WRX20" s="413"/>
      <c r="WRY20" s="413"/>
      <c r="WRZ20" s="413"/>
      <c r="WSA20" s="413"/>
      <c r="WSB20" s="413"/>
      <c r="WSC20" s="413"/>
      <c r="WSD20" s="413"/>
      <c r="WSE20" s="413"/>
      <c r="WSF20" s="413"/>
      <c r="WSG20" s="413"/>
      <c r="WSH20" s="413"/>
      <c r="WSI20" s="413"/>
      <c r="WSJ20" s="413"/>
      <c r="WSK20" s="413"/>
      <c r="WSL20" s="413"/>
      <c r="WSM20" s="413"/>
      <c r="WSN20" s="413"/>
      <c r="WSO20" s="413"/>
      <c r="WSP20" s="413"/>
      <c r="WSQ20" s="413"/>
      <c r="WSR20" s="413"/>
      <c r="WSS20" s="413"/>
      <c r="WST20" s="413"/>
      <c r="WSU20" s="413"/>
      <c r="WSV20" s="413"/>
      <c r="WSW20" s="413"/>
      <c r="WSX20" s="413"/>
      <c r="WSY20" s="413"/>
      <c r="WSZ20" s="413"/>
      <c r="WTA20" s="413"/>
      <c r="WTB20" s="413"/>
      <c r="WTC20" s="413"/>
      <c r="WTD20" s="413"/>
      <c r="WTE20" s="413"/>
      <c r="WTF20" s="413"/>
      <c r="WTG20" s="413"/>
      <c r="WTH20" s="413"/>
      <c r="WTI20" s="413"/>
      <c r="WTJ20" s="413"/>
      <c r="WTK20" s="413"/>
      <c r="WTL20" s="413"/>
      <c r="WTM20" s="413"/>
      <c r="WTN20" s="413"/>
      <c r="WTO20" s="413"/>
      <c r="WTP20" s="413"/>
      <c r="WTQ20" s="413"/>
      <c r="WTR20" s="413"/>
      <c r="WTS20" s="413"/>
      <c r="WTT20" s="413"/>
      <c r="WTU20" s="413"/>
      <c r="WTV20" s="413"/>
      <c r="WTW20" s="413"/>
      <c r="WTX20" s="413"/>
      <c r="WTY20" s="413"/>
      <c r="WTZ20" s="413"/>
      <c r="WUA20" s="413"/>
      <c r="WUB20" s="413"/>
      <c r="WUC20" s="413"/>
      <c r="WUD20" s="413"/>
      <c r="WUE20" s="413"/>
      <c r="WUF20" s="413"/>
      <c r="WUG20" s="413"/>
      <c r="WUH20" s="413"/>
      <c r="WUI20" s="413"/>
      <c r="WUJ20" s="413"/>
      <c r="WUK20" s="413"/>
      <c r="WUL20" s="413"/>
      <c r="WUM20" s="413"/>
      <c r="WUN20" s="413"/>
      <c r="WUO20" s="413"/>
      <c r="WUP20" s="413"/>
      <c r="WUQ20" s="413"/>
      <c r="WUR20" s="413"/>
      <c r="WUS20" s="413"/>
      <c r="WUT20" s="413"/>
      <c r="WUU20" s="413"/>
      <c r="WUV20" s="413"/>
      <c r="WUW20" s="413"/>
      <c r="WUX20" s="413"/>
      <c r="WUY20" s="413"/>
      <c r="WUZ20" s="413"/>
      <c r="WVA20" s="413"/>
      <c r="WVB20" s="413"/>
      <c r="WVC20" s="413"/>
      <c r="WVD20" s="413"/>
      <c r="WVE20" s="413"/>
      <c r="WVF20" s="413"/>
      <c r="WVG20" s="413"/>
      <c r="WVH20" s="413"/>
      <c r="WVI20" s="413"/>
      <c r="WVJ20" s="413"/>
      <c r="WVK20" s="413"/>
      <c r="WVL20" s="413"/>
      <c r="WVM20" s="413"/>
      <c r="WVN20" s="413"/>
      <c r="WVO20" s="413"/>
      <c r="WVP20" s="413"/>
      <c r="WVQ20" s="413"/>
      <c r="WVR20" s="413"/>
      <c r="WVS20" s="413"/>
      <c r="WVT20" s="413"/>
      <c r="WVU20" s="413"/>
      <c r="WVV20" s="413"/>
      <c r="WVW20" s="413"/>
      <c r="WVX20" s="413"/>
      <c r="WVY20" s="413"/>
      <c r="WVZ20" s="413"/>
      <c r="WWA20" s="413"/>
      <c r="WWB20" s="413"/>
      <c r="WWC20" s="413"/>
      <c r="WWD20" s="413"/>
      <c r="WWE20" s="413"/>
      <c r="WWF20" s="413"/>
      <c r="WWG20" s="413"/>
      <c r="WWH20" s="413"/>
      <c r="WWI20" s="413"/>
      <c r="WWJ20" s="413"/>
      <c r="WWK20" s="413"/>
      <c r="WWL20" s="413"/>
      <c r="WWM20" s="413"/>
      <c r="WWN20" s="413"/>
      <c r="WWO20" s="413"/>
      <c r="WWP20" s="413"/>
      <c r="WWQ20" s="413"/>
      <c r="WWR20" s="413"/>
      <c r="WWS20" s="413"/>
      <c r="WWT20" s="413"/>
      <c r="WWU20" s="413"/>
      <c r="WWV20" s="413"/>
      <c r="WWW20" s="413"/>
      <c r="WWX20" s="413"/>
      <c r="WWY20" s="413"/>
      <c r="WWZ20" s="413"/>
      <c r="WXA20" s="413"/>
      <c r="WXB20" s="413"/>
      <c r="WXC20" s="413"/>
      <c r="WXD20" s="413"/>
      <c r="WXE20" s="413"/>
      <c r="WXF20" s="413"/>
      <c r="WXG20" s="413"/>
      <c r="WXH20" s="413"/>
      <c r="WXI20" s="413"/>
      <c r="WXJ20" s="413"/>
      <c r="WXK20" s="413"/>
      <c r="WXL20" s="413"/>
      <c r="WXM20" s="413"/>
      <c r="WXN20" s="413"/>
      <c r="WXO20" s="413"/>
      <c r="WXP20" s="413"/>
      <c r="WXQ20" s="413"/>
      <c r="WXR20" s="413"/>
      <c r="WXS20" s="413"/>
      <c r="WXT20" s="413"/>
      <c r="WXU20" s="413"/>
      <c r="WXV20" s="413"/>
      <c r="WXW20" s="413"/>
      <c r="WXX20" s="413"/>
      <c r="WXY20" s="413"/>
      <c r="WXZ20" s="413"/>
      <c r="WYA20" s="413"/>
      <c r="WYB20" s="413"/>
      <c r="WYC20" s="413"/>
      <c r="WYD20" s="413"/>
      <c r="WYE20" s="413"/>
      <c r="WYF20" s="413"/>
      <c r="WYG20" s="413"/>
      <c r="WYH20" s="413"/>
      <c r="WYI20" s="413"/>
      <c r="WYJ20" s="413"/>
      <c r="WYK20" s="413"/>
      <c r="WYL20" s="413"/>
      <c r="WYM20" s="413"/>
      <c r="WYN20" s="413"/>
      <c r="WYO20" s="413"/>
      <c r="WYP20" s="413"/>
      <c r="WYQ20" s="413"/>
      <c r="WYR20" s="413"/>
      <c r="WYS20" s="413"/>
      <c r="WYT20" s="413"/>
      <c r="WYU20" s="413"/>
      <c r="WYV20" s="413"/>
      <c r="WYW20" s="413"/>
      <c r="WYX20" s="413"/>
      <c r="WYY20" s="413"/>
      <c r="WYZ20" s="413"/>
      <c r="WZA20" s="413"/>
      <c r="WZB20" s="413"/>
      <c r="WZC20" s="413"/>
      <c r="WZD20" s="413"/>
      <c r="WZE20" s="413"/>
      <c r="WZF20" s="413"/>
      <c r="WZG20" s="413"/>
      <c r="WZH20" s="413"/>
      <c r="WZI20" s="413"/>
      <c r="WZJ20" s="413"/>
      <c r="WZK20" s="413"/>
      <c r="WZL20" s="413"/>
      <c r="WZM20" s="413"/>
      <c r="WZN20" s="413"/>
      <c r="WZO20" s="413"/>
      <c r="WZP20" s="413"/>
      <c r="WZQ20" s="413"/>
      <c r="WZR20" s="413"/>
      <c r="WZS20" s="413"/>
      <c r="WZT20" s="413"/>
      <c r="WZU20" s="413"/>
      <c r="WZV20" s="413"/>
      <c r="WZW20" s="413"/>
      <c r="WZX20" s="413"/>
      <c r="WZY20" s="413"/>
      <c r="WZZ20" s="413"/>
      <c r="XAA20" s="413"/>
      <c r="XAB20" s="413"/>
      <c r="XAC20" s="413"/>
      <c r="XAD20" s="413"/>
      <c r="XAE20" s="413"/>
      <c r="XAF20" s="413"/>
      <c r="XAG20" s="413"/>
      <c r="XAH20" s="413"/>
      <c r="XAI20" s="413"/>
      <c r="XAJ20" s="413"/>
      <c r="XAK20" s="413"/>
      <c r="XAL20" s="413"/>
      <c r="XAM20" s="413"/>
      <c r="XAN20" s="413"/>
      <c r="XAO20" s="413"/>
      <c r="XAP20" s="413"/>
      <c r="XAQ20" s="413"/>
      <c r="XAR20" s="413"/>
      <c r="XAS20" s="413"/>
      <c r="XAT20" s="413"/>
      <c r="XAU20" s="413"/>
      <c r="XAV20" s="413"/>
      <c r="XAW20" s="413"/>
      <c r="XAX20" s="413"/>
      <c r="XAY20" s="413"/>
      <c r="XAZ20" s="413"/>
      <c r="XBA20" s="413"/>
      <c r="XBB20" s="413"/>
      <c r="XBC20" s="413"/>
      <c r="XBD20" s="413"/>
      <c r="XBE20" s="413"/>
      <c r="XBF20" s="413"/>
      <c r="XBG20" s="413"/>
      <c r="XBH20" s="413"/>
      <c r="XBI20" s="413"/>
      <c r="XBJ20" s="413"/>
      <c r="XBK20" s="413"/>
      <c r="XBL20" s="413"/>
      <c r="XBM20" s="413"/>
      <c r="XBN20" s="413"/>
      <c r="XBO20" s="413"/>
      <c r="XBP20" s="413"/>
      <c r="XBQ20" s="413"/>
      <c r="XBR20" s="413"/>
      <c r="XBS20" s="413"/>
      <c r="XBT20" s="413"/>
      <c r="XBU20" s="413"/>
      <c r="XBV20" s="413"/>
      <c r="XBW20" s="413"/>
      <c r="XBX20" s="413"/>
      <c r="XBY20" s="413"/>
      <c r="XBZ20" s="413"/>
      <c r="XCA20" s="413"/>
      <c r="XCB20" s="413"/>
      <c r="XCC20" s="413"/>
      <c r="XCD20" s="413"/>
      <c r="XCE20" s="413"/>
      <c r="XCF20" s="413"/>
      <c r="XCG20" s="413"/>
      <c r="XCH20" s="413"/>
      <c r="XCI20" s="413"/>
      <c r="XCJ20" s="413"/>
      <c r="XCK20" s="413"/>
      <c r="XCL20" s="413"/>
      <c r="XCM20" s="413"/>
      <c r="XCN20" s="413"/>
      <c r="XCO20" s="413"/>
      <c r="XCP20" s="413"/>
      <c r="XCQ20" s="413"/>
      <c r="XCR20" s="413"/>
      <c r="XCS20" s="413"/>
      <c r="XCT20" s="413"/>
      <c r="XCU20" s="413"/>
      <c r="XCV20" s="413"/>
      <c r="XCW20" s="413"/>
      <c r="XCX20" s="413"/>
      <c r="XCY20" s="413"/>
      <c r="XCZ20" s="413"/>
      <c r="XDA20" s="413"/>
      <c r="XDB20" s="413"/>
      <c r="XDC20" s="413"/>
      <c r="XDD20" s="413"/>
      <c r="XDE20" s="413"/>
      <c r="XDF20" s="413"/>
      <c r="XDG20" s="413"/>
      <c r="XDH20" s="413"/>
      <c r="XDI20" s="413"/>
      <c r="XDJ20" s="413"/>
      <c r="XDK20" s="413"/>
      <c r="XDL20" s="413"/>
      <c r="XDM20" s="413"/>
      <c r="XDN20" s="413"/>
      <c r="XDO20" s="413"/>
      <c r="XDP20" s="413"/>
      <c r="XDQ20" s="413"/>
      <c r="XDR20" s="413"/>
      <c r="XDS20" s="413"/>
      <c r="XDT20" s="413"/>
      <c r="XDU20" s="413"/>
      <c r="XDV20" s="413"/>
      <c r="XDW20" s="413"/>
      <c r="XDX20" s="413"/>
      <c r="XDY20" s="413"/>
      <c r="XDZ20" s="413"/>
      <c r="XEA20" s="413"/>
      <c r="XEB20" s="413"/>
      <c r="XEC20" s="413"/>
      <c r="XED20" s="413"/>
      <c r="XEE20" s="413"/>
      <c r="XEF20" s="413"/>
      <c r="XEG20" s="413"/>
      <c r="XEH20" s="413"/>
      <c r="XEI20" s="413"/>
      <c r="XEJ20" s="413"/>
      <c r="XEK20" s="413"/>
      <c r="XEL20" s="413"/>
      <c r="XEM20" s="413"/>
      <c r="XEN20" s="413"/>
      <c r="XEO20" s="413"/>
      <c r="XEP20" s="413"/>
      <c r="XEQ20" s="413"/>
      <c r="XER20" s="413"/>
      <c r="XES20" s="413"/>
      <c r="XET20" s="413"/>
      <c r="XEU20" s="413"/>
      <c r="XEV20" s="413"/>
      <c r="XEW20" s="413"/>
      <c r="XEX20" s="413"/>
      <c r="XEY20" s="413"/>
      <c r="XEZ20" s="413"/>
      <c r="XFA20" s="413"/>
      <c r="XFB20" s="421"/>
      <c r="XFC20" s="421"/>
      <c r="XFD20" s="421"/>
    </row>
    <row r="21" s="409" customFormat="1" spans="1:20">
      <c r="A21" s="406" t="s">
        <v>2732</v>
      </c>
      <c r="B21" s="406" t="s">
        <v>2733</v>
      </c>
      <c r="C21" s="406" t="s">
        <v>2662</v>
      </c>
      <c r="D21" s="406">
        <v>33079.29</v>
      </c>
      <c r="E21" s="406">
        <v>39695.15</v>
      </c>
      <c r="F21" s="406" t="s">
        <v>2734</v>
      </c>
      <c r="G21" s="406" t="s">
        <v>2664</v>
      </c>
      <c r="H21" s="406" t="s">
        <v>2712</v>
      </c>
      <c r="I21" s="414">
        <v>44687.0004976852</v>
      </c>
      <c r="J21" s="406" t="s">
        <v>2666</v>
      </c>
      <c r="K21" s="406" t="s">
        <v>2735</v>
      </c>
      <c r="L21" s="406">
        <v>4981.74</v>
      </c>
      <c r="M21" s="406">
        <v>100.4</v>
      </c>
      <c r="N21" s="406">
        <v>1255</v>
      </c>
      <c r="O21" s="406">
        <v>0</v>
      </c>
      <c r="P21" s="406" t="s">
        <v>2675</v>
      </c>
      <c r="S21" s="406">
        <f t="shared" si="2"/>
        <v>1506</v>
      </c>
      <c r="T21" s="406">
        <f t="shared" ref="T17:T33" si="3">ROUND(S21*$Q$7,0)</f>
        <v>2206</v>
      </c>
    </row>
    <row r="22" s="409" customFormat="1" spans="1:20">
      <c r="A22" s="406" t="s">
        <v>2736</v>
      </c>
      <c r="B22" s="406" t="s">
        <v>2737</v>
      </c>
      <c r="C22" s="406" t="s">
        <v>2662</v>
      </c>
      <c r="D22" s="406">
        <v>33079.29</v>
      </c>
      <c r="E22" s="406">
        <v>39695.15</v>
      </c>
      <c r="F22" s="406">
        <v>1.2</v>
      </c>
      <c r="G22" s="406" t="s">
        <v>2664</v>
      </c>
      <c r="H22" s="406" t="s">
        <v>2738</v>
      </c>
      <c r="I22" s="414">
        <v>44567.0004976852</v>
      </c>
      <c r="J22" s="406" t="s">
        <v>2666</v>
      </c>
      <c r="K22" s="406" t="s">
        <v>2739</v>
      </c>
      <c r="L22" s="406">
        <v>4981.74</v>
      </c>
      <c r="M22" s="406">
        <v>100.4</v>
      </c>
      <c r="N22" s="406">
        <v>1255</v>
      </c>
      <c r="O22" s="406">
        <v>0</v>
      </c>
      <c r="P22" s="406">
        <v>20</v>
      </c>
      <c r="S22" s="406">
        <f t="shared" si="2"/>
        <v>1506</v>
      </c>
      <c r="T22" s="406">
        <f t="shared" si="3"/>
        <v>2206</v>
      </c>
    </row>
    <row r="23" s="411" customFormat="1" spans="1:16384">
      <c r="A23" s="407" t="s">
        <v>2740</v>
      </c>
      <c r="B23" s="407" t="s">
        <v>2741</v>
      </c>
      <c r="C23" s="407" t="s">
        <v>2662</v>
      </c>
      <c r="D23" s="407">
        <v>70381.62</v>
      </c>
      <c r="E23" s="407">
        <v>107447.38</v>
      </c>
      <c r="F23" s="407">
        <v>1.53</v>
      </c>
      <c r="G23" s="407" t="s">
        <v>2664</v>
      </c>
      <c r="H23" s="407" t="s">
        <v>2712</v>
      </c>
      <c r="I23" s="415">
        <v>44560.0004976852</v>
      </c>
      <c r="J23" s="407" t="s">
        <v>2666</v>
      </c>
      <c r="K23" s="407" t="s">
        <v>2742</v>
      </c>
      <c r="L23" s="407">
        <v>15861.01</v>
      </c>
      <c r="M23" s="407">
        <v>150.24</v>
      </c>
      <c r="N23" s="407">
        <v>1476</v>
      </c>
      <c r="O23" s="407">
        <v>0</v>
      </c>
      <c r="P23" s="407">
        <v>50</v>
      </c>
      <c r="Q23" s="407"/>
      <c r="R23" s="407"/>
      <c r="S23" s="407">
        <f t="shared" si="2"/>
        <v>2254</v>
      </c>
      <c r="T23" s="407">
        <f>S23</f>
        <v>2254</v>
      </c>
      <c r="U23" s="407"/>
      <c r="V23" s="407"/>
      <c r="W23" s="407"/>
      <c r="X23" s="407"/>
      <c r="Y23" s="407"/>
      <c r="Z23" s="407"/>
      <c r="AA23" s="407"/>
      <c r="AB23" s="407"/>
      <c r="AC23" s="407"/>
      <c r="AD23" s="407"/>
      <c r="AE23" s="407"/>
      <c r="AF23" s="407"/>
      <c r="AG23" s="407"/>
      <c r="AH23" s="407"/>
      <c r="AI23" s="407"/>
      <c r="AJ23" s="407"/>
      <c r="AK23" s="407"/>
      <c r="AL23" s="407"/>
      <c r="AM23" s="407"/>
      <c r="AN23" s="407"/>
      <c r="AO23" s="407"/>
      <c r="AP23" s="407"/>
      <c r="AQ23" s="407"/>
      <c r="AR23" s="407"/>
      <c r="AS23" s="407"/>
      <c r="AT23" s="407"/>
      <c r="AU23" s="407"/>
      <c r="AV23" s="407"/>
      <c r="AW23" s="407"/>
      <c r="AX23" s="407"/>
      <c r="AY23" s="407"/>
      <c r="AZ23" s="407"/>
      <c r="BA23" s="407"/>
      <c r="BB23" s="407"/>
      <c r="BC23" s="407"/>
      <c r="BD23" s="407"/>
      <c r="BE23" s="407"/>
      <c r="BF23" s="407"/>
      <c r="BG23" s="407"/>
      <c r="BH23" s="407"/>
      <c r="BI23" s="407"/>
      <c r="BJ23" s="407"/>
      <c r="BK23" s="407"/>
      <c r="BL23" s="407"/>
      <c r="BM23" s="407"/>
      <c r="BN23" s="407"/>
      <c r="BO23" s="407"/>
      <c r="BP23" s="407"/>
      <c r="BQ23" s="407"/>
      <c r="BR23" s="407"/>
      <c r="BS23" s="407"/>
      <c r="BT23" s="407"/>
      <c r="BU23" s="407"/>
      <c r="BV23" s="407"/>
      <c r="BW23" s="407"/>
      <c r="BX23" s="407"/>
      <c r="BY23" s="407"/>
      <c r="BZ23" s="407"/>
      <c r="CA23" s="407"/>
      <c r="CB23" s="407"/>
      <c r="CC23" s="407"/>
      <c r="CD23" s="407"/>
      <c r="CE23" s="407"/>
      <c r="CF23" s="407"/>
      <c r="CG23" s="407"/>
      <c r="CH23" s="407"/>
      <c r="CI23" s="407"/>
      <c r="CJ23" s="407"/>
      <c r="CK23" s="407"/>
      <c r="CL23" s="407"/>
      <c r="CM23" s="407"/>
      <c r="CN23" s="407"/>
      <c r="CO23" s="407"/>
      <c r="CP23" s="407"/>
      <c r="CQ23" s="407"/>
      <c r="CR23" s="407"/>
      <c r="CS23" s="407"/>
      <c r="CT23" s="407"/>
      <c r="CU23" s="407"/>
      <c r="CV23" s="407"/>
      <c r="CW23" s="407"/>
      <c r="CX23" s="407"/>
      <c r="CY23" s="407"/>
      <c r="CZ23" s="407"/>
      <c r="DA23" s="407"/>
      <c r="DB23" s="407"/>
      <c r="DC23" s="407"/>
      <c r="DD23" s="407"/>
      <c r="DE23" s="407"/>
      <c r="DF23" s="407"/>
      <c r="DG23" s="407"/>
      <c r="DH23" s="407"/>
      <c r="DI23" s="407"/>
      <c r="DJ23" s="407"/>
      <c r="DK23" s="407"/>
      <c r="DL23" s="407"/>
      <c r="DM23" s="407"/>
      <c r="DN23" s="407"/>
      <c r="DO23" s="407"/>
      <c r="DP23" s="407"/>
      <c r="DQ23" s="407"/>
      <c r="DR23" s="407"/>
      <c r="DS23" s="407"/>
      <c r="DT23" s="407"/>
      <c r="DU23" s="407"/>
      <c r="DV23" s="407"/>
      <c r="DW23" s="407"/>
      <c r="DX23" s="407"/>
      <c r="DY23" s="407"/>
      <c r="DZ23" s="407"/>
      <c r="EA23" s="407"/>
      <c r="EB23" s="407"/>
      <c r="EC23" s="407"/>
      <c r="ED23" s="407"/>
      <c r="EE23" s="407"/>
      <c r="EF23" s="407"/>
      <c r="EG23" s="407"/>
      <c r="EH23" s="407"/>
      <c r="EI23" s="407"/>
      <c r="EJ23" s="407"/>
      <c r="EK23" s="407"/>
      <c r="EL23" s="407"/>
      <c r="EM23" s="407"/>
      <c r="EN23" s="407"/>
      <c r="EO23" s="407"/>
      <c r="EP23" s="407"/>
      <c r="EQ23" s="407"/>
      <c r="ER23" s="407"/>
      <c r="ES23" s="407"/>
      <c r="ET23" s="407"/>
      <c r="EU23" s="407"/>
      <c r="EV23" s="407"/>
      <c r="EW23" s="407"/>
      <c r="EX23" s="407"/>
      <c r="EY23" s="407"/>
      <c r="EZ23" s="407"/>
      <c r="FA23" s="407"/>
      <c r="FB23" s="407"/>
      <c r="FC23" s="407"/>
      <c r="FD23" s="407"/>
      <c r="FE23" s="407"/>
      <c r="FF23" s="407"/>
      <c r="FG23" s="407"/>
      <c r="FH23" s="407"/>
      <c r="FI23" s="407"/>
      <c r="FJ23" s="407"/>
      <c r="FK23" s="407"/>
      <c r="FL23" s="407"/>
      <c r="FM23" s="407"/>
      <c r="FN23" s="407"/>
      <c r="FO23" s="407"/>
      <c r="FP23" s="407"/>
      <c r="FQ23" s="407"/>
      <c r="FR23" s="407"/>
      <c r="FS23" s="407"/>
      <c r="FT23" s="407"/>
      <c r="FU23" s="407"/>
      <c r="FV23" s="407"/>
      <c r="FW23" s="407"/>
      <c r="FX23" s="407"/>
      <c r="FY23" s="407"/>
      <c r="FZ23" s="407"/>
      <c r="GA23" s="407"/>
      <c r="GB23" s="407"/>
      <c r="GC23" s="407"/>
      <c r="GD23" s="407"/>
      <c r="GE23" s="407"/>
      <c r="GF23" s="407"/>
      <c r="GG23" s="407"/>
      <c r="GH23" s="407"/>
      <c r="GI23" s="407"/>
      <c r="GJ23" s="407"/>
      <c r="GK23" s="407"/>
      <c r="GL23" s="407"/>
      <c r="GM23" s="407"/>
      <c r="GN23" s="407"/>
      <c r="GO23" s="407"/>
      <c r="GP23" s="407"/>
      <c r="GQ23" s="407"/>
      <c r="GR23" s="407"/>
      <c r="GS23" s="407"/>
      <c r="GT23" s="407"/>
      <c r="GU23" s="407"/>
      <c r="GV23" s="407"/>
      <c r="GW23" s="407"/>
      <c r="GX23" s="407"/>
      <c r="GY23" s="407"/>
      <c r="GZ23" s="407"/>
      <c r="HA23" s="407"/>
      <c r="HB23" s="407"/>
      <c r="HC23" s="407"/>
      <c r="HD23" s="407"/>
      <c r="HE23" s="407"/>
      <c r="HF23" s="407"/>
      <c r="HG23" s="407"/>
      <c r="HH23" s="407"/>
      <c r="HI23" s="407"/>
      <c r="HJ23" s="407"/>
      <c r="HK23" s="407"/>
      <c r="HL23" s="407"/>
      <c r="HM23" s="407"/>
      <c r="HN23" s="407"/>
      <c r="HO23" s="407"/>
      <c r="HP23" s="407"/>
      <c r="HQ23" s="407"/>
      <c r="HR23" s="407"/>
      <c r="HS23" s="407"/>
      <c r="HT23" s="407"/>
      <c r="HU23" s="407"/>
      <c r="HV23" s="407"/>
      <c r="HW23" s="407"/>
      <c r="HX23" s="407"/>
      <c r="HY23" s="407"/>
      <c r="HZ23" s="407"/>
      <c r="IA23" s="407"/>
      <c r="IB23" s="407"/>
      <c r="IC23" s="407"/>
      <c r="ID23" s="407"/>
      <c r="IE23" s="407"/>
      <c r="IF23" s="407"/>
      <c r="IG23" s="407"/>
      <c r="IH23" s="407"/>
      <c r="II23" s="407"/>
      <c r="IJ23" s="407"/>
      <c r="IK23" s="407"/>
      <c r="IL23" s="407"/>
      <c r="IM23" s="407"/>
      <c r="IN23" s="407"/>
      <c r="IO23" s="407"/>
      <c r="IP23" s="407"/>
      <c r="IQ23" s="407"/>
      <c r="IR23" s="407"/>
      <c r="IS23" s="407"/>
      <c r="IT23" s="407"/>
      <c r="IU23" s="407"/>
      <c r="IV23" s="407"/>
      <c r="IW23" s="407"/>
      <c r="IX23" s="407"/>
      <c r="IY23" s="407"/>
      <c r="IZ23" s="407"/>
      <c r="JA23" s="407"/>
      <c r="JB23" s="407"/>
      <c r="JC23" s="407"/>
      <c r="JD23" s="407"/>
      <c r="JE23" s="407"/>
      <c r="JF23" s="407"/>
      <c r="JG23" s="407"/>
      <c r="JH23" s="407"/>
      <c r="JI23" s="407"/>
      <c r="JJ23" s="407"/>
      <c r="JK23" s="407"/>
      <c r="JL23" s="407"/>
      <c r="JM23" s="407"/>
      <c r="JN23" s="407"/>
      <c r="JO23" s="407"/>
      <c r="JP23" s="407"/>
      <c r="JQ23" s="407"/>
      <c r="JR23" s="407"/>
      <c r="JS23" s="407"/>
      <c r="JT23" s="407"/>
      <c r="JU23" s="407"/>
      <c r="JV23" s="407"/>
      <c r="JW23" s="407"/>
      <c r="JX23" s="407"/>
      <c r="JY23" s="407"/>
      <c r="JZ23" s="407"/>
      <c r="KA23" s="407"/>
      <c r="KB23" s="407"/>
      <c r="KC23" s="407"/>
      <c r="KD23" s="407"/>
      <c r="KE23" s="407"/>
      <c r="KF23" s="407"/>
      <c r="KG23" s="407"/>
      <c r="KH23" s="407"/>
      <c r="KI23" s="407"/>
      <c r="KJ23" s="407"/>
      <c r="KK23" s="407"/>
      <c r="KL23" s="407"/>
      <c r="KM23" s="407"/>
      <c r="KN23" s="407"/>
      <c r="KO23" s="407"/>
      <c r="KP23" s="407"/>
      <c r="KQ23" s="407"/>
      <c r="KR23" s="407"/>
      <c r="KS23" s="407"/>
      <c r="KT23" s="407"/>
      <c r="KU23" s="407"/>
      <c r="KV23" s="407"/>
      <c r="KW23" s="407"/>
      <c r="KX23" s="407"/>
      <c r="KY23" s="407"/>
      <c r="KZ23" s="407"/>
      <c r="LA23" s="407"/>
      <c r="LB23" s="407"/>
      <c r="LC23" s="407"/>
      <c r="LD23" s="407"/>
      <c r="LE23" s="407"/>
      <c r="LF23" s="407"/>
      <c r="LG23" s="407"/>
      <c r="LH23" s="407"/>
      <c r="LI23" s="407"/>
      <c r="LJ23" s="407"/>
      <c r="LK23" s="407"/>
      <c r="LL23" s="407"/>
      <c r="LM23" s="407"/>
      <c r="LN23" s="407"/>
      <c r="LO23" s="407"/>
      <c r="LP23" s="407"/>
      <c r="LQ23" s="407"/>
      <c r="LR23" s="407"/>
      <c r="LS23" s="407"/>
      <c r="LT23" s="407"/>
      <c r="LU23" s="407"/>
      <c r="LV23" s="407"/>
      <c r="LW23" s="407"/>
      <c r="LX23" s="407"/>
      <c r="LY23" s="407"/>
      <c r="LZ23" s="407"/>
      <c r="MA23" s="407"/>
      <c r="MB23" s="407"/>
      <c r="MC23" s="407"/>
      <c r="MD23" s="407"/>
      <c r="ME23" s="407"/>
      <c r="MF23" s="407"/>
      <c r="MG23" s="407"/>
      <c r="MH23" s="407"/>
      <c r="MI23" s="407"/>
      <c r="MJ23" s="407"/>
      <c r="MK23" s="407"/>
      <c r="ML23" s="407"/>
      <c r="MM23" s="407"/>
      <c r="MN23" s="407"/>
      <c r="MO23" s="407"/>
      <c r="MP23" s="407"/>
      <c r="MQ23" s="407"/>
      <c r="MR23" s="407"/>
      <c r="MS23" s="407"/>
      <c r="MT23" s="407"/>
      <c r="MU23" s="407"/>
      <c r="MV23" s="407"/>
      <c r="MW23" s="407"/>
      <c r="MX23" s="407"/>
      <c r="MY23" s="407"/>
      <c r="MZ23" s="407"/>
      <c r="NA23" s="407"/>
      <c r="NB23" s="407"/>
      <c r="NC23" s="407"/>
      <c r="ND23" s="407"/>
      <c r="NE23" s="407"/>
      <c r="NF23" s="407"/>
      <c r="NG23" s="407"/>
      <c r="NH23" s="407"/>
      <c r="NI23" s="407"/>
      <c r="NJ23" s="407"/>
      <c r="NK23" s="407"/>
      <c r="NL23" s="407"/>
      <c r="NM23" s="407"/>
      <c r="NN23" s="407"/>
      <c r="NO23" s="407"/>
      <c r="NP23" s="407"/>
      <c r="NQ23" s="407"/>
      <c r="NR23" s="407"/>
      <c r="NS23" s="407"/>
      <c r="NT23" s="407"/>
      <c r="NU23" s="407"/>
      <c r="NV23" s="407"/>
      <c r="NW23" s="407"/>
      <c r="NX23" s="407"/>
      <c r="NY23" s="407"/>
      <c r="NZ23" s="407"/>
      <c r="OA23" s="407"/>
      <c r="OB23" s="407"/>
      <c r="OC23" s="407"/>
      <c r="OD23" s="407"/>
      <c r="OE23" s="407"/>
      <c r="OF23" s="407"/>
      <c r="OG23" s="407"/>
      <c r="OH23" s="407"/>
      <c r="OI23" s="407"/>
      <c r="OJ23" s="407"/>
      <c r="OK23" s="407"/>
      <c r="OL23" s="407"/>
      <c r="OM23" s="407"/>
      <c r="ON23" s="407"/>
      <c r="OO23" s="407"/>
      <c r="OP23" s="407"/>
      <c r="OQ23" s="407"/>
      <c r="OR23" s="407"/>
      <c r="OS23" s="407"/>
      <c r="OT23" s="407"/>
      <c r="OU23" s="407"/>
      <c r="OV23" s="407"/>
      <c r="OW23" s="407"/>
      <c r="OX23" s="407"/>
      <c r="OY23" s="407"/>
      <c r="OZ23" s="407"/>
      <c r="PA23" s="407"/>
      <c r="PB23" s="407"/>
      <c r="PC23" s="407"/>
      <c r="PD23" s="407"/>
      <c r="PE23" s="407"/>
      <c r="PF23" s="407"/>
      <c r="PG23" s="407"/>
      <c r="PH23" s="407"/>
      <c r="PI23" s="407"/>
      <c r="PJ23" s="407"/>
      <c r="PK23" s="407"/>
      <c r="PL23" s="407"/>
      <c r="PM23" s="407"/>
      <c r="PN23" s="407"/>
      <c r="PO23" s="407"/>
      <c r="PP23" s="407"/>
      <c r="PQ23" s="407"/>
      <c r="PR23" s="407"/>
      <c r="PS23" s="407"/>
      <c r="PT23" s="407"/>
      <c r="PU23" s="407"/>
      <c r="PV23" s="407"/>
      <c r="PW23" s="407"/>
      <c r="PX23" s="407"/>
      <c r="PY23" s="407"/>
      <c r="PZ23" s="407"/>
      <c r="QA23" s="407"/>
      <c r="QB23" s="407"/>
      <c r="QC23" s="407"/>
      <c r="QD23" s="407"/>
      <c r="QE23" s="407"/>
      <c r="QF23" s="407"/>
      <c r="QG23" s="407"/>
      <c r="QH23" s="407"/>
      <c r="QI23" s="407"/>
      <c r="QJ23" s="407"/>
      <c r="QK23" s="407"/>
      <c r="QL23" s="407"/>
      <c r="QM23" s="407"/>
      <c r="QN23" s="407"/>
      <c r="QO23" s="407"/>
      <c r="QP23" s="407"/>
      <c r="QQ23" s="407"/>
      <c r="QR23" s="407"/>
      <c r="QS23" s="407"/>
      <c r="QT23" s="407"/>
      <c r="QU23" s="407"/>
      <c r="QV23" s="407"/>
      <c r="QW23" s="407"/>
      <c r="QX23" s="407"/>
      <c r="QY23" s="407"/>
      <c r="QZ23" s="407"/>
      <c r="RA23" s="407"/>
      <c r="RB23" s="407"/>
      <c r="RC23" s="407"/>
      <c r="RD23" s="407"/>
      <c r="RE23" s="407"/>
      <c r="RF23" s="407"/>
      <c r="RG23" s="407"/>
      <c r="RH23" s="407"/>
      <c r="RI23" s="407"/>
      <c r="RJ23" s="407"/>
      <c r="RK23" s="407"/>
      <c r="RL23" s="407"/>
      <c r="RM23" s="407"/>
      <c r="RN23" s="407"/>
      <c r="RO23" s="407"/>
      <c r="RP23" s="407"/>
      <c r="RQ23" s="407"/>
      <c r="RR23" s="407"/>
      <c r="RS23" s="407"/>
      <c r="RT23" s="407"/>
      <c r="RU23" s="407"/>
      <c r="RV23" s="407"/>
      <c r="RW23" s="407"/>
      <c r="RX23" s="407"/>
      <c r="RY23" s="407"/>
      <c r="RZ23" s="407"/>
      <c r="SA23" s="407"/>
      <c r="SB23" s="407"/>
      <c r="SC23" s="407"/>
      <c r="SD23" s="407"/>
      <c r="SE23" s="407"/>
      <c r="SF23" s="407"/>
      <c r="SG23" s="407"/>
      <c r="SH23" s="407"/>
      <c r="SI23" s="407"/>
      <c r="SJ23" s="407"/>
      <c r="SK23" s="407"/>
      <c r="SL23" s="407"/>
      <c r="SM23" s="407"/>
      <c r="SN23" s="407"/>
      <c r="SO23" s="407"/>
      <c r="SP23" s="407"/>
      <c r="SQ23" s="407"/>
      <c r="SR23" s="407"/>
      <c r="SS23" s="407"/>
      <c r="ST23" s="407"/>
      <c r="SU23" s="407"/>
      <c r="SV23" s="407"/>
      <c r="SW23" s="407"/>
      <c r="SX23" s="407"/>
      <c r="SY23" s="407"/>
      <c r="SZ23" s="407"/>
      <c r="TA23" s="407"/>
      <c r="TB23" s="407"/>
      <c r="TC23" s="407"/>
      <c r="TD23" s="407"/>
      <c r="TE23" s="407"/>
      <c r="TF23" s="407"/>
      <c r="TG23" s="407"/>
      <c r="TH23" s="407"/>
      <c r="TI23" s="407"/>
      <c r="TJ23" s="407"/>
      <c r="TK23" s="407"/>
      <c r="TL23" s="407"/>
      <c r="TM23" s="407"/>
      <c r="TN23" s="407"/>
      <c r="TO23" s="407"/>
      <c r="TP23" s="407"/>
      <c r="TQ23" s="407"/>
      <c r="TR23" s="407"/>
      <c r="TS23" s="407"/>
      <c r="TT23" s="407"/>
      <c r="TU23" s="407"/>
      <c r="TV23" s="407"/>
      <c r="TW23" s="407"/>
      <c r="TX23" s="407"/>
      <c r="TY23" s="407"/>
      <c r="TZ23" s="407"/>
      <c r="UA23" s="407"/>
      <c r="UB23" s="407"/>
      <c r="UC23" s="407"/>
      <c r="UD23" s="407"/>
      <c r="UE23" s="407"/>
      <c r="UF23" s="407"/>
      <c r="UG23" s="407"/>
      <c r="UH23" s="407"/>
      <c r="UI23" s="407"/>
      <c r="UJ23" s="407"/>
      <c r="UK23" s="407"/>
      <c r="UL23" s="407"/>
      <c r="UM23" s="407"/>
      <c r="UN23" s="407"/>
      <c r="UO23" s="407"/>
      <c r="UP23" s="407"/>
      <c r="UQ23" s="407"/>
      <c r="UR23" s="407"/>
      <c r="US23" s="407"/>
      <c r="UT23" s="407"/>
      <c r="UU23" s="407"/>
      <c r="UV23" s="407"/>
      <c r="UW23" s="407"/>
      <c r="UX23" s="407"/>
      <c r="UY23" s="407"/>
      <c r="UZ23" s="407"/>
      <c r="VA23" s="407"/>
      <c r="VB23" s="407"/>
      <c r="VC23" s="407"/>
      <c r="VD23" s="407"/>
      <c r="VE23" s="407"/>
      <c r="VF23" s="407"/>
      <c r="VG23" s="407"/>
      <c r="VH23" s="407"/>
      <c r="VI23" s="407"/>
      <c r="VJ23" s="407"/>
      <c r="VK23" s="407"/>
      <c r="VL23" s="407"/>
      <c r="VM23" s="407"/>
      <c r="VN23" s="407"/>
      <c r="VO23" s="407"/>
      <c r="VP23" s="407"/>
      <c r="VQ23" s="407"/>
      <c r="VR23" s="407"/>
      <c r="VS23" s="407"/>
      <c r="VT23" s="407"/>
      <c r="VU23" s="407"/>
      <c r="VV23" s="407"/>
      <c r="VW23" s="407"/>
      <c r="VX23" s="407"/>
      <c r="VY23" s="407"/>
      <c r="VZ23" s="407"/>
      <c r="WA23" s="407"/>
      <c r="WB23" s="407"/>
      <c r="WC23" s="407"/>
      <c r="WD23" s="407"/>
      <c r="WE23" s="407"/>
      <c r="WF23" s="407"/>
      <c r="WG23" s="407"/>
      <c r="WH23" s="407"/>
      <c r="WI23" s="407"/>
      <c r="WJ23" s="407"/>
      <c r="WK23" s="407"/>
      <c r="WL23" s="407"/>
      <c r="WM23" s="407"/>
      <c r="WN23" s="407"/>
      <c r="WO23" s="407"/>
      <c r="WP23" s="407"/>
      <c r="WQ23" s="407"/>
      <c r="WR23" s="407"/>
      <c r="WS23" s="407"/>
      <c r="WT23" s="407"/>
      <c r="WU23" s="407"/>
      <c r="WV23" s="407"/>
      <c r="WW23" s="407"/>
      <c r="WX23" s="407"/>
      <c r="WY23" s="407"/>
      <c r="WZ23" s="407"/>
      <c r="XA23" s="407"/>
      <c r="XB23" s="407"/>
      <c r="XC23" s="407"/>
      <c r="XD23" s="407"/>
      <c r="XE23" s="407"/>
      <c r="XF23" s="407"/>
      <c r="XG23" s="407"/>
      <c r="XH23" s="407"/>
      <c r="XI23" s="407"/>
      <c r="XJ23" s="407"/>
      <c r="XK23" s="407"/>
      <c r="XL23" s="407"/>
      <c r="XM23" s="407"/>
      <c r="XN23" s="407"/>
      <c r="XO23" s="407"/>
      <c r="XP23" s="407"/>
      <c r="XQ23" s="407"/>
      <c r="XR23" s="407"/>
      <c r="XS23" s="407"/>
      <c r="XT23" s="407"/>
      <c r="XU23" s="407"/>
      <c r="XV23" s="407"/>
      <c r="XW23" s="407"/>
      <c r="XX23" s="407"/>
      <c r="XY23" s="407"/>
      <c r="XZ23" s="407"/>
      <c r="YA23" s="407"/>
      <c r="YB23" s="407"/>
      <c r="YC23" s="407"/>
      <c r="YD23" s="407"/>
      <c r="YE23" s="407"/>
      <c r="YF23" s="407"/>
      <c r="YG23" s="407"/>
      <c r="YH23" s="407"/>
      <c r="YI23" s="407"/>
      <c r="YJ23" s="407"/>
      <c r="YK23" s="407"/>
      <c r="YL23" s="407"/>
      <c r="YM23" s="407"/>
      <c r="YN23" s="407"/>
      <c r="YO23" s="407"/>
      <c r="YP23" s="407"/>
      <c r="YQ23" s="407"/>
      <c r="YR23" s="407"/>
      <c r="YS23" s="407"/>
      <c r="YT23" s="407"/>
      <c r="YU23" s="407"/>
      <c r="YV23" s="407"/>
      <c r="YW23" s="407"/>
      <c r="YX23" s="407"/>
      <c r="YY23" s="407"/>
      <c r="YZ23" s="407"/>
      <c r="ZA23" s="407"/>
      <c r="ZB23" s="407"/>
      <c r="ZC23" s="407"/>
      <c r="ZD23" s="407"/>
      <c r="ZE23" s="407"/>
      <c r="ZF23" s="407"/>
      <c r="ZG23" s="407"/>
      <c r="ZH23" s="407"/>
      <c r="ZI23" s="407"/>
      <c r="ZJ23" s="407"/>
      <c r="ZK23" s="407"/>
      <c r="ZL23" s="407"/>
      <c r="ZM23" s="407"/>
      <c r="ZN23" s="407"/>
      <c r="ZO23" s="407"/>
      <c r="ZP23" s="407"/>
      <c r="ZQ23" s="407"/>
      <c r="ZR23" s="407"/>
      <c r="ZS23" s="407"/>
      <c r="ZT23" s="407"/>
      <c r="ZU23" s="407"/>
      <c r="ZV23" s="407"/>
      <c r="ZW23" s="407"/>
      <c r="ZX23" s="407"/>
      <c r="ZY23" s="407"/>
      <c r="ZZ23" s="407"/>
      <c r="AAA23" s="407"/>
      <c r="AAB23" s="407"/>
      <c r="AAC23" s="407"/>
      <c r="AAD23" s="407"/>
      <c r="AAE23" s="407"/>
      <c r="AAF23" s="407"/>
      <c r="AAG23" s="407"/>
      <c r="AAH23" s="407"/>
      <c r="AAI23" s="407"/>
      <c r="AAJ23" s="407"/>
      <c r="AAK23" s="407"/>
      <c r="AAL23" s="407"/>
      <c r="AAM23" s="407"/>
      <c r="AAN23" s="407"/>
      <c r="AAO23" s="407"/>
      <c r="AAP23" s="407"/>
      <c r="AAQ23" s="407"/>
      <c r="AAR23" s="407"/>
      <c r="AAS23" s="407"/>
      <c r="AAT23" s="407"/>
      <c r="AAU23" s="407"/>
      <c r="AAV23" s="407"/>
      <c r="AAW23" s="407"/>
      <c r="AAX23" s="407"/>
      <c r="AAY23" s="407"/>
      <c r="AAZ23" s="407"/>
      <c r="ABA23" s="407"/>
      <c r="ABB23" s="407"/>
      <c r="ABC23" s="407"/>
      <c r="ABD23" s="407"/>
      <c r="ABE23" s="407"/>
      <c r="ABF23" s="407"/>
      <c r="ABG23" s="407"/>
      <c r="ABH23" s="407"/>
      <c r="ABI23" s="407"/>
      <c r="ABJ23" s="407"/>
      <c r="ABK23" s="407"/>
      <c r="ABL23" s="407"/>
      <c r="ABM23" s="407"/>
      <c r="ABN23" s="407"/>
      <c r="ABO23" s="407"/>
      <c r="ABP23" s="407"/>
      <c r="ABQ23" s="407"/>
      <c r="ABR23" s="407"/>
      <c r="ABS23" s="407"/>
      <c r="ABT23" s="407"/>
      <c r="ABU23" s="407"/>
      <c r="ABV23" s="407"/>
      <c r="ABW23" s="407"/>
      <c r="ABX23" s="407"/>
      <c r="ABY23" s="407"/>
      <c r="ABZ23" s="407"/>
      <c r="ACA23" s="407"/>
      <c r="ACB23" s="407"/>
      <c r="ACC23" s="407"/>
      <c r="ACD23" s="407"/>
      <c r="ACE23" s="407"/>
      <c r="ACF23" s="407"/>
      <c r="ACG23" s="407"/>
      <c r="ACH23" s="407"/>
      <c r="ACI23" s="407"/>
      <c r="ACJ23" s="407"/>
      <c r="ACK23" s="407"/>
      <c r="ACL23" s="407"/>
      <c r="ACM23" s="407"/>
      <c r="ACN23" s="407"/>
      <c r="ACO23" s="407"/>
      <c r="ACP23" s="407"/>
      <c r="ACQ23" s="407"/>
      <c r="ACR23" s="407"/>
      <c r="ACS23" s="407"/>
      <c r="ACT23" s="407"/>
      <c r="ACU23" s="407"/>
      <c r="ACV23" s="407"/>
      <c r="ACW23" s="407"/>
      <c r="ACX23" s="407"/>
      <c r="ACY23" s="407"/>
      <c r="ACZ23" s="407"/>
      <c r="ADA23" s="407"/>
      <c r="ADB23" s="407"/>
      <c r="ADC23" s="407"/>
      <c r="ADD23" s="407"/>
      <c r="ADE23" s="407"/>
      <c r="ADF23" s="407"/>
      <c r="ADG23" s="407"/>
      <c r="ADH23" s="407"/>
      <c r="ADI23" s="407"/>
      <c r="ADJ23" s="407"/>
      <c r="ADK23" s="407"/>
      <c r="ADL23" s="407"/>
      <c r="ADM23" s="407"/>
      <c r="ADN23" s="407"/>
      <c r="ADO23" s="407"/>
      <c r="ADP23" s="407"/>
      <c r="ADQ23" s="407"/>
      <c r="ADR23" s="407"/>
      <c r="ADS23" s="407"/>
      <c r="ADT23" s="407"/>
      <c r="ADU23" s="407"/>
      <c r="ADV23" s="407"/>
      <c r="ADW23" s="407"/>
      <c r="ADX23" s="407"/>
      <c r="ADY23" s="407"/>
      <c r="ADZ23" s="407"/>
      <c r="AEA23" s="407"/>
      <c r="AEB23" s="407"/>
      <c r="AEC23" s="407"/>
      <c r="AED23" s="407"/>
      <c r="AEE23" s="407"/>
      <c r="AEF23" s="407"/>
      <c r="AEG23" s="407"/>
      <c r="AEH23" s="407"/>
      <c r="AEI23" s="407"/>
      <c r="AEJ23" s="407"/>
      <c r="AEK23" s="407"/>
      <c r="AEL23" s="407"/>
      <c r="AEM23" s="407"/>
      <c r="AEN23" s="407"/>
      <c r="AEO23" s="407"/>
      <c r="AEP23" s="407"/>
      <c r="AEQ23" s="407"/>
      <c r="AER23" s="407"/>
      <c r="AES23" s="407"/>
      <c r="AET23" s="407"/>
      <c r="AEU23" s="407"/>
      <c r="AEV23" s="407"/>
      <c r="AEW23" s="407"/>
      <c r="AEX23" s="407"/>
      <c r="AEY23" s="407"/>
      <c r="AEZ23" s="407"/>
      <c r="AFA23" s="407"/>
      <c r="AFB23" s="407"/>
      <c r="AFC23" s="407"/>
      <c r="AFD23" s="407"/>
      <c r="AFE23" s="407"/>
      <c r="AFF23" s="407"/>
      <c r="AFG23" s="407"/>
      <c r="AFH23" s="407"/>
      <c r="AFI23" s="407"/>
      <c r="AFJ23" s="407"/>
      <c r="AFK23" s="407"/>
      <c r="AFL23" s="407"/>
      <c r="AFM23" s="407"/>
      <c r="AFN23" s="407"/>
      <c r="AFO23" s="407"/>
      <c r="AFP23" s="407"/>
      <c r="AFQ23" s="407"/>
      <c r="AFR23" s="407"/>
      <c r="AFS23" s="407"/>
      <c r="AFT23" s="407"/>
      <c r="AFU23" s="407"/>
      <c r="AFV23" s="407"/>
      <c r="AFW23" s="407"/>
      <c r="AFX23" s="407"/>
      <c r="AFY23" s="407"/>
      <c r="AFZ23" s="407"/>
      <c r="AGA23" s="407"/>
      <c r="AGB23" s="407"/>
      <c r="AGC23" s="407"/>
      <c r="AGD23" s="407"/>
      <c r="AGE23" s="407"/>
      <c r="AGF23" s="407"/>
      <c r="AGG23" s="407"/>
      <c r="AGH23" s="407"/>
      <c r="AGI23" s="407"/>
      <c r="AGJ23" s="407"/>
      <c r="AGK23" s="407"/>
      <c r="AGL23" s="407"/>
      <c r="AGM23" s="407"/>
      <c r="AGN23" s="407"/>
      <c r="AGO23" s="407"/>
      <c r="AGP23" s="407"/>
      <c r="AGQ23" s="407"/>
      <c r="AGR23" s="407"/>
      <c r="AGS23" s="407"/>
      <c r="AGT23" s="407"/>
      <c r="AGU23" s="407"/>
      <c r="AGV23" s="407"/>
      <c r="AGW23" s="407"/>
      <c r="AGX23" s="407"/>
      <c r="AGY23" s="407"/>
      <c r="AGZ23" s="407"/>
      <c r="AHA23" s="407"/>
      <c r="AHB23" s="407"/>
      <c r="AHC23" s="407"/>
      <c r="AHD23" s="407"/>
      <c r="AHE23" s="407"/>
      <c r="AHF23" s="407"/>
      <c r="AHG23" s="407"/>
      <c r="AHH23" s="407"/>
      <c r="AHI23" s="407"/>
      <c r="AHJ23" s="407"/>
      <c r="AHK23" s="407"/>
      <c r="AHL23" s="407"/>
      <c r="AHM23" s="407"/>
      <c r="AHN23" s="407"/>
      <c r="AHO23" s="407"/>
      <c r="AHP23" s="407"/>
      <c r="AHQ23" s="407"/>
      <c r="AHR23" s="407"/>
      <c r="AHS23" s="407"/>
      <c r="AHT23" s="407"/>
      <c r="AHU23" s="407"/>
      <c r="AHV23" s="407"/>
      <c r="AHW23" s="407"/>
      <c r="AHX23" s="407"/>
      <c r="AHY23" s="407"/>
      <c r="AHZ23" s="407"/>
      <c r="AIA23" s="407"/>
      <c r="AIB23" s="407"/>
      <c r="AIC23" s="407"/>
      <c r="AID23" s="407"/>
      <c r="AIE23" s="407"/>
      <c r="AIF23" s="407"/>
      <c r="AIG23" s="407"/>
      <c r="AIH23" s="407"/>
      <c r="AII23" s="407"/>
      <c r="AIJ23" s="407"/>
      <c r="AIK23" s="407"/>
      <c r="AIL23" s="407"/>
      <c r="AIM23" s="407"/>
      <c r="AIN23" s="407"/>
      <c r="AIO23" s="407"/>
      <c r="AIP23" s="407"/>
      <c r="AIQ23" s="407"/>
      <c r="AIR23" s="407"/>
      <c r="AIS23" s="407"/>
      <c r="AIT23" s="407"/>
      <c r="AIU23" s="407"/>
      <c r="AIV23" s="407"/>
      <c r="AIW23" s="407"/>
      <c r="AIX23" s="407"/>
      <c r="AIY23" s="407"/>
      <c r="AIZ23" s="407"/>
      <c r="AJA23" s="407"/>
      <c r="AJB23" s="407"/>
      <c r="AJC23" s="407"/>
      <c r="AJD23" s="407"/>
      <c r="AJE23" s="407"/>
      <c r="AJF23" s="407"/>
      <c r="AJG23" s="407"/>
      <c r="AJH23" s="407"/>
      <c r="AJI23" s="407"/>
      <c r="AJJ23" s="407"/>
      <c r="AJK23" s="407"/>
      <c r="AJL23" s="407"/>
      <c r="AJM23" s="407"/>
      <c r="AJN23" s="407"/>
      <c r="AJO23" s="407"/>
      <c r="AJP23" s="407"/>
      <c r="AJQ23" s="407"/>
      <c r="AJR23" s="407"/>
      <c r="AJS23" s="407"/>
      <c r="AJT23" s="407"/>
      <c r="AJU23" s="407"/>
      <c r="AJV23" s="407"/>
      <c r="AJW23" s="407"/>
      <c r="AJX23" s="407"/>
      <c r="AJY23" s="407"/>
      <c r="AJZ23" s="407"/>
      <c r="AKA23" s="407"/>
      <c r="AKB23" s="407"/>
      <c r="AKC23" s="407"/>
      <c r="AKD23" s="407"/>
      <c r="AKE23" s="407"/>
      <c r="AKF23" s="407"/>
      <c r="AKG23" s="407"/>
      <c r="AKH23" s="407"/>
      <c r="AKI23" s="407"/>
      <c r="AKJ23" s="407"/>
      <c r="AKK23" s="407"/>
      <c r="AKL23" s="407"/>
      <c r="AKM23" s="407"/>
      <c r="AKN23" s="407"/>
      <c r="AKO23" s="407"/>
      <c r="AKP23" s="407"/>
      <c r="AKQ23" s="407"/>
      <c r="AKR23" s="407"/>
      <c r="AKS23" s="407"/>
      <c r="AKT23" s="407"/>
      <c r="AKU23" s="407"/>
      <c r="AKV23" s="407"/>
      <c r="AKW23" s="407"/>
      <c r="AKX23" s="407"/>
      <c r="AKY23" s="407"/>
      <c r="AKZ23" s="407"/>
      <c r="ALA23" s="407"/>
      <c r="ALB23" s="407"/>
      <c r="ALC23" s="407"/>
      <c r="ALD23" s="407"/>
      <c r="ALE23" s="407"/>
      <c r="ALF23" s="407"/>
      <c r="ALG23" s="407"/>
      <c r="ALH23" s="407"/>
      <c r="ALI23" s="407"/>
      <c r="ALJ23" s="407"/>
      <c r="ALK23" s="407"/>
      <c r="ALL23" s="407"/>
      <c r="ALM23" s="407"/>
      <c r="ALN23" s="407"/>
      <c r="ALO23" s="407"/>
      <c r="ALP23" s="407"/>
      <c r="ALQ23" s="407"/>
      <c r="ALR23" s="407"/>
      <c r="ALS23" s="407"/>
      <c r="ALT23" s="407"/>
      <c r="ALU23" s="407"/>
      <c r="ALV23" s="407"/>
      <c r="ALW23" s="407"/>
      <c r="ALX23" s="407"/>
      <c r="ALY23" s="407"/>
      <c r="ALZ23" s="407"/>
      <c r="AMA23" s="407"/>
      <c r="AMB23" s="407"/>
      <c r="AMC23" s="407"/>
      <c r="AMD23" s="407"/>
      <c r="AME23" s="407"/>
      <c r="AMF23" s="407"/>
      <c r="AMG23" s="407"/>
      <c r="AMH23" s="407"/>
      <c r="AMI23" s="407"/>
      <c r="AMJ23" s="407"/>
      <c r="AMK23" s="407"/>
      <c r="AML23" s="407"/>
      <c r="AMM23" s="407"/>
      <c r="AMN23" s="407"/>
      <c r="AMO23" s="407"/>
      <c r="AMP23" s="407"/>
      <c r="AMQ23" s="407"/>
      <c r="AMR23" s="407"/>
      <c r="AMS23" s="407"/>
      <c r="AMT23" s="407"/>
      <c r="AMU23" s="407"/>
      <c r="AMV23" s="407"/>
      <c r="AMW23" s="407"/>
      <c r="AMX23" s="407"/>
      <c r="AMY23" s="407"/>
      <c r="AMZ23" s="407"/>
      <c r="ANA23" s="407"/>
      <c r="ANB23" s="407"/>
      <c r="ANC23" s="407"/>
      <c r="AND23" s="407"/>
      <c r="ANE23" s="407"/>
      <c r="ANF23" s="407"/>
      <c r="ANG23" s="407"/>
      <c r="ANH23" s="407"/>
      <c r="ANI23" s="407"/>
      <c r="ANJ23" s="407"/>
      <c r="ANK23" s="407"/>
      <c r="ANL23" s="407"/>
      <c r="ANM23" s="407"/>
      <c r="ANN23" s="407"/>
      <c r="ANO23" s="407"/>
      <c r="ANP23" s="407"/>
      <c r="ANQ23" s="407"/>
      <c r="ANR23" s="407"/>
      <c r="ANS23" s="407"/>
      <c r="ANT23" s="407"/>
      <c r="ANU23" s="407"/>
      <c r="ANV23" s="407"/>
      <c r="ANW23" s="407"/>
      <c r="ANX23" s="407"/>
      <c r="ANY23" s="407"/>
      <c r="ANZ23" s="407"/>
      <c r="AOA23" s="407"/>
      <c r="AOB23" s="407"/>
      <c r="AOC23" s="407"/>
      <c r="AOD23" s="407"/>
      <c r="AOE23" s="407"/>
      <c r="AOF23" s="407"/>
      <c r="AOG23" s="407"/>
      <c r="AOH23" s="407"/>
      <c r="AOI23" s="407"/>
      <c r="AOJ23" s="407"/>
      <c r="AOK23" s="407"/>
      <c r="AOL23" s="407"/>
      <c r="AOM23" s="407"/>
      <c r="AON23" s="407"/>
      <c r="AOO23" s="407"/>
      <c r="AOP23" s="407"/>
      <c r="AOQ23" s="407"/>
      <c r="AOR23" s="407"/>
      <c r="AOS23" s="407"/>
      <c r="AOT23" s="407"/>
      <c r="AOU23" s="407"/>
      <c r="AOV23" s="407"/>
      <c r="AOW23" s="407"/>
      <c r="AOX23" s="407"/>
      <c r="AOY23" s="407"/>
      <c r="AOZ23" s="407"/>
      <c r="APA23" s="407"/>
      <c r="APB23" s="407"/>
      <c r="APC23" s="407"/>
      <c r="APD23" s="407"/>
      <c r="APE23" s="407"/>
      <c r="APF23" s="407"/>
      <c r="APG23" s="407"/>
      <c r="APH23" s="407"/>
      <c r="API23" s="407"/>
      <c r="APJ23" s="407"/>
      <c r="APK23" s="407"/>
      <c r="APL23" s="407"/>
      <c r="APM23" s="407"/>
      <c r="APN23" s="407"/>
      <c r="APO23" s="407"/>
      <c r="APP23" s="407"/>
      <c r="APQ23" s="407"/>
      <c r="APR23" s="407"/>
      <c r="APS23" s="407"/>
      <c r="APT23" s="407"/>
      <c r="APU23" s="407"/>
      <c r="APV23" s="407"/>
      <c r="APW23" s="407"/>
      <c r="APX23" s="407"/>
      <c r="APY23" s="407"/>
      <c r="APZ23" s="407"/>
      <c r="AQA23" s="407"/>
      <c r="AQB23" s="407"/>
      <c r="AQC23" s="407"/>
      <c r="AQD23" s="407"/>
      <c r="AQE23" s="407"/>
      <c r="AQF23" s="407"/>
      <c r="AQG23" s="407"/>
      <c r="AQH23" s="407"/>
      <c r="AQI23" s="407"/>
      <c r="AQJ23" s="407"/>
      <c r="AQK23" s="407"/>
      <c r="AQL23" s="407"/>
      <c r="AQM23" s="407"/>
      <c r="AQN23" s="407"/>
      <c r="AQO23" s="407"/>
      <c r="AQP23" s="407"/>
      <c r="AQQ23" s="407"/>
      <c r="AQR23" s="407"/>
      <c r="AQS23" s="407"/>
      <c r="AQT23" s="407"/>
      <c r="AQU23" s="407"/>
      <c r="AQV23" s="407"/>
      <c r="AQW23" s="407"/>
      <c r="AQX23" s="407"/>
      <c r="AQY23" s="407"/>
      <c r="AQZ23" s="407"/>
      <c r="ARA23" s="407"/>
      <c r="ARB23" s="407"/>
      <c r="ARC23" s="407"/>
      <c r="ARD23" s="407"/>
      <c r="ARE23" s="407"/>
      <c r="ARF23" s="407"/>
      <c r="ARG23" s="407"/>
      <c r="ARH23" s="407"/>
      <c r="ARI23" s="407"/>
      <c r="ARJ23" s="407"/>
      <c r="ARK23" s="407"/>
      <c r="ARL23" s="407"/>
      <c r="ARM23" s="407"/>
      <c r="ARN23" s="407"/>
      <c r="ARO23" s="407"/>
      <c r="ARP23" s="407"/>
      <c r="ARQ23" s="407"/>
      <c r="ARR23" s="407"/>
      <c r="ARS23" s="407"/>
      <c r="ART23" s="407"/>
      <c r="ARU23" s="407"/>
      <c r="ARV23" s="407"/>
      <c r="ARW23" s="407"/>
      <c r="ARX23" s="407"/>
      <c r="ARY23" s="407"/>
      <c r="ARZ23" s="407"/>
      <c r="ASA23" s="407"/>
      <c r="ASB23" s="407"/>
      <c r="ASC23" s="407"/>
      <c r="ASD23" s="407"/>
      <c r="ASE23" s="407"/>
      <c r="ASF23" s="407"/>
      <c r="ASG23" s="407"/>
      <c r="ASH23" s="407"/>
      <c r="ASI23" s="407"/>
      <c r="ASJ23" s="407"/>
      <c r="ASK23" s="407"/>
      <c r="ASL23" s="407"/>
      <c r="ASM23" s="407"/>
      <c r="ASN23" s="407"/>
      <c r="ASO23" s="407"/>
      <c r="ASP23" s="407"/>
      <c r="ASQ23" s="407"/>
      <c r="ASR23" s="407"/>
      <c r="ASS23" s="407"/>
      <c r="AST23" s="407"/>
      <c r="ASU23" s="407"/>
      <c r="ASV23" s="407"/>
      <c r="ASW23" s="407"/>
      <c r="ASX23" s="407"/>
      <c r="ASY23" s="407"/>
      <c r="ASZ23" s="407"/>
      <c r="ATA23" s="407"/>
      <c r="ATB23" s="407"/>
      <c r="ATC23" s="407"/>
      <c r="ATD23" s="407"/>
      <c r="ATE23" s="407"/>
      <c r="ATF23" s="407"/>
      <c r="ATG23" s="407"/>
      <c r="ATH23" s="407"/>
      <c r="ATI23" s="407"/>
      <c r="ATJ23" s="407"/>
      <c r="ATK23" s="407"/>
      <c r="ATL23" s="407"/>
      <c r="ATM23" s="407"/>
      <c r="ATN23" s="407"/>
      <c r="ATO23" s="407"/>
      <c r="ATP23" s="407"/>
      <c r="ATQ23" s="407"/>
      <c r="ATR23" s="407"/>
      <c r="ATS23" s="407"/>
      <c r="ATT23" s="407"/>
      <c r="ATU23" s="407"/>
      <c r="ATV23" s="407"/>
      <c r="ATW23" s="407"/>
      <c r="ATX23" s="407"/>
      <c r="ATY23" s="407"/>
      <c r="ATZ23" s="407"/>
      <c r="AUA23" s="407"/>
      <c r="AUB23" s="407"/>
      <c r="AUC23" s="407"/>
      <c r="AUD23" s="407"/>
      <c r="AUE23" s="407"/>
      <c r="AUF23" s="407"/>
      <c r="AUG23" s="407"/>
      <c r="AUH23" s="407"/>
      <c r="AUI23" s="407"/>
      <c r="AUJ23" s="407"/>
      <c r="AUK23" s="407"/>
      <c r="AUL23" s="407"/>
      <c r="AUM23" s="407"/>
      <c r="AUN23" s="407"/>
      <c r="AUO23" s="407"/>
      <c r="AUP23" s="407"/>
      <c r="AUQ23" s="407"/>
      <c r="AUR23" s="407"/>
      <c r="AUS23" s="407"/>
      <c r="AUT23" s="407"/>
      <c r="AUU23" s="407"/>
      <c r="AUV23" s="407"/>
      <c r="AUW23" s="407"/>
      <c r="AUX23" s="407"/>
      <c r="AUY23" s="407"/>
      <c r="AUZ23" s="407"/>
      <c r="AVA23" s="407"/>
      <c r="AVB23" s="407"/>
      <c r="AVC23" s="407"/>
      <c r="AVD23" s="407"/>
      <c r="AVE23" s="407"/>
      <c r="AVF23" s="407"/>
      <c r="AVG23" s="407"/>
      <c r="AVH23" s="407"/>
      <c r="AVI23" s="407"/>
      <c r="AVJ23" s="407"/>
      <c r="AVK23" s="407"/>
      <c r="AVL23" s="407"/>
      <c r="AVM23" s="407"/>
      <c r="AVN23" s="407"/>
      <c r="AVO23" s="407"/>
      <c r="AVP23" s="407"/>
      <c r="AVQ23" s="407"/>
      <c r="AVR23" s="407"/>
      <c r="AVS23" s="407"/>
      <c r="AVT23" s="407"/>
      <c r="AVU23" s="407"/>
      <c r="AVV23" s="407"/>
      <c r="AVW23" s="407"/>
      <c r="AVX23" s="407"/>
      <c r="AVY23" s="407"/>
      <c r="AVZ23" s="407"/>
      <c r="AWA23" s="407"/>
      <c r="AWB23" s="407"/>
      <c r="AWC23" s="407"/>
      <c r="AWD23" s="407"/>
      <c r="AWE23" s="407"/>
      <c r="AWF23" s="407"/>
      <c r="AWG23" s="407"/>
      <c r="AWH23" s="407"/>
      <c r="AWI23" s="407"/>
      <c r="AWJ23" s="407"/>
      <c r="AWK23" s="407"/>
      <c r="AWL23" s="407"/>
      <c r="AWM23" s="407"/>
      <c r="AWN23" s="407"/>
      <c r="AWO23" s="407"/>
      <c r="AWP23" s="407"/>
      <c r="AWQ23" s="407"/>
      <c r="AWR23" s="407"/>
      <c r="AWS23" s="407"/>
      <c r="AWT23" s="407"/>
      <c r="AWU23" s="407"/>
      <c r="AWV23" s="407"/>
      <c r="AWW23" s="407"/>
      <c r="AWX23" s="407"/>
      <c r="AWY23" s="407"/>
      <c r="AWZ23" s="407"/>
      <c r="AXA23" s="407"/>
      <c r="AXB23" s="407"/>
      <c r="AXC23" s="407"/>
      <c r="AXD23" s="407"/>
      <c r="AXE23" s="407"/>
      <c r="AXF23" s="407"/>
      <c r="AXG23" s="407"/>
      <c r="AXH23" s="407"/>
      <c r="AXI23" s="407"/>
      <c r="AXJ23" s="407"/>
      <c r="AXK23" s="407"/>
      <c r="AXL23" s="407"/>
      <c r="AXM23" s="407"/>
      <c r="AXN23" s="407"/>
      <c r="AXO23" s="407"/>
      <c r="AXP23" s="407"/>
      <c r="AXQ23" s="407"/>
      <c r="AXR23" s="407"/>
      <c r="AXS23" s="407"/>
      <c r="AXT23" s="407"/>
      <c r="AXU23" s="407"/>
      <c r="AXV23" s="407"/>
      <c r="AXW23" s="407"/>
      <c r="AXX23" s="407"/>
      <c r="AXY23" s="407"/>
      <c r="AXZ23" s="407"/>
      <c r="AYA23" s="407"/>
      <c r="AYB23" s="407"/>
      <c r="AYC23" s="407"/>
      <c r="AYD23" s="407"/>
      <c r="AYE23" s="407"/>
      <c r="AYF23" s="407"/>
      <c r="AYG23" s="407"/>
      <c r="AYH23" s="407"/>
      <c r="AYI23" s="407"/>
      <c r="AYJ23" s="407"/>
      <c r="AYK23" s="407"/>
      <c r="AYL23" s="407"/>
      <c r="AYM23" s="407"/>
      <c r="AYN23" s="407"/>
      <c r="AYO23" s="407"/>
      <c r="AYP23" s="407"/>
      <c r="AYQ23" s="407"/>
      <c r="AYR23" s="407"/>
      <c r="AYS23" s="407"/>
      <c r="AYT23" s="407"/>
      <c r="AYU23" s="407"/>
      <c r="AYV23" s="407"/>
      <c r="AYW23" s="407"/>
      <c r="AYX23" s="407"/>
      <c r="AYY23" s="407"/>
      <c r="AYZ23" s="407"/>
      <c r="AZA23" s="407"/>
      <c r="AZB23" s="407"/>
      <c r="AZC23" s="407"/>
      <c r="AZD23" s="407"/>
      <c r="AZE23" s="407"/>
      <c r="AZF23" s="407"/>
      <c r="AZG23" s="407"/>
      <c r="AZH23" s="407"/>
      <c r="AZI23" s="407"/>
      <c r="AZJ23" s="407"/>
      <c r="AZK23" s="407"/>
      <c r="AZL23" s="407"/>
      <c r="AZM23" s="407"/>
      <c r="AZN23" s="407"/>
      <c r="AZO23" s="407"/>
      <c r="AZP23" s="407"/>
      <c r="AZQ23" s="407"/>
      <c r="AZR23" s="407"/>
      <c r="AZS23" s="407"/>
      <c r="AZT23" s="407"/>
      <c r="AZU23" s="407"/>
      <c r="AZV23" s="407"/>
      <c r="AZW23" s="407"/>
      <c r="AZX23" s="407"/>
      <c r="AZY23" s="407"/>
      <c r="AZZ23" s="407"/>
      <c r="BAA23" s="407"/>
      <c r="BAB23" s="407"/>
      <c r="BAC23" s="407"/>
      <c r="BAD23" s="407"/>
      <c r="BAE23" s="407"/>
      <c r="BAF23" s="407"/>
      <c r="BAG23" s="407"/>
      <c r="BAH23" s="407"/>
      <c r="BAI23" s="407"/>
      <c r="BAJ23" s="407"/>
      <c r="BAK23" s="407"/>
      <c r="BAL23" s="407"/>
      <c r="BAM23" s="407"/>
      <c r="BAN23" s="407"/>
      <c r="BAO23" s="407"/>
      <c r="BAP23" s="407"/>
      <c r="BAQ23" s="407"/>
      <c r="BAR23" s="407"/>
      <c r="BAS23" s="407"/>
      <c r="BAT23" s="407"/>
      <c r="BAU23" s="407"/>
      <c r="BAV23" s="407"/>
      <c r="BAW23" s="407"/>
      <c r="BAX23" s="407"/>
      <c r="BAY23" s="407"/>
      <c r="BAZ23" s="407"/>
      <c r="BBA23" s="407"/>
      <c r="BBB23" s="407"/>
      <c r="BBC23" s="407"/>
      <c r="BBD23" s="407"/>
      <c r="BBE23" s="407"/>
      <c r="BBF23" s="407"/>
      <c r="BBG23" s="407"/>
      <c r="BBH23" s="407"/>
      <c r="BBI23" s="407"/>
      <c r="BBJ23" s="407"/>
      <c r="BBK23" s="407"/>
      <c r="BBL23" s="407"/>
      <c r="BBM23" s="407"/>
      <c r="BBN23" s="407"/>
      <c r="BBO23" s="407"/>
      <c r="BBP23" s="407"/>
      <c r="BBQ23" s="407"/>
      <c r="BBR23" s="407"/>
      <c r="BBS23" s="407"/>
      <c r="BBT23" s="407"/>
      <c r="BBU23" s="407"/>
      <c r="BBV23" s="407"/>
      <c r="BBW23" s="407"/>
      <c r="BBX23" s="407"/>
      <c r="BBY23" s="407"/>
      <c r="BBZ23" s="407"/>
      <c r="BCA23" s="407"/>
      <c r="BCB23" s="407"/>
      <c r="BCC23" s="407"/>
      <c r="BCD23" s="407"/>
      <c r="BCE23" s="407"/>
      <c r="BCF23" s="407"/>
      <c r="BCG23" s="407"/>
      <c r="BCH23" s="407"/>
      <c r="BCI23" s="407"/>
      <c r="BCJ23" s="407"/>
      <c r="BCK23" s="407"/>
      <c r="BCL23" s="407"/>
      <c r="BCM23" s="407"/>
      <c r="BCN23" s="407"/>
      <c r="BCO23" s="407"/>
      <c r="BCP23" s="407"/>
      <c r="BCQ23" s="407"/>
      <c r="BCR23" s="407"/>
      <c r="BCS23" s="407"/>
      <c r="BCT23" s="407"/>
      <c r="BCU23" s="407"/>
      <c r="BCV23" s="407"/>
      <c r="BCW23" s="407"/>
      <c r="BCX23" s="407"/>
      <c r="BCY23" s="407"/>
      <c r="BCZ23" s="407"/>
      <c r="BDA23" s="407"/>
      <c r="BDB23" s="407"/>
      <c r="BDC23" s="407"/>
      <c r="BDD23" s="407"/>
      <c r="BDE23" s="407"/>
      <c r="BDF23" s="407"/>
      <c r="BDG23" s="407"/>
      <c r="BDH23" s="407"/>
      <c r="BDI23" s="407"/>
      <c r="BDJ23" s="407"/>
      <c r="BDK23" s="407"/>
      <c r="BDL23" s="407"/>
      <c r="BDM23" s="407"/>
      <c r="BDN23" s="407"/>
      <c r="BDO23" s="407"/>
      <c r="BDP23" s="407"/>
      <c r="BDQ23" s="407"/>
      <c r="BDR23" s="407"/>
      <c r="BDS23" s="407"/>
      <c r="BDT23" s="407"/>
      <c r="BDU23" s="407"/>
      <c r="BDV23" s="407"/>
      <c r="BDW23" s="407"/>
      <c r="BDX23" s="407"/>
      <c r="BDY23" s="407"/>
      <c r="BDZ23" s="407"/>
      <c r="BEA23" s="407"/>
      <c r="BEB23" s="407"/>
      <c r="BEC23" s="407"/>
      <c r="BED23" s="407"/>
      <c r="BEE23" s="407"/>
      <c r="BEF23" s="407"/>
      <c r="BEG23" s="407"/>
      <c r="BEH23" s="407"/>
      <c r="BEI23" s="407"/>
      <c r="BEJ23" s="407"/>
      <c r="BEK23" s="407"/>
      <c r="BEL23" s="407"/>
      <c r="BEM23" s="407"/>
      <c r="BEN23" s="407"/>
      <c r="BEO23" s="407"/>
      <c r="BEP23" s="407"/>
      <c r="BEQ23" s="407"/>
      <c r="BER23" s="407"/>
      <c r="BES23" s="407"/>
      <c r="BET23" s="407"/>
      <c r="BEU23" s="407"/>
      <c r="BEV23" s="407"/>
      <c r="BEW23" s="407"/>
      <c r="BEX23" s="407"/>
      <c r="BEY23" s="407"/>
      <c r="BEZ23" s="407"/>
      <c r="BFA23" s="407"/>
      <c r="BFB23" s="407"/>
      <c r="BFC23" s="407"/>
      <c r="BFD23" s="407"/>
      <c r="BFE23" s="407"/>
      <c r="BFF23" s="407"/>
      <c r="BFG23" s="407"/>
      <c r="BFH23" s="407"/>
      <c r="BFI23" s="407"/>
      <c r="BFJ23" s="407"/>
      <c r="BFK23" s="407"/>
      <c r="BFL23" s="407"/>
      <c r="BFM23" s="407"/>
      <c r="BFN23" s="407"/>
      <c r="BFO23" s="407"/>
      <c r="BFP23" s="407"/>
      <c r="BFQ23" s="407"/>
      <c r="BFR23" s="407"/>
      <c r="BFS23" s="407"/>
      <c r="BFT23" s="407"/>
      <c r="BFU23" s="407"/>
      <c r="BFV23" s="407"/>
      <c r="BFW23" s="407"/>
      <c r="BFX23" s="407"/>
      <c r="BFY23" s="407"/>
      <c r="BFZ23" s="407"/>
      <c r="BGA23" s="407"/>
      <c r="BGB23" s="407"/>
      <c r="BGC23" s="407"/>
      <c r="BGD23" s="407"/>
      <c r="BGE23" s="407"/>
      <c r="BGF23" s="407"/>
      <c r="BGG23" s="407"/>
      <c r="BGH23" s="407"/>
      <c r="BGI23" s="407"/>
      <c r="BGJ23" s="407"/>
      <c r="BGK23" s="407"/>
      <c r="BGL23" s="407"/>
      <c r="BGM23" s="407"/>
      <c r="BGN23" s="407"/>
      <c r="BGO23" s="407"/>
      <c r="BGP23" s="407"/>
      <c r="BGQ23" s="407"/>
      <c r="BGR23" s="407"/>
      <c r="BGS23" s="407"/>
      <c r="BGT23" s="407"/>
      <c r="BGU23" s="407"/>
      <c r="BGV23" s="407"/>
      <c r="BGW23" s="407"/>
      <c r="BGX23" s="407"/>
      <c r="BGY23" s="407"/>
      <c r="BGZ23" s="407"/>
      <c r="BHA23" s="407"/>
      <c r="BHB23" s="407"/>
      <c r="BHC23" s="407"/>
      <c r="BHD23" s="407"/>
      <c r="BHE23" s="407"/>
      <c r="BHF23" s="407"/>
      <c r="BHG23" s="407"/>
      <c r="BHH23" s="407"/>
      <c r="BHI23" s="407"/>
      <c r="BHJ23" s="407"/>
      <c r="BHK23" s="407"/>
      <c r="BHL23" s="407"/>
      <c r="BHM23" s="407"/>
      <c r="BHN23" s="407"/>
      <c r="BHO23" s="407"/>
      <c r="BHP23" s="407"/>
      <c r="BHQ23" s="407"/>
      <c r="BHR23" s="407"/>
      <c r="BHS23" s="407"/>
      <c r="BHT23" s="407"/>
      <c r="BHU23" s="407"/>
      <c r="BHV23" s="407"/>
      <c r="BHW23" s="407"/>
      <c r="BHX23" s="407"/>
      <c r="BHY23" s="407"/>
      <c r="BHZ23" s="407"/>
      <c r="BIA23" s="407"/>
      <c r="BIB23" s="407"/>
      <c r="BIC23" s="407"/>
      <c r="BID23" s="407"/>
      <c r="BIE23" s="407"/>
      <c r="BIF23" s="407"/>
      <c r="BIG23" s="407"/>
      <c r="BIH23" s="407"/>
      <c r="BII23" s="407"/>
      <c r="BIJ23" s="407"/>
      <c r="BIK23" s="407"/>
      <c r="BIL23" s="407"/>
      <c r="BIM23" s="407"/>
      <c r="BIN23" s="407"/>
      <c r="BIO23" s="407"/>
      <c r="BIP23" s="407"/>
      <c r="BIQ23" s="407"/>
      <c r="BIR23" s="407"/>
      <c r="BIS23" s="407"/>
      <c r="BIT23" s="407"/>
      <c r="BIU23" s="407"/>
      <c r="BIV23" s="407"/>
      <c r="BIW23" s="407"/>
      <c r="BIX23" s="407"/>
      <c r="BIY23" s="407"/>
      <c r="BIZ23" s="407"/>
      <c r="BJA23" s="407"/>
      <c r="BJB23" s="407"/>
      <c r="BJC23" s="407"/>
      <c r="BJD23" s="407"/>
      <c r="BJE23" s="407"/>
      <c r="BJF23" s="407"/>
      <c r="BJG23" s="407"/>
      <c r="BJH23" s="407"/>
      <c r="BJI23" s="407"/>
      <c r="BJJ23" s="407"/>
      <c r="BJK23" s="407"/>
      <c r="BJL23" s="407"/>
      <c r="BJM23" s="407"/>
      <c r="BJN23" s="407"/>
      <c r="BJO23" s="407"/>
      <c r="BJP23" s="407"/>
      <c r="BJQ23" s="407"/>
      <c r="BJR23" s="407"/>
      <c r="BJS23" s="407"/>
      <c r="BJT23" s="407"/>
      <c r="BJU23" s="407"/>
      <c r="BJV23" s="407"/>
      <c r="BJW23" s="407"/>
      <c r="BJX23" s="407"/>
      <c r="BJY23" s="407"/>
      <c r="BJZ23" s="407"/>
      <c r="BKA23" s="407"/>
      <c r="BKB23" s="407"/>
      <c r="BKC23" s="407"/>
      <c r="BKD23" s="407"/>
      <c r="BKE23" s="407"/>
      <c r="BKF23" s="407"/>
      <c r="BKG23" s="407"/>
      <c r="BKH23" s="407"/>
      <c r="BKI23" s="407"/>
      <c r="BKJ23" s="407"/>
      <c r="BKK23" s="407"/>
      <c r="BKL23" s="407"/>
      <c r="BKM23" s="407"/>
      <c r="BKN23" s="407"/>
      <c r="BKO23" s="407"/>
      <c r="BKP23" s="407"/>
      <c r="BKQ23" s="407"/>
      <c r="BKR23" s="407"/>
      <c r="BKS23" s="407"/>
      <c r="BKT23" s="407"/>
      <c r="BKU23" s="407"/>
      <c r="BKV23" s="407"/>
      <c r="BKW23" s="407"/>
      <c r="BKX23" s="407"/>
      <c r="BKY23" s="407"/>
      <c r="BKZ23" s="407"/>
      <c r="BLA23" s="407"/>
      <c r="BLB23" s="407"/>
      <c r="BLC23" s="407"/>
      <c r="BLD23" s="407"/>
      <c r="BLE23" s="407"/>
      <c r="BLF23" s="407"/>
      <c r="BLG23" s="407"/>
      <c r="BLH23" s="407"/>
      <c r="BLI23" s="407"/>
      <c r="BLJ23" s="407"/>
      <c r="BLK23" s="407"/>
      <c r="BLL23" s="407"/>
      <c r="BLM23" s="407"/>
      <c r="BLN23" s="407"/>
      <c r="BLO23" s="407"/>
      <c r="BLP23" s="407"/>
      <c r="BLQ23" s="407"/>
      <c r="BLR23" s="407"/>
      <c r="BLS23" s="407"/>
      <c r="BLT23" s="407"/>
      <c r="BLU23" s="407"/>
      <c r="BLV23" s="407"/>
      <c r="BLW23" s="407"/>
      <c r="BLX23" s="407"/>
      <c r="BLY23" s="407"/>
      <c r="BLZ23" s="407"/>
      <c r="BMA23" s="407"/>
      <c r="BMB23" s="407"/>
      <c r="BMC23" s="407"/>
      <c r="BMD23" s="407"/>
      <c r="BME23" s="407"/>
      <c r="BMF23" s="407"/>
      <c r="BMG23" s="407"/>
      <c r="BMH23" s="407"/>
      <c r="BMI23" s="407"/>
      <c r="BMJ23" s="407"/>
      <c r="BMK23" s="407"/>
      <c r="BML23" s="407"/>
      <c r="BMM23" s="407"/>
      <c r="BMN23" s="407"/>
      <c r="BMO23" s="407"/>
      <c r="BMP23" s="407"/>
      <c r="BMQ23" s="407"/>
      <c r="BMR23" s="407"/>
      <c r="BMS23" s="407"/>
      <c r="BMT23" s="407"/>
      <c r="BMU23" s="407"/>
      <c r="BMV23" s="407"/>
      <c r="BMW23" s="407"/>
      <c r="BMX23" s="407"/>
      <c r="BMY23" s="407"/>
      <c r="BMZ23" s="407"/>
      <c r="BNA23" s="407"/>
      <c r="BNB23" s="407"/>
      <c r="BNC23" s="407"/>
      <c r="BND23" s="407"/>
      <c r="BNE23" s="407"/>
      <c r="BNF23" s="407"/>
      <c r="BNG23" s="407"/>
      <c r="BNH23" s="407"/>
      <c r="BNI23" s="407"/>
      <c r="BNJ23" s="407"/>
      <c r="BNK23" s="407"/>
      <c r="BNL23" s="407"/>
      <c r="BNM23" s="407"/>
      <c r="BNN23" s="407"/>
      <c r="BNO23" s="407"/>
      <c r="BNP23" s="407"/>
      <c r="BNQ23" s="407"/>
      <c r="BNR23" s="407"/>
      <c r="BNS23" s="407"/>
      <c r="BNT23" s="407"/>
      <c r="BNU23" s="407"/>
      <c r="BNV23" s="407"/>
      <c r="BNW23" s="407"/>
      <c r="BNX23" s="407"/>
      <c r="BNY23" s="407"/>
      <c r="BNZ23" s="407"/>
      <c r="BOA23" s="407"/>
      <c r="BOB23" s="407"/>
      <c r="BOC23" s="407"/>
      <c r="BOD23" s="407"/>
      <c r="BOE23" s="407"/>
      <c r="BOF23" s="407"/>
      <c r="BOG23" s="407"/>
      <c r="BOH23" s="407"/>
      <c r="BOI23" s="407"/>
      <c r="BOJ23" s="407"/>
      <c r="BOK23" s="407"/>
      <c r="BOL23" s="407"/>
      <c r="BOM23" s="407"/>
      <c r="BON23" s="407"/>
      <c r="BOO23" s="407"/>
      <c r="BOP23" s="407"/>
      <c r="BOQ23" s="407"/>
      <c r="BOR23" s="407"/>
      <c r="BOS23" s="407"/>
      <c r="BOT23" s="407"/>
      <c r="BOU23" s="407"/>
      <c r="BOV23" s="407"/>
      <c r="BOW23" s="407"/>
      <c r="BOX23" s="407"/>
      <c r="BOY23" s="407"/>
      <c r="BOZ23" s="407"/>
      <c r="BPA23" s="407"/>
      <c r="BPB23" s="407"/>
      <c r="BPC23" s="407"/>
      <c r="BPD23" s="407"/>
      <c r="BPE23" s="407"/>
      <c r="BPF23" s="407"/>
      <c r="BPG23" s="407"/>
      <c r="BPH23" s="407"/>
      <c r="BPI23" s="407"/>
      <c r="BPJ23" s="407"/>
      <c r="BPK23" s="407"/>
      <c r="BPL23" s="407"/>
      <c r="BPM23" s="407"/>
      <c r="BPN23" s="407"/>
      <c r="BPO23" s="407"/>
      <c r="BPP23" s="407"/>
      <c r="BPQ23" s="407"/>
      <c r="BPR23" s="407"/>
      <c r="BPS23" s="407"/>
      <c r="BPT23" s="407"/>
      <c r="BPU23" s="407"/>
      <c r="BPV23" s="407"/>
      <c r="BPW23" s="407"/>
      <c r="BPX23" s="407"/>
      <c r="BPY23" s="407"/>
      <c r="BPZ23" s="407"/>
      <c r="BQA23" s="407"/>
      <c r="BQB23" s="407"/>
      <c r="BQC23" s="407"/>
      <c r="BQD23" s="407"/>
      <c r="BQE23" s="407"/>
      <c r="BQF23" s="407"/>
      <c r="BQG23" s="407"/>
      <c r="BQH23" s="407"/>
      <c r="BQI23" s="407"/>
      <c r="BQJ23" s="407"/>
      <c r="BQK23" s="407"/>
      <c r="BQL23" s="407"/>
      <c r="BQM23" s="407"/>
      <c r="BQN23" s="407"/>
      <c r="BQO23" s="407"/>
      <c r="BQP23" s="407"/>
      <c r="BQQ23" s="407"/>
      <c r="BQR23" s="407"/>
      <c r="BQS23" s="407"/>
      <c r="BQT23" s="407"/>
      <c r="BQU23" s="407"/>
      <c r="BQV23" s="407"/>
      <c r="BQW23" s="407"/>
      <c r="BQX23" s="407"/>
      <c r="BQY23" s="407"/>
      <c r="BQZ23" s="407"/>
      <c r="BRA23" s="407"/>
      <c r="BRB23" s="407"/>
      <c r="BRC23" s="407"/>
      <c r="BRD23" s="407"/>
      <c r="BRE23" s="407"/>
      <c r="BRF23" s="407"/>
      <c r="BRG23" s="407"/>
      <c r="BRH23" s="407"/>
      <c r="BRI23" s="407"/>
      <c r="BRJ23" s="407"/>
      <c r="BRK23" s="407"/>
      <c r="BRL23" s="407"/>
      <c r="BRM23" s="407"/>
      <c r="BRN23" s="407"/>
      <c r="BRO23" s="407"/>
      <c r="BRP23" s="407"/>
      <c r="BRQ23" s="407"/>
      <c r="BRR23" s="407"/>
      <c r="BRS23" s="407"/>
      <c r="BRT23" s="407"/>
      <c r="BRU23" s="407"/>
      <c r="BRV23" s="407"/>
      <c r="BRW23" s="407"/>
      <c r="BRX23" s="407"/>
      <c r="BRY23" s="407"/>
      <c r="BRZ23" s="407"/>
      <c r="BSA23" s="407"/>
      <c r="BSB23" s="407"/>
      <c r="BSC23" s="407"/>
      <c r="BSD23" s="407"/>
      <c r="BSE23" s="407"/>
      <c r="BSF23" s="407"/>
      <c r="BSG23" s="407"/>
      <c r="BSH23" s="407"/>
      <c r="BSI23" s="407"/>
      <c r="BSJ23" s="407"/>
      <c r="BSK23" s="407"/>
      <c r="BSL23" s="407"/>
      <c r="BSM23" s="407"/>
      <c r="BSN23" s="407"/>
      <c r="BSO23" s="407"/>
      <c r="BSP23" s="407"/>
      <c r="BSQ23" s="407"/>
      <c r="BSR23" s="407"/>
      <c r="BSS23" s="407"/>
      <c r="BST23" s="407"/>
      <c r="BSU23" s="407"/>
      <c r="BSV23" s="407"/>
      <c r="BSW23" s="407"/>
      <c r="BSX23" s="407"/>
      <c r="BSY23" s="407"/>
      <c r="BSZ23" s="407"/>
      <c r="BTA23" s="407"/>
      <c r="BTB23" s="407"/>
      <c r="BTC23" s="407"/>
      <c r="BTD23" s="407"/>
      <c r="BTE23" s="407"/>
      <c r="BTF23" s="407"/>
      <c r="BTG23" s="407"/>
      <c r="BTH23" s="407"/>
      <c r="BTI23" s="407"/>
      <c r="BTJ23" s="407"/>
      <c r="BTK23" s="407"/>
      <c r="BTL23" s="407"/>
      <c r="BTM23" s="407"/>
      <c r="BTN23" s="407"/>
      <c r="BTO23" s="407"/>
      <c r="BTP23" s="407"/>
      <c r="BTQ23" s="407"/>
      <c r="BTR23" s="407"/>
      <c r="BTS23" s="407"/>
      <c r="BTT23" s="407"/>
      <c r="BTU23" s="407"/>
      <c r="BTV23" s="407"/>
      <c r="BTW23" s="407"/>
      <c r="BTX23" s="407"/>
      <c r="BTY23" s="407"/>
      <c r="BTZ23" s="407"/>
      <c r="BUA23" s="407"/>
      <c r="BUB23" s="407"/>
      <c r="BUC23" s="407"/>
      <c r="BUD23" s="407"/>
      <c r="BUE23" s="407"/>
      <c r="BUF23" s="407"/>
      <c r="BUG23" s="407"/>
      <c r="BUH23" s="407"/>
      <c r="BUI23" s="407"/>
      <c r="BUJ23" s="407"/>
      <c r="BUK23" s="407"/>
      <c r="BUL23" s="407"/>
      <c r="BUM23" s="407"/>
      <c r="BUN23" s="407"/>
      <c r="BUO23" s="407"/>
      <c r="BUP23" s="407"/>
      <c r="BUQ23" s="407"/>
      <c r="BUR23" s="407"/>
      <c r="BUS23" s="407"/>
      <c r="BUT23" s="407"/>
      <c r="BUU23" s="407"/>
      <c r="BUV23" s="407"/>
      <c r="BUW23" s="407"/>
      <c r="BUX23" s="407"/>
      <c r="BUY23" s="407"/>
      <c r="BUZ23" s="407"/>
      <c r="BVA23" s="407"/>
      <c r="BVB23" s="407"/>
      <c r="BVC23" s="407"/>
      <c r="BVD23" s="407"/>
      <c r="BVE23" s="407"/>
      <c r="BVF23" s="407"/>
      <c r="BVG23" s="407"/>
      <c r="BVH23" s="407"/>
      <c r="BVI23" s="407"/>
      <c r="BVJ23" s="407"/>
      <c r="BVK23" s="407"/>
      <c r="BVL23" s="407"/>
      <c r="BVM23" s="407"/>
      <c r="BVN23" s="407"/>
      <c r="BVO23" s="407"/>
      <c r="BVP23" s="407"/>
      <c r="BVQ23" s="407"/>
      <c r="BVR23" s="407"/>
      <c r="BVS23" s="407"/>
      <c r="BVT23" s="407"/>
      <c r="BVU23" s="407"/>
      <c r="BVV23" s="407"/>
      <c r="BVW23" s="407"/>
      <c r="BVX23" s="407"/>
      <c r="BVY23" s="407"/>
      <c r="BVZ23" s="407"/>
      <c r="BWA23" s="407"/>
      <c r="BWB23" s="407"/>
      <c r="BWC23" s="407"/>
      <c r="BWD23" s="407"/>
      <c r="BWE23" s="407"/>
      <c r="BWF23" s="407"/>
      <c r="BWG23" s="407"/>
      <c r="BWH23" s="407"/>
      <c r="BWI23" s="407"/>
      <c r="BWJ23" s="407"/>
      <c r="BWK23" s="407"/>
      <c r="BWL23" s="407"/>
      <c r="BWM23" s="407"/>
      <c r="BWN23" s="407"/>
      <c r="BWO23" s="407"/>
      <c r="BWP23" s="407"/>
      <c r="BWQ23" s="407"/>
      <c r="BWR23" s="407"/>
      <c r="BWS23" s="407"/>
      <c r="BWT23" s="407"/>
      <c r="BWU23" s="407"/>
      <c r="BWV23" s="407"/>
      <c r="BWW23" s="407"/>
      <c r="BWX23" s="407"/>
      <c r="BWY23" s="407"/>
      <c r="BWZ23" s="407"/>
      <c r="BXA23" s="407"/>
      <c r="BXB23" s="407"/>
      <c r="BXC23" s="407"/>
      <c r="BXD23" s="407"/>
      <c r="BXE23" s="407"/>
      <c r="BXF23" s="407"/>
      <c r="BXG23" s="407"/>
      <c r="BXH23" s="407"/>
      <c r="BXI23" s="407"/>
      <c r="BXJ23" s="407"/>
      <c r="BXK23" s="407"/>
      <c r="BXL23" s="407"/>
      <c r="BXM23" s="407"/>
      <c r="BXN23" s="407"/>
      <c r="BXO23" s="407"/>
      <c r="BXP23" s="407"/>
      <c r="BXQ23" s="407"/>
      <c r="BXR23" s="407"/>
      <c r="BXS23" s="407"/>
      <c r="BXT23" s="407"/>
      <c r="BXU23" s="407"/>
      <c r="BXV23" s="407"/>
      <c r="BXW23" s="407"/>
      <c r="BXX23" s="407"/>
      <c r="BXY23" s="407"/>
      <c r="BXZ23" s="407"/>
      <c r="BYA23" s="407"/>
      <c r="BYB23" s="407"/>
      <c r="BYC23" s="407"/>
      <c r="BYD23" s="407"/>
      <c r="BYE23" s="407"/>
      <c r="BYF23" s="407"/>
      <c r="BYG23" s="407"/>
      <c r="BYH23" s="407"/>
      <c r="BYI23" s="407"/>
      <c r="BYJ23" s="407"/>
      <c r="BYK23" s="407"/>
      <c r="BYL23" s="407"/>
      <c r="BYM23" s="407"/>
      <c r="BYN23" s="407"/>
      <c r="BYO23" s="407"/>
      <c r="BYP23" s="407"/>
      <c r="BYQ23" s="407"/>
      <c r="BYR23" s="407"/>
      <c r="BYS23" s="407"/>
      <c r="BYT23" s="407"/>
      <c r="BYU23" s="407"/>
      <c r="BYV23" s="407"/>
      <c r="BYW23" s="407"/>
      <c r="BYX23" s="407"/>
      <c r="BYY23" s="407"/>
      <c r="BYZ23" s="407"/>
      <c r="BZA23" s="407"/>
      <c r="BZB23" s="407"/>
      <c r="BZC23" s="407"/>
      <c r="BZD23" s="407"/>
      <c r="BZE23" s="407"/>
      <c r="BZF23" s="407"/>
      <c r="BZG23" s="407"/>
      <c r="BZH23" s="407"/>
      <c r="BZI23" s="407"/>
      <c r="BZJ23" s="407"/>
      <c r="BZK23" s="407"/>
      <c r="BZL23" s="407"/>
      <c r="BZM23" s="407"/>
      <c r="BZN23" s="407"/>
      <c r="BZO23" s="407"/>
      <c r="BZP23" s="407"/>
      <c r="BZQ23" s="407"/>
      <c r="BZR23" s="407"/>
      <c r="BZS23" s="407"/>
      <c r="BZT23" s="407"/>
      <c r="BZU23" s="407"/>
      <c r="BZV23" s="407"/>
      <c r="BZW23" s="407"/>
      <c r="BZX23" s="407"/>
      <c r="BZY23" s="407"/>
      <c r="BZZ23" s="407"/>
      <c r="CAA23" s="407"/>
      <c r="CAB23" s="407"/>
      <c r="CAC23" s="407"/>
      <c r="CAD23" s="407"/>
      <c r="CAE23" s="407"/>
      <c r="CAF23" s="407"/>
      <c r="CAG23" s="407"/>
      <c r="CAH23" s="407"/>
      <c r="CAI23" s="407"/>
      <c r="CAJ23" s="407"/>
      <c r="CAK23" s="407"/>
      <c r="CAL23" s="407"/>
      <c r="CAM23" s="407"/>
      <c r="CAN23" s="407"/>
      <c r="CAO23" s="407"/>
      <c r="CAP23" s="407"/>
      <c r="CAQ23" s="407"/>
      <c r="CAR23" s="407"/>
      <c r="CAS23" s="407"/>
      <c r="CAT23" s="407"/>
      <c r="CAU23" s="407"/>
      <c r="CAV23" s="407"/>
      <c r="CAW23" s="407"/>
      <c r="CAX23" s="407"/>
      <c r="CAY23" s="407"/>
      <c r="CAZ23" s="407"/>
      <c r="CBA23" s="407"/>
      <c r="CBB23" s="407"/>
      <c r="CBC23" s="407"/>
      <c r="CBD23" s="407"/>
      <c r="CBE23" s="407"/>
      <c r="CBF23" s="407"/>
      <c r="CBG23" s="407"/>
      <c r="CBH23" s="407"/>
      <c r="CBI23" s="407"/>
      <c r="CBJ23" s="407"/>
      <c r="CBK23" s="407"/>
      <c r="CBL23" s="407"/>
      <c r="CBM23" s="407"/>
      <c r="CBN23" s="407"/>
      <c r="CBO23" s="407"/>
      <c r="CBP23" s="407"/>
      <c r="CBQ23" s="407"/>
      <c r="CBR23" s="407"/>
      <c r="CBS23" s="407"/>
      <c r="CBT23" s="407"/>
      <c r="CBU23" s="407"/>
      <c r="CBV23" s="407"/>
      <c r="CBW23" s="407"/>
      <c r="CBX23" s="407"/>
      <c r="CBY23" s="407"/>
      <c r="CBZ23" s="407"/>
      <c r="CCA23" s="407"/>
      <c r="CCB23" s="407"/>
      <c r="CCC23" s="407"/>
      <c r="CCD23" s="407"/>
      <c r="CCE23" s="407"/>
      <c r="CCF23" s="407"/>
      <c r="CCG23" s="407"/>
      <c r="CCH23" s="407"/>
      <c r="CCI23" s="407"/>
      <c r="CCJ23" s="407"/>
      <c r="CCK23" s="407"/>
      <c r="CCL23" s="407"/>
      <c r="CCM23" s="407"/>
      <c r="CCN23" s="407"/>
      <c r="CCO23" s="407"/>
      <c r="CCP23" s="407"/>
      <c r="CCQ23" s="407"/>
      <c r="CCR23" s="407"/>
      <c r="CCS23" s="407"/>
      <c r="CCT23" s="407"/>
      <c r="CCU23" s="407"/>
      <c r="CCV23" s="407"/>
      <c r="CCW23" s="407"/>
      <c r="CCX23" s="407"/>
      <c r="CCY23" s="407"/>
      <c r="CCZ23" s="407"/>
      <c r="CDA23" s="407"/>
      <c r="CDB23" s="407"/>
      <c r="CDC23" s="407"/>
      <c r="CDD23" s="407"/>
      <c r="CDE23" s="407"/>
      <c r="CDF23" s="407"/>
      <c r="CDG23" s="407"/>
      <c r="CDH23" s="407"/>
      <c r="CDI23" s="407"/>
      <c r="CDJ23" s="407"/>
      <c r="CDK23" s="407"/>
      <c r="CDL23" s="407"/>
      <c r="CDM23" s="407"/>
      <c r="CDN23" s="407"/>
      <c r="CDO23" s="407"/>
      <c r="CDP23" s="407"/>
      <c r="CDQ23" s="407"/>
      <c r="CDR23" s="407"/>
      <c r="CDS23" s="407"/>
      <c r="CDT23" s="407"/>
      <c r="CDU23" s="407"/>
      <c r="CDV23" s="407"/>
      <c r="CDW23" s="407"/>
      <c r="CDX23" s="407"/>
      <c r="CDY23" s="407"/>
      <c r="CDZ23" s="407"/>
      <c r="CEA23" s="407"/>
      <c r="CEB23" s="407"/>
      <c r="CEC23" s="407"/>
      <c r="CED23" s="407"/>
      <c r="CEE23" s="407"/>
      <c r="CEF23" s="407"/>
      <c r="CEG23" s="407"/>
      <c r="CEH23" s="407"/>
      <c r="CEI23" s="407"/>
      <c r="CEJ23" s="407"/>
      <c r="CEK23" s="407"/>
      <c r="CEL23" s="407"/>
      <c r="CEM23" s="407"/>
      <c r="CEN23" s="407"/>
      <c r="CEO23" s="407"/>
      <c r="CEP23" s="407"/>
      <c r="CEQ23" s="407"/>
      <c r="CER23" s="407"/>
      <c r="CES23" s="407"/>
      <c r="CET23" s="407"/>
      <c r="CEU23" s="407"/>
      <c r="CEV23" s="407"/>
      <c r="CEW23" s="407"/>
      <c r="CEX23" s="407"/>
      <c r="CEY23" s="407"/>
      <c r="CEZ23" s="407"/>
      <c r="CFA23" s="407"/>
      <c r="CFB23" s="407"/>
      <c r="CFC23" s="407"/>
      <c r="CFD23" s="407"/>
      <c r="CFE23" s="407"/>
      <c r="CFF23" s="407"/>
      <c r="CFG23" s="407"/>
      <c r="CFH23" s="407"/>
      <c r="CFI23" s="407"/>
      <c r="CFJ23" s="407"/>
      <c r="CFK23" s="407"/>
      <c r="CFL23" s="407"/>
      <c r="CFM23" s="407"/>
      <c r="CFN23" s="407"/>
      <c r="CFO23" s="407"/>
      <c r="CFP23" s="407"/>
      <c r="CFQ23" s="407"/>
      <c r="CFR23" s="407"/>
      <c r="CFS23" s="407"/>
      <c r="CFT23" s="407"/>
      <c r="CFU23" s="407"/>
      <c r="CFV23" s="407"/>
      <c r="CFW23" s="407"/>
      <c r="CFX23" s="407"/>
      <c r="CFY23" s="407"/>
      <c r="CFZ23" s="407"/>
      <c r="CGA23" s="407"/>
      <c r="CGB23" s="407"/>
      <c r="CGC23" s="407"/>
      <c r="CGD23" s="407"/>
      <c r="CGE23" s="407"/>
      <c r="CGF23" s="407"/>
      <c r="CGG23" s="407"/>
      <c r="CGH23" s="407"/>
      <c r="CGI23" s="407"/>
      <c r="CGJ23" s="407"/>
      <c r="CGK23" s="407"/>
      <c r="CGL23" s="407"/>
      <c r="CGM23" s="407"/>
      <c r="CGN23" s="407"/>
      <c r="CGO23" s="407"/>
      <c r="CGP23" s="407"/>
      <c r="CGQ23" s="407"/>
      <c r="CGR23" s="407"/>
      <c r="CGS23" s="407"/>
      <c r="CGT23" s="407"/>
      <c r="CGU23" s="407"/>
      <c r="CGV23" s="407"/>
      <c r="CGW23" s="407"/>
      <c r="CGX23" s="407"/>
      <c r="CGY23" s="407"/>
      <c r="CGZ23" s="407"/>
      <c r="CHA23" s="407"/>
      <c r="CHB23" s="407"/>
      <c r="CHC23" s="407"/>
      <c r="CHD23" s="407"/>
      <c r="CHE23" s="407"/>
      <c r="CHF23" s="407"/>
      <c r="CHG23" s="407"/>
      <c r="CHH23" s="407"/>
      <c r="CHI23" s="407"/>
      <c r="CHJ23" s="407"/>
      <c r="CHK23" s="407"/>
      <c r="CHL23" s="407"/>
      <c r="CHM23" s="407"/>
      <c r="CHN23" s="407"/>
      <c r="CHO23" s="407"/>
      <c r="CHP23" s="407"/>
      <c r="CHQ23" s="407"/>
      <c r="CHR23" s="407"/>
      <c r="CHS23" s="407"/>
      <c r="CHT23" s="407"/>
      <c r="CHU23" s="407"/>
      <c r="CHV23" s="407"/>
      <c r="CHW23" s="407"/>
      <c r="CHX23" s="407"/>
      <c r="CHY23" s="407"/>
      <c r="CHZ23" s="407"/>
      <c r="CIA23" s="407"/>
      <c r="CIB23" s="407"/>
      <c r="CIC23" s="407"/>
      <c r="CID23" s="407"/>
      <c r="CIE23" s="407"/>
      <c r="CIF23" s="407"/>
      <c r="CIG23" s="407"/>
      <c r="CIH23" s="407"/>
      <c r="CII23" s="407"/>
      <c r="CIJ23" s="407"/>
      <c r="CIK23" s="407"/>
      <c r="CIL23" s="407"/>
      <c r="CIM23" s="407"/>
      <c r="CIN23" s="407"/>
      <c r="CIO23" s="407"/>
      <c r="CIP23" s="407"/>
      <c r="CIQ23" s="407"/>
      <c r="CIR23" s="407"/>
      <c r="CIS23" s="407"/>
      <c r="CIT23" s="407"/>
      <c r="CIU23" s="407"/>
      <c r="CIV23" s="407"/>
      <c r="CIW23" s="407"/>
      <c r="CIX23" s="407"/>
      <c r="CIY23" s="407"/>
      <c r="CIZ23" s="407"/>
      <c r="CJA23" s="407"/>
      <c r="CJB23" s="407"/>
      <c r="CJC23" s="407"/>
      <c r="CJD23" s="407"/>
      <c r="CJE23" s="407"/>
      <c r="CJF23" s="407"/>
      <c r="CJG23" s="407"/>
      <c r="CJH23" s="407"/>
      <c r="CJI23" s="407"/>
      <c r="CJJ23" s="407"/>
      <c r="CJK23" s="407"/>
      <c r="CJL23" s="407"/>
      <c r="CJM23" s="407"/>
      <c r="CJN23" s="407"/>
      <c r="CJO23" s="407"/>
      <c r="CJP23" s="407"/>
      <c r="CJQ23" s="407"/>
      <c r="CJR23" s="407"/>
      <c r="CJS23" s="407"/>
      <c r="CJT23" s="407"/>
      <c r="CJU23" s="407"/>
      <c r="CJV23" s="407"/>
      <c r="CJW23" s="407"/>
      <c r="CJX23" s="407"/>
      <c r="CJY23" s="407"/>
      <c r="CJZ23" s="407"/>
      <c r="CKA23" s="407"/>
      <c r="CKB23" s="407"/>
      <c r="CKC23" s="407"/>
      <c r="CKD23" s="407"/>
      <c r="CKE23" s="407"/>
      <c r="CKF23" s="407"/>
      <c r="CKG23" s="407"/>
      <c r="CKH23" s="407"/>
      <c r="CKI23" s="407"/>
      <c r="CKJ23" s="407"/>
      <c r="CKK23" s="407"/>
      <c r="CKL23" s="407"/>
      <c r="CKM23" s="407"/>
      <c r="CKN23" s="407"/>
      <c r="CKO23" s="407"/>
      <c r="CKP23" s="407"/>
      <c r="CKQ23" s="407"/>
      <c r="CKR23" s="407"/>
      <c r="CKS23" s="407"/>
      <c r="CKT23" s="407"/>
      <c r="CKU23" s="407"/>
      <c r="CKV23" s="407"/>
      <c r="CKW23" s="407"/>
      <c r="CKX23" s="407"/>
      <c r="CKY23" s="407"/>
      <c r="CKZ23" s="407"/>
      <c r="CLA23" s="407"/>
      <c r="CLB23" s="407"/>
      <c r="CLC23" s="407"/>
      <c r="CLD23" s="407"/>
      <c r="CLE23" s="407"/>
      <c r="CLF23" s="407"/>
      <c r="CLG23" s="407"/>
      <c r="CLH23" s="407"/>
      <c r="CLI23" s="407"/>
      <c r="CLJ23" s="407"/>
      <c r="CLK23" s="407"/>
      <c r="CLL23" s="407"/>
      <c r="CLM23" s="407"/>
      <c r="CLN23" s="407"/>
      <c r="CLO23" s="407"/>
      <c r="CLP23" s="407"/>
      <c r="CLQ23" s="407"/>
      <c r="CLR23" s="407"/>
      <c r="CLS23" s="407"/>
      <c r="CLT23" s="407"/>
      <c r="CLU23" s="407"/>
      <c r="CLV23" s="407"/>
      <c r="CLW23" s="407"/>
      <c r="CLX23" s="407"/>
      <c r="CLY23" s="407"/>
      <c r="CLZ23" s="407"/>
      <c r="CMA23" s="407"/>
      <c r="CMB23" s="407"/>
      <c r="CMC23" s="407"/>
      <c r="CMD23" s="407"/>
      <c r="CME23" s="407"/>
      <c r="CMF23" s="407"/>
      <c r="CMG23" s="407"/>
      <c r="CMH23" s="407"/>
      <c r="CMI23" s="407"/>
      <c r="CMJ23" s="407"/>
      <c r="CMK23" s="407"/>
      <c r="CML23" s="407"/>
      <c r="CMM23" s="407"/>
      <c r="CMN23" s="407"/>
      <c r="CMO23" s="407"/>
      <c r="CMP23" s="407"/>
      <c r="CMQ23" s="407"/>
      <c r="CMR23" s="407"/>
      <c r="CMS23" s="407"/>
      <c r="CMT23" s="407"/>
      <c r="CMU23" s="407"/>
      <c r="CMV23" s="407"/>
      <c r="CMW23" s="407"/>
      <c r="CMX23" s="407"/>
      <c r="CMY23" s="407"/>
      <c r="CMZ23" s="407"/>
      <c r="CNA23" s="407"/>
      <c r="CNB23" s="407"/>
      <c r="CNC23" s="407"/>
      <c r="CND23" s="407"/>
      <c r="CNE23" s="407"/>
      <c r="CNF23" s="407"/>
      <c r="CNG23" s="407"/>
      <c r="CNH23" s="407"/>
      <c r="CNI23" s="407"/>
      <c r="CNJ23" s="407"/>
      <c r="CNK23" s="407"/>
      <c r="CNL23" s="407"/>
      <c r="CNM23" s="407"/>
      <c r="CNN23" s="407"/>
      <c r="CNO23" s="407"/>
      <c r="CNP23" s="407"/>
      <c r="CNQ23" s="407"/>
      <c r="CNR23" s="407"/>
      <c r="CNS23" s="407"/>
      <c r="CNT23" s="407"/>
      <c r="CNU23" s="407"/>
      <c r="CNV23" s="407"/>
      <c r="CNW23" s="407"/>
      <c r="CNX23" s="407"/>
      <c r="CNY23" s="407"/>
      <c r="CNZ23" s="407"/>
      <c r="COA23" s="407"/>
      <c r="COB23" s="407"/>
      <c r="COC23" s="407"/>
      <c r="COD23" s="407"/>
      <c r="COE23" s="407"/>
      <c r="COF23" s="407"/>
      <c r="COG23" s="407"/>
      <c r="COH23" s="407"/>
      <c r="COI23" s="407"/>
      <c r="COJ23" s="407"/>
      <c r="COK23" s="407"/>
      <c r="COL23" s="407"/>
      <c r="COM23" s="407"/>
      <c r="CON23" s="407"/>
      <c r="COO23" s="407"/>
      <c r="COP23" s="407"/>
      <c r="COQ23" s="407"/>
      <c r="COR23" s="407"/>
      <c r="COS23" s="407"/>
      <c r="COT23" s="407"/>
      <c r="COU23" s="407"/>
      <c r="COV23" s="407"/>
      <c r="COW23" s="407"/>
      <c r="COX23" s="407"/>
      <c r="COY23" s="407"/>
      <c r="COZ23" s="407"/>
      <c r="CPA23" s="407"/>
      <c r="CPB23" s="407"/>
      <c r="CPC23" s="407"/>
      <c r="CPD23" s="407"/>
      <c r="CPE23" s="407"/>
      <c r="CPF23" s="407"/>
      <c r="CPG23" s="407"/>
      <c r="CPH23" s="407"/>
      <c r="CPI23" s="407"/>
      <c r="CPJ23" s="407"/>
      <c r="CPK23" s="407"/>
      <c r="CPL23" s="407"/>
      <c r="CPM23" s="407"/>
      <c r="CPN23" s="407"/>
      <c r="CPO23" s="407"/>
      <c r="CPP23" s="407"/>
      <c r="CPQ23" s="407"/>
      <c r="CPR23" s="407"/>
      <c r="CPS23" s="407"/>
      <c r="CPT23" s="407"/>
      <c r="CPU23" s="407"/>
      <c r="CPV23" s="407"/>
      <c r="CPW23" s="407"/>
      <c r="CPX23" s="407"/>
      <c r="CPY23" s="407"/>
      <c r="CPZ23" s="407"/>
      <c r="CQA23" s="407"/>
      <c r="CQB23" s="407"/>
      <c r="CQC23" s="407"/>
      <c r="CQD23" s="407"/>
      <c r="CQE23" s="407"/>
      <c r="CQF23" s="407"/>
      <c r="CQG23" s="407"/>
      <c r="CQH23" s="407"/>
      <c r="CQI23" s="407"/>
      <c r="CQJ23" s="407"/>
      <c r="CQK23" s="407"/>
      <c r="CQL23" s="407"/>
      <c r="CQM23" s="407"/>
      <c r="CQN23" s="407"/>
      <c r="CQO23" s="407"/>
      <c r="CQP23" s="407"/>
      <c r="CQQ23" s="407"/>
      <c r="CQR23" s="407"/>
      <c r="CQS23" s="407"/>
      <c r="CQT23" s="407"/>
      <c r="CQU23" s="407"/>
      <c r="CQV23" s="407"/>
      <c r="CQW23" s="407"/>
      <c r="CQX23" s="407"/>
      <c r="CQY23" s="407"/>
      <c r="CQZ23" s="407"/>
      <c r="CRA23" s="407"/>
      <c r="CRB23" s="407"/>
      <c r="CRC23" s="407"/>
      <c r="CRD23" s="407"/>
      <c r="CRE23" s="407"/>
      <c r="CRF23" s="407"/>
      <c r="CRG23" s="407"/>
      <c r="CRH23" s="407"/>
      <c r="CRI23" s="407"/>
      <c r="CRJ23" s="407"/>
      <c r="CRK23" s="407"/>
      <c r="CRL23" s="407"/>
      <c r="CRM23" s="407"/>
      <c r="CRN23" s="407"/>
      <c r="CRO23" s="407"/>
      <c r="CRP23" s="407"/>
      <c r="CRQ23" s="407"/>
      <c r="CRR23" s="407"/>
      <c r="CRS23" s="407"/>
      <c r="CRT23" s="407"/>
      <c r="CRU23" s="407"/>
      <c r="CRV23" s="407"/>
      <c r="CRW23" s="407"/>
      <c r="CRX23" s="407"/>
      <c r="CRY23" s="407"/>
      <c r="CRZ23" s="407"/>
      <c r="CSA23" s="407"/>
      <c r="CSB23" s="407"/>
      <c r="CSC23" s="407"/>
      <c r="CSD23" s="407"/>
      <c r="CSE23" s="407"/>
      <c r="CSF23" s="407"/>
      <c r="CSG23" s="407"/>
      <c r="CSH23" s="407"/>
      <c r="CSI23" s="407"/>
      <c r="CSJ23" s="407"/>
      <c r="CSK23" s="407"/>
      <c r="CSL23" s="407"/>
      <c r="CSM23" s="407"/>
      <c r="CSN23" s="407"/>
      <c r="CSO23" s="407"/>
      <c r="CSP23" s="407"/>
      <c r="CSQ23" s="407"/>
      <c r="CSR23" s="407"/>
      <c r="CSS23" s="407"/>
      <c r="CST23" s="407"/>
      <c r="CSU23" s="407"/>
      <c r="CSV23" s="407"/>
      <c r="CSW23" s="407"/>
      <c r="CSX23" s="407"/>
      <c r="CSY23" s="407"/>
      <c r="CSZ23" s="407"/>
      <c r="CTA23" s="407"/>
      <c r="CTB23" s="407"/>
      <c r="CTC23" s="407"/>
      <c r="CTD23" s="407"/>
      <c r="CTE23" s="407"/>
      <c r="CTF23" s="407"/>
      <c r="CTG23" s="407"/>
      <c r="CTH23" s="407"/>
      <c r="CTI23" s="407"/>
      <c r="CTJ23" s="407"/>
      <c r="CTK23" s="407"/>
      <c r="CTL23" s="407"/>
      <c r="CTM23" s="407"/>
      <c r="CTN23" s="407"/>
      <c r="CTO23" s="407"/>
      <c r="CTP23" s="407"/>
      <c r="CTQ23" s="407"/>
      <c r="CTR23" s="407"/>
      <c r="CTS23" s="407"/>
      <c r="CTT23" s="407"/>
      <c r="CTU23" s="407"/>
      <c r="CTV23" s="407"/>
      <c r="CTW23" s="407"/>
      <c r="CTX23" s="407"/>
      <c r="CTY23" s="407"/>
      <c r="CTZ23" s="407"/>
      <c r="CUA23" s="407"/>
      <c r="CUB23" s="407"/>
      <c r="CUC23" s="407"/>
      <c r="CUD23" s="407"/>
      <c r="CUE23" s="407"/>
      <c r="CUF23" s="407"/>
      <c r="CUG23" s="407"/>
      <c r="CUH23" s="407"/>
      <c r="CUI23" s="407"/>
      <c r="CUJ23" s="407"/>
      <c r="CUK23" s="407"/>
      <c r="CUL23" s="407"/>
      <c r="CUM23" s="407"/>
      <c r="CUN23" s="407"/>
      <c r="CUO23" s="407"/>
      <c r="CUP23" s="407"/>
      <c r="CUQ23" s="407"/>
      <c r="CUR23" s="407"/>
      <c r="CUS23" s="407"/>
      <c r="CUT23" s="407"/>
      <c r="CUU23" s="407"/>
      <c r="CUV23" s="407"/>
      <c r="CUW23" s="407"/>
      <c r="CUX23" s="407"/>
      <c r="CUY23" s="407"/>
      <c r="CUZ23" s="407"/>
      <c r="CVA23" s="407"/>
      <c r="CVB23" s="407"/>
      <c r="CVC23" s="407"/>
      <c r="CVD23" s="407"/>
      <c r="CVE23" s="407"/>
      <c r="CVF23" s="407"/>
      <c r="CVG23" s="407"/>
      <c r="CVH23" s="407"/>
      <c r="CVI23" s="407"/>
      <c r="CVJ23" s="407"/>
      <c r="CVK23" s="407"/>
      <c r="CVL23" s="407"/>
      <c r="CVM23" s="407"/>
      <c r="CVN23" s="407"/>
      <c r="CVO23" s="407"/>
      <c r="CVP23" s="407"/>
      <c r="CVQ23" s="407"/>
      <c r="CVR23" s="407"/>
      <c r="CVS23" s="407"/>
      <c r="CVT23" s="407"/>
      <c r="CVU23" s="407"/>
      <c r="CVV23" s="407"/>
      <c r="CVW23" s="407"/>
      <c r="CVX23" s="407"/>
      <c r="CVY23" s="407"/>
      <c r="CVZ23" s="407"/>
      <c r="CWA23" s="407"/>
      <c r="CWB23" s="407"/>
      <c r="CWC23" s="407"/>
      <c r="CWD23" s="407"/>
      <c r="CWE23" s="407"/>
      <c r="CWF23" s="407"/>
      <c r="CWG23" s="407"/>
      <c r="CWH23" s="407"/>
      <c r="CWI23" s="407"/>
      <c r="CWJ23" s="407"/>
      <c r="CWK23" s="407"/>
      <c r="CWL23" s="407"/>
      <c r="CWM23" s="407"/>
      <c r="CWN23" s="407"/>
      <c r="CWO23" s="407"/>
      <c r="CWP23" s="407"/>
      <c r="CWQ23" s="407"/>
      <c r="CWR23" s="407"/>
      <c r="CWS23" s="407"/>
      <c r="CWT23" s="407"/>
      <c r="CWU23" s="407"/>
      <c r="CWV23" s="407"/>
      <c r="CWW23" s="407"/>
      <c r="CWX23" s="407"/>
      <c r="CWY23" s="407"/>
      <c r="CWZ23" s="407"/>
      <c r="CXA23" s="407"/>
      <c r="CXB23" s="407"/>
      <c r="CXC23" s="407"/>
      <c r="CXD23" s="407"/>
      <c r="CXE23" s="407"/>
      <c r="CXF23" s="407"/>
      <c r="CXG23" s="407"/>
      <c r="CXH23" s="407"/>
      <c r="CXI23" s="407"/>
      <c r="CXJ23" s="407"/>
      <c r="CXK23" s="407"/>
      <c r="CXL23" s="407"/>
      <c r="CXM23" s="407"/>
      <c r="CXN23" s="407"/>
      <c r="CXO23" s="407"/>
      <c r="CXP23" s="407"/>
      <c r="CXQ23" s="407"/>
      <c r="CXR23" s="407"/>
      <c r="CXS23" s="407"/>
      <c r="CXT23" s="407"/>
      <c r="CXU23" s="407"/>
      <c r="CXV23" s="407"/>
      <c r="CXW23" s="407"/>
      <c r="CXX23" s="407"/>
      <c r="CXY23" s="407"/>
      <c r="CXZ23" s="407"/>
      <c r="CYA23" s="407"/>
      <c r="CYB23" s="407"/>
      <c r="CYC23" s="407"/>
      <c r="CYD23" s="407"/>
      <c r="CYE23" s="407"/>
      <c r="CYF23" s="407"/>
      <c r="CYG23" s="407"/>
      <c r="CYH23" s="407"/>
      <c r="CYI23" s="407"/>
      <c r="CYJ23" s="407"/>
      <c r="CYK23" s="407"/>
      <c r="CYL23" s="407"/>
      <c r="CYM23" s="407"/>
      <c r="CYN23" s="407"/>
      <c r="CYO23" s="407"/>
      <c r="CYP23" s="407"/>
      <c r="CYQ23" s="407"/>
      <c r="CYR23" s="407"/>
      <c r="CYS23" s="407"/>
      <c r="CYT23" s="407"/>
      <c r="CYU23" s="407"/>
      <c r="CYV23" s="407"/>
      <c r="CYW23" s="407"/>
      <c r="CYX23" s="407"/>
      <c r="CYY23" s="407"/>
      <c r="CYZ23" s="407"/>
      <c r="CZA23" s="407"/>
      <c r="CZB23" s="407"/>
      <c r="CZC23" s="407"/>
      <c r="CZD23" s="407"/>
      <c r="CZE23" s="407"/>
      <c r="CZF23" s="407"/>
      <c r="CZG23" s="407"/>
      <c r="CZH23" s="407"/>
      <c r="CZI23" s="407"/>
      <c r="CZJ23" s="407"/>
      <c r="CZK23" s="407"/>
      <c r="CZL23" s="407"/>
      <c r="CZM23" s="407"/>
      <c r="CZN23" s="407"/>
      <c r="CZO23" s="407"/>
      <c r="CZP23" s="407"/>
      <c r="CZQ23" s="407"/>
      <c r="CZR23" s="407"/>
      <c r="CZS23" s="407"/>
      <c r="CZT23" s="407"/>
      <c r="CZU23" s="407"/>
      <c r="CZV23" s="407"/>
      <c r="CZW23" s="407"/>
      <c r="CZX23" s="407"/>
      <c r="CZY23" s="407"/>
      <c r="CZZ23" s="407"/>
      <c r="DAA23" s="407"/>
      <c r="DAB23" s="407"/>
      <c r="DAC23" s="407"/>
      <c r="DAD23" s="407"/>
      <c r="DAE23" s="407"/>
      <c r="DAF23" s="407"/>
      <c r="DAG23" s="407"/>
      <c r="DAH23" s="407"/>
      <c r="DAI23" s="407"/>
      <c r="DAJ23" s="407"/>
      <c r="DAK23" s="407"/>
      <c r="DAL23" s="407"/>
      <c r="DAM23" s="407"/>
      <c r="DAN23" s="407"/>
      <c r="DAO23" s="407"/>
      <c r="DAP23" s="407"/>
      <c r="DAQ23" s="407"/>
      <c r="DAR23" s="407"/>
      <c r="DAS23" s="407"/>
      <c r="DAT23" s="407"/>
      <c r="DAU23" s="407"/>
      <c r="DAV23" s="407"/>
      <c r="DAW23" s="407"/>
      <c r="DAX23" s="407"/>
      <c r="DAY23" s="407"/>
      <c r="DAZ23" s="407"/>
      <c r="DBA23" s="407"/>
      <c r="DBB23" s="407"/>
      <c r="DBC23" s="407"/>
      <c r="DBD23" s="407"/>
      <c r="DBE23" s="407"/>
      <c r="DBF23" s="407"/>
      <c r="DBG23" s="407"/>
      <c r="DBH23" s="407"/>
      <c r="DBI23" s="407"/>
      <c r="DBJ23" s="407"/>
      <c r="DBK23" s="407"/>
      <c r="DBL23" s="407"/>
      <c r="DBM23" s="407"/>
      <c r="DBN23" s="407"/>
      <c r="DBO23" s="407"/>
      <c r="DBP23" s="407"/>
      <c r="DBQ23" s="407"/>
      <c r="DBR23" s="407"/>
      <c r="DBS23" s="407"/>
      <c r="DBT23" s="407"/>
      <c r="DBU23" s="407"/>
      <c r="DBV23" s="407"/>
      <c r="DBW23" s="407"/>
      <c r="DBX23" s="407"/>
      <c r="DBY23" s="407"/>
      <c r="DBZ23" s="407"/>
      <c r="DCA23" s="407"/>
      <c r="DCB23" s="407"/>
      <c r="DCC23" s="407"/>
      <c r="DCD23" s="407"/>
      <c r="DCE23" s="407"/>
      <c r="DCF23" s="407"/>
      <c r="DCG23" s="407"/>
      <c r="DCH23" s="407"/>
      <c r="DCI23" s="407"/>
      <c r="DCJ23" s="407"/>
      <c r="DCK23" s="407"/>
      <c r="DCL23" s="407"/>
      <c r="DCM23" s="407"/>
      <c r="DCN23" s="407"/>
      <c r="DCO23" s="407"/>
      <c r="DCP23" s="407"/>
      <c r="DCQ23" s="407"/>
      <c r="DCR23" s="407"/>
      <c r="DCS23" s="407"/>
      <c r="DCT23" s="407"/>
      <c r="DCU23" s="407"/>
      <c r="DCV23" s="407"/>
      <c r="DCW23" s="407"/>
      <c r="DCX23" s="407"/>
      <c r="DCY23" s="407"/>
      <c r="DCZ23" s="407"/>
      <c r="DDA23" s="407"/>
      <c r="DDB23" s="407"/>
      <c r="DDC23" s="407"/>
      <c r="DDD23" s="407"/>
      <c r="DDE23" s="407"/>
      <c r="DDF23" s="407"/>
      <c r="DDG23" s="407"/>
      <c r="DDH23" s="407"/>
      <c r="DDI23" s="407"/>
      <c r="DDJ23" s="407"/>
      <c r="DDK23" s="407"/>
      <c r="DDL23" s="407"/>
      <c r="DDM23" s="407"/>
      <c r="DDN23" s="407"/>
      <c r="DDO23" s="407"/>
      <c r="DDP23" s="407"/>
      <c r="DDQ23" s="407"/>
      <c r="DDR23" s="407"/>
      <c r="DDS23" s="407"/>
      <c r="DDT23" s="407"/>
      <c r="DDU23" s="407"/>
      <c r="DDV23" s="407"/>
      <c r="DDW23" s="407"/>
      <c r="DDX23" s="407"/>
      <c r="DDY23" s="407"/>
      <c r="DDZ23" s="407"/>
      <c r="DEA23" s="407"/>
      <c r="DEB23" s="407"/>
      <c r="DEC23" s="407"/>
      <c r="DED23" s="407"/>
      <c r="DEE23" s="407"/>
      <c r="DEF23" s="407"/>
      <c r="DEG23" s="407"/>
      <c r="DEH23" s="407"/>
      <c r="DEI23" s="407"/>
      <c r="DEJ23" s="407"/>
      <c r="DEK23" s="407"/>
      <c r="DEL23" s="407"/>
      <c r="DEM23" s="407"/>
      <c r="DEN23" s="407"/>
      <c r="DEO23" s="407"/>
      <c r="DEP23" s="407"/>
      <c r="DEQ23" s="407"/>
      <c r="DER23" s="407"/>
      <c r="DES23" s="407"/>
      <c r="DET23" s="407"/>
      <c r="DEU23" s="407"/>
      <c r="DEV23" s="407"/>
      <c r="DEW23" s="407"/>
      <c r="DEX23" s="407"/>
      <c r="DEY23" s="407"/>
      <c r="DEZ23" s="407"/>
      <c r="DFA23" s="407"/>
      <c r="DFB23" s="407"/>
      <c r="DFC23" s="407"/>
      <c r="DFD23" s="407"/>
      <c r="DFE23" s="407"/>
      <c r="DFF23" s="407"/>
      <c r="DFG23" s="407"/>
      <c r="DFH23" s="407"/>
      <c r="DFI23" s="407"/>
      <c r="DFJ23" s="407"/>
      <c r="DFK23" s="407"/>
      <c r="DFL23" s="407"/>
      <c r="DFM23" s="407"/>
      <c r="DFN23" s="407"/>
      <c r="DFO23" s="407"/>
      <c r="DFP23" s="407"/>
      <c r="DFQ23" s="407"/>
      <c r="DFR23" s="407"/>
      <c r="DFS23" s="407"/>
      <c r="DFT23" s="407"/>
      <c r="DFU23" s="407"/>
      <c r="DFV23" s="407"/>
      <c r="DFW23" s="407"/>
      <c r="DFX23" s="407"/>
      <c r="DFY23" s="407"/>
      <c r="DFZ23" s="407"/>
      <c r="DGA23" s="407"/>
      <c r="DGB23" s="407"/>
      <c r="DGC23" s="407"/>
      <c r="DGD23" s="407"/>
      <c r="DGE23" s="407"/>
      <c r="DGF23" s="407"/>
      <c r="DGG23" s="407"/>
      <c r="DGH23" s="407"/>
      <c r="DGI23" s="407"/>
      <c r="DGJ23" s="407"/>
      <c r="DGK23" s="407"/>
      <c r="DGL23" s="407"/>
      <c r="DGM23" s="407"/>
      <c r="DGN23" s="407"/>
      <c r="DGO23" s="407"/>
      <c r="DGP23" s="407"/>
      <c r="DGQ23" s="407"/>
      <c r="DGR23" s="407"/>
      <c r="DGS23" s="407"/>
      <c r="DGT23" s="407"/>
      <c r="DGU23" s="407"/>
      <c r="DGV23" s="407"/>
      <c r="DGW23" s="407"/>
      <c r="DGX23" s="407"/>
      <c r="DGY23" s="407"/>
      <c r="DGZ23" s="407"/>
      <c r="DHA23" s="407"/>
      <c r="DHB23" s="407"/>
      <c r="DHC23" s="407"/>
      <c r="DHD23" s="407"/>
      <c r="DHE23" s="407"/>
      <c r="DHF23" s="407"/>
      <c r="DHG23" s="407"/>
      <c r="DHH23" s="407"/>
      <c r="DHI23" s="407"/>
      <c r="DHJ23" s="407"/>
      <c r="DHK23" s="407"/>
      <c r="DHL23" s="407"/>
      <c r="DHM23" s="407"/>
      <c r="DHN23" s="407"/>
      <c r="DHO23" s="407"/>
      <c r="DHP23" s="407"/>
      <c r="DHQ23" s="407"/>
      <c r="DHR23" s="407"/>
      <c r="DHS23" s="407"/>
      <c r="DHT23" s="407"/>
      <c r="DHU23" s="407"/>
      <c r="DHV23" s="407"/>
      <c r="DHW23" s="407"/>
      <c r="DHX23" s="407"/>
      <c r="DHY23" s="407"/>
      <c r="DHZ23" s="407"/>
      <c r="DIA23" s="407"/>
      <c r="DIB23" s="407"/>
      <c r="DIC23" s="407"/>
      <c r="DID23" s="407"/>
      <c r="DIE23" s="407"/>
      <c r="DIF23" s="407"/>
      <c r="DIG23" s="407"/>
      <c r="DIH23" s="407"/>
      <c r="DII23" s="407"/>
      <c r="DIJ23" s="407"/>
      <c r="DIK23" s="407"/>
      <c r="DIL23" s="407"/>
      <c r="DIM23" s="407"/>
      <c r="DIN23" s="407"/>
      <c r="DIO23" s="407"/>
      <c r="DIP23" s="407"/>
      <c r="DIQ23" s="407"/>
      <c r="DIR23" s="407"/>
      <c r="DIS23" s="407"/>
      <c r="DIT23" s="407"/>
      <c r="DIU23" s="407"/>
      <c r="DIV23" s="407"/>
      <c r="DIW23" s="407"/>
      <c r="DIX23" s="407"/>
      <c r="DIY23" s="407"/>
      <c r="DIZ23" s="407"/>
      <c r="DJA23" s="407"/>
      <c r="DJB23" s="407"/>
      <c r="DJC23" s="407"/>
      <c r="DJD23" s="407"/>
      <c r="DJE23" s="407"/>
      <c r="DJF23" s="407"/>
      <c r="DJG23" s="407"/>
      <c r="DJH23" s="407"/>
      <c r="DJI23" s="407"/>
      <c r="DJJ23" s="407"/>
      <c r="DJK23" s="407"/>
      <c r="DJL23" s="407"/>
      <c r="DJM23" s="407"/>
      <c r="DJN23" s="407"/>
      <c r="DJO23" s="407"/>
      <c r="DJP23" s="407"/>
      <c r="DJQ23" s="407"/>
      <c r="DJR23" s="407"/>
      <c r="DJS23" s="407"/>
      <c r="DJT23" s="407"/>
      <c r="DJU23" s="407"/>
      <c r="DJV23" s="407"/>
      <c r="DJW23" s="407"/>
      <c r="DJX23" s="407"/>
      <c r="DJY23" s="407"/>
      <c r="DJZ23" s="407"/>
      <c r="DKA23" s="407"/>
      <c r="DKB23" s="407"/>
      <c r="DKC23" s="407"/>
      <c r="DKD23" s="407"/>
      <c r="DKE23" s="407"/>
      <c r="DKF23" s="407"/>
      <c r="DKG23" s="407"/>
      <c r="DKH23" s="407"/>
      <c r="DKI23" s="407"/>
      <c r="DKJ23" s="407"/>
      <c r="DKK23" s="407"/>
      <c r="DKL23" s="407"/>
      <c r="DKM23" s="407"/>
      <c r="DKN23" s="407"/>
      <c r="DKO23" s="407"/>
      <c r="DKP23" s="407"/>
      <c r="DKQ23" s="407"/>
      <c r="DKR23" s="407"/>
      <c r="DKS23" s="407"/>
      <c r="DKT23" s="407"/>
      <c r="DKU23" s="407"/>
      <c r="DKV23" s="407"/>
      <c r="DKW23" s="407"/>
      <c r="DKX23" s="407"/>
      <c r="DKY23" s="407"/>
      <c r="DKZ23" s="407"/>
      <c r="DLA23" s="407"/>
      <c r="DLB23" s="407"/>
      <c r="DLC23" s="407"/>
      <c r="DLD23" s="407"/>
      <c r="DLE23" s="407"/>
      <c r="DLF23" s="407"/>
      <c r="DLG23" s="407"/>
      <c r="DLH23" s="407"/>
      <c r="DLI23" s="407"/>
      <c r="DLJ23" s="407"/>
      <c r="DLK23" s="407"/>
      <c r="DLL23" s="407"/>
      <c r="DLM23" s="407"/>
      <c r="DLN23" s="407"/>
      <c r="DLO23" s="407"/>
      <c r="DLP23" s="407"/>
      <c r="DLQ23" s="407"/>
      <c r="DLR23" s="407"/>
      <c r="DLS23" s="407"/>
      <c r="DLT23" s="407"/>
      <c r="DLU23" s="407"/>
      <c r="DLV23" s="407"/>
      <c r="DLW23" s="407"/>
      <c r="DLX23" s="407"/>
      <c r="DLY23" s="407"/>
      <c r="DLZ23" s="407"/>
      <c r="DMA23" s="407"/>
      <c r="DMB23" s="407"/>
      <c r="DMC23" s="407"/>
      <c r="DMD23" s="407"/>
      <c r="DME23" s="407"/>
      <c r="DMF23" s="407"/>
      <c r="DMG23" s="407"/>
      <c r="DMH23" s="407"/>
      <c r="DMI23" s="407"/>
      <c r="DMJ23" s="407"/>
      <c r="DMK23" s="407"/>
      <c r="DML23" s="407"/>
      <c r="DMM23" s="407"/>
      <c r="DMN23" s="407"/>
      <c r="DMO23" s="407"/>
      <c r="DMP23" s="407"/>
      <c r="DMQ23" s="407"/>
      <c r="DMR23" s="407"/>
      <c r="DMS23" s="407"/>
      <c r="DMT23" s="407"/>
      <c r="DMU23" s="407"/>
      <c r="DMV23" s="407"/>
      <c r="DMW23" s="407"/>
      <c r="DMX23" s="407"/>
      <c r="DMY23" s="407"/>
      <c r="DMZ23" s="407"/>
      <c r="DNA23" s="407"/>
      <c r="DNB23" s="407"/>
      <c r="DNC23" s="407"/>
      <c r="DND23" s="407"/>
      <c r="DNE23" s="407"/>
      <c r="DNF23" s="407"/>
      <c r="DNG23" s="407"/>
      <c r="DNH23" s="407"/>
      <c r="DNI23" s="407"/>
      <c r="DNJ23" s="407"/>
      <c r="DNK23" s="407"/>
      <c r="DNL23" s="407"/>
      <c r="DNM23" s="407"/>
      <c r="DNN23" s="407"/>
      <c r="DNO23" s="407"/>
      <c r="DNP23" s="407"/>
      <c r="DNQ23" s="407"/>
      <c r="DNR23" s="407"/>
      <c r="DNS23" s="407"/>
      <c r="DNT23" s="407"/>
      <c r="DNU23" s="407"/>
      <c r="DNV23" s="407"/>
      <c r="DNW23" s="407"/>
      <c r="DNX23" s="407"/>
      <c r="DNY23" s="407"/>
      <c r="DNZ23" s="407"/>
      <c r="DOA23" s="407"/>
      <c r="DOB23" s="407"/>
      <c r="DOC23" s="407"/>
      <c r="DOD23" s="407"/>
      <c r="DOE23" s="407"/>
      <c r="DOF23" s="407"/>
      <c r="DOG23" s="407"/>
      <c r="DOH23" s="407"/>
      <c r="DOI23" s="407"/>
      <c r="DOJ23" s="407"/>
      <c r="DOK23" s="407"/>
      <c r="DOL23" s="407"/>
      <c r="DOM23" s="407"/>
      <c r="DON23" s="407"/>
      <c r="DOO23" s="407"/>
      <c r="DOP23" s="407"/>
      <c r="DOQ23" s="407"/>
      <c r="DOR23" s="407"/>
      <c r="DOS23" s="407"/>
      <c r="DOT23" s="407"/>
      <c r="DOU23" s="407"/>
      <c r="DOV23" s="407"/>
      <c r="DOW23" s="407"/>
      <c r="DOX23" s="407"/>
      <c r="DOY23" s="407"/>
      <c r="DOZ23" s="407"/>
      <c r="DPA23" s="407"/>
      <c r="DPB23" s="407"/>
      <c r="DPC23" s="407"/>
      <c r="DPD23" s="407"/>
      <c r="DPE23" s="407"/>
      <c r="DPF23" s="407"/>
      <c r="DPG23" s="407"/>
      <c r="DPH23" s="407"/>
      <c r="DPI23" s="407"/>
      <c r="DPJ23" s="407"/>
      <c r="DPK23" s="407"/>
      <c r="DPL23" s="407"/>
      <c r="DPM23" s="407"/>
      <c r="DPN23" s="407"/>
      <c r="DPO23" s="407"/>
      <c r="DPP23" s="407"/>
      <c r="DPQ23" s="407"/>
      <c r="DPR23" s="407"/>
      <c r="DPS23" s="407"/>
      <c r="DPT23" s="407"/>
      <c r="DPU23" s="407"/>
      <c r="DPV23" s="407"/>
      <c r="DPW23" s="407"/>
      <c r="DPX23" s="407"/>
      <c r="DPY23" s="407"/>
      <c r="DPZ23" s="407"/>
      <c r="DQA23" s="407"/>
      <c r="DQB23" s="407"/>
      <c r="DQC23" s="407"/>
      <c r="DQD23" s="407"/>
      <c r="DQE23" s="407"/>
      <c r="DQF23" s="407"/>
      <c r="DQG23" s="407"/>
      <c r="DQH23" s="407"/>
      <c r="DQI23" s="407"/>
      <c r="DQJ23" s="407"/>
      <c r="DQK23" s="407"/>
      <c r="DQL23" s="407"/>
      <c r="DQM23" s="407"/>
      <c r="DQN23" s="407"/>
      <c r="DQO23" s="407"/>
      <c r="DQP23" s="407"/>
      <c r="DQQ23" s="407"/>
      <c r="DQR23" s="407"/>
      <c r="DQS23" s="407"/>
      <c r="DQT23" s="407"/>
      <c r="DQU23" s="407"/>
      <c r="DQV23" s="407"/>
      <c r="DQW23" s="407"/>
      <c r="DQX23" s="407"/>
      <c r="DQY23" s="407"/>
      <c r="DQZ23" s="407"/>
      <c r="DRA23" s="407"/>
      <c r="DRB23" s="407"/>
      <c r="DRC23" s="407"/>
      <c r="DRD23" s="407"/>
      <c r="DRE23" s="407"/>
      <c r="DRF23" s="407"/>
      <c r="DRG23" s="407"/>
      <c r="DRH23" s="407"/>
      <c r="DRI23" s="407"/>
      <c r="DRJ23" s="407"/>
      <c r="DRK23" s="407"/>
      <c r="DRL23" s="407"/>
      <c r="DRM23" s="407"/>
      <c r="DRN23" s="407"/>
      <c r="DRO23" s="407"/>
      <c r="DRP23" s="407"/>
      <c r="DRQ23" s="407"/>
      <c r="DRR23" s="407"/>
      <c r="DRS23" s="407"/>
      <c r="DRT23" s="407"/>
      <c r="DRU23" s="407"/>
      <c r="DRV23" s="407"/>
      <c r="DRW23" s="407"/>
      <c r="DRX23" s="407"/>
      <c r="DRY23" s="407"/>
      <c r="DRZ23" s="407"/>
      <c r="DSA23" s="407"/>
      <c r="DSB23" s="407"/>
      <c r="DSC23" s="407"/>
      <c r="DSD23" s="407"/>
      <c r="DSE23" s="407"/>
      <c r="DSF23" s="407"/>
      <c r="DSG23" s="407"/>
      <c r="DSH23" s="407"/>
      <c r="DSI23" s="407"/>
      <c r="DSJ23" s="407"/>
      <c r="DSK23" s="407"/>
      <c r="DSL23" s="407"/>
      <c r="DSM23" s="407"/>
      <c r="DSN23" s="407"/>
      <c r="DSO23" s="407"/>
      <c r="DSP23" s="407"/>
      <c r="DSQ23" s="407"/>
      <c r="DSR23" s="407"/>
      <c r="DSS23" s="407"/>
      <c r="DST23" s="407"/>
      <c r="DSU23" s="407"/>
      <c r="DSV23" s="407"/>
      <c r="DSW23" s="407"/>
      <c r="DSX23" s="407"/>
      <c r="DSY23" s="407"/>
      <c r="DSZ23" s="407"/>
      <c r="DTA23" s="407"/>
      <c r="DTB23" s="407"/>
      <c r="DTC23" s="407"/>
      <c r="DTD23" s="407"/>
      <c r="DTE23" s="407"/>
      <c r="DTF23" s="407"/>
      <c r="DTG23" s="407"/>
      <c r="DTH23" s="407"/>
      <c r="DTI23" s="407"/>
      <c r="DTJ23" s="407"/>
      <c r="DTK23" s="407"/>
      <c r="DTL23" s="407"/>
      <c r="DTM23" s="407"/>
      <c r="DTN23" s="407"/>
      <c r="DTO23" s="407"/>
      <c r="DTP23" s="407"/>
      <c r="DTQ23" s="407"/>
      <c r="DTR23" s="407"/>
      <c r="DTS23" s="407"/>
      <c r="DTT23" s="407"/>
      <c r="DTU23" s="407"/>
      <c r="DTV23" s="407"/>
      <c r="DTW23" s="407"/>
      <c r="DTX23" s="407"/>
      <c r="DTY23" s="407"/>
      <c r="DTZ23" s="407"/>
      <c r="DUA23" s="407"/>
      <c r="DUB23" s="407"/>
      <c r="DUC23" s="407"/>
      <c r="DUD23" s="407"/>
      <c r="DUE23" s="407"/>
      <c r="DUF23" s="407"/>
      <c r="DUG23" s="407"/>
      <c r="DUH23" s="407"/>
      <c r="DUI23" s="407"/>
      <c r="DUJ23" s="407"/>
      <c r="DUK23" s="407"/>
      <c r="DUL23" s="407"/>
      <c r="DUM23" s="407"/>
      <c r="DUN23" s="407"/>
      <c r="DUO23" s="407"/>
      <c r="DUP23" s="407"/>
      <c r="DUQ23" s="407"/>
      <c r="DUR23" s="407"/>
      <c r="DUS23" s="407"/>
      <c r="DUT23" s="407"/>
      <c r="DUU23" s="407"/>
      <c r="DUV23" s="407"/>
      <c r="DUW23" s="407"/>
      <c r="DUX23" s="407"/>
      <c r="DUY23" s="407"/>
      <c r="DUZ23" s="407"/>
      <c r="DVA23" s="407"/>
      <c r="DVB23" s="407"/>
      <c r="DVC23" s="407"/>
      <c r="DVD23" s="407"/>
      <c r="DVE23" s="407"/>
      <c r="DVF23" s="407"/>
      <c r="DVG23" s="407"/>
      <c r="DVH23" s="407"/>
      <c r="DVI23" s="407"/>
      <c r="DVJ23" s="407"/>
      <c r="DVK23" s="407"/>
      <c r="DVL23" s="407"/>
      <c r="DVM23" s="407"/>
      <c r="DVN23" s="407"/>
      <c r="DVO23" s="407"/>
      <c r="DVP23" s="407"/>
      <c r="DVQ23" s="407"/>
      <c r="DVR23" s="407"/>
      <c r="DVS23" s="407"/>
      <c r="DVT23" s="407"/>
      <c r="DVU23" s="407"/>
      <c r="DVV23" s="407"/>
      <c r="DVW23" s="407"/>
      <c r="DVX23" s="407"/>
      <c r="DVY23" s="407"/>
      <c r="DVZ23" s="407"/>
      <c r="DWA23" s="407"/>
      <c r="DWB23" s="407"/>
      <c r="DWC23" s="407"/>
      <c r="DWD23" s="407"/>
      <c r="DWE23" s="407"/>
      <c r="DWF23" s="407"/>
      <c r="DWG23" s="407"/>
      <c r="DWH23" s="407"/>
      <c r="DWI23" s="407"/>
      <c r="DWJ23" s="407"/>
      <c r="DWK23" s="407"/>
      <c r="DWL23" s="407"/>
      <c r="DWM23" s="407"/>
      <c r="DWN23" s="407"/>
      <c r="DWO23" s="407"/>
      <c r="DWP23" s="407"/>
      <c r="DWQ23" s="407"/>
      <c r="DWR23" s="407"/>
      <c r="DWS23" s="407"/>
      <c r="DWT23" s="407"/>
      <c r="DWU23" s="407"/>
      <c r="DWV23" s="407"/>
      <c r="DWW23" s="407"/>
      <c r="DWX23" s="407"/>
      <c r="DWY23" s="407"/>
      <c r="DWZ23" s="407"/>
      <c r="DXA23" s="407"/>
      <c r="DXB23" s="407"/>
      <c r="DXC23" s="407"/>
      <c r="DXD23" s="407"/>
      <c r="DXE23" s="407"/>
      <c r="DXF23" s="407"/>
      <c r="DXG23" s="407"/>
      <c r="DXH23" s="407"/>
      <c r="DXI23" s="407"/>
      <c r="DXJ23" s="407"/>
      <c r="DXK23" s="407"/>
      <c r="DXL23" s="407"/>
      <c r="DXM23" s="407"/>
      <c r="DXN23" s="407"/>
      <c r="DXO23" s="407"/>
      <c r="DXP23" s="407"/>
      <c r="DXQ23" s="407"/>
      <c r="DXR23" s="407"/>
      <c r="DXS23" s="407"/>
      <c r="DXT23" s="407"/>
      <c r="DXU23" s="407"/>
      <c r="DXV23" s="407"/>
      <c r="DXW23" s="407"/>
      <c r="DXX23" s="407"/>
      <c r="DXY23" s="407"/>
      <c r="DXZ23" s="407"/>
      <c r="DYA23" s="407"/>
      <c r="DYB23" s="407"/>
      <c r="DYC23" s="407"/>
      <c r="DYD23" s="407"/>
      <c r="DYE23" s="407"/>
      <c r="DYF23" s="407"/>
      <c r="DYG23" s="407"/>
      <c r="DYH23" s="407"/>
      <c r="DYI23" s="407"/>
      <c r="DYJ23" s="407"/>
      <c r="DYK23" s="407"/>
      <c r="DYL23" s="407"/>
      <c r="DYM23" s="407"/>
      <c r="DYN23" s="407"/>
      <c r="DYO23" s="407"/>
      <c r="DYP23" s="407"/>
      <c r="DYQ23" s="407"/>
      <c r="DYR23" s="407"/>
      <c r="DYS23" s="407"/>
      <c r="DYT23" s="407"/>
      <c r="DYU23" s="407"/>
      <c r="DYV23" s="407"/>
      <c r="DYW23" s="407"/>
      <c r="DYX23" s="407"/>
      <c r="DYY23" s="407"/>
      <c r="DYZ23" s="407"/>
      <c r="DZA23" s="407"/>
      <c r="DZB23" s="407"/>
      <c r="DZC23" s="407"/>
      <c r="DZD23" s="407"/>
      <c r="DZE23" s="407"/>
      <c r="DZF23" s="407"/>
      <c r="DZG23" s="407"/>
      <c r="DZH23" s="407"/>
      <c r="DZI23" s="407"/>
      <c r="DZJ23" s="407"/>
      <c r="DZK23" s="407"/>
      <c r="DZL23" s="407"/>
      <c r="DZM23" s="407"/>
      <c r="DZN23" s="407"/>
      <c r="DZO23" s="407"/>
      <c r="DZP23" s="407"/>
      <c r="DZQ23" s="407"/>
      <c r="DZR23" s="407"/>
      <c r="DZS23" s="407"/>
      <c r="DZT23" s="407"/>
      <c r="DZU23" s="407"/>
      <c r="DZV23" s="407"/>
      <c r="DZW23" s="407"/>
      <c r="DZX23" s="407"/>
      <c r="DZY23" s="407"/>
      <c r="DZZ23" s="407"/>
      <c r="EAA23" s="407"/>
      <c r="EAB23" s="407"/>
      <c r="EAC23" s="407"/>
      <c r="EAD23" s="407"/>
      <c r="EAE23" s="407"/>
      <c r="EAF23" s="407"/>
      <c r="EAG23" s="407"/>
      <c r="EAH23" s="407"/>
      <c r="EAI23" s="407"/>
      <c r="EAJ23" s="407"/>
      <c r="EAK23" s="407"/>
      <c r="EAL23" s="407"/>
      <c r="EAM23" s="407"/>
      <c r="EAN23" s="407"/>
      <c r="EAO23" s="407"/>
      <c r="EAP23" s="407"/>
      <c r="EAQ23" s="407"/>
      <c r="EAR23" s="407"/>
      <c r="EAS23" s="407"/>
      <c r="EAT23" s="407"/>
      <c r="EAU23" s="407"/>
      <c r="EAV23" s="407"/>
      <c r="EAW23" s="407"/>
      <c r="EAX23" s="407"/>
      <c r="EAY23" s="407"/>
      <c r="EAZ23" s="407"/>
      <c r="EBA23" s="407"/>
      <c r="EBB23" s="407"/>
      <c r="EBC23" s="407"/>
      <c r="EBD23" s="407"/>
      <c r="EBE23" s="407"/>
      <c r="EBF23" s="407"/>
      <c r="EBG23" s="407"/>
      <c r="EBH23" s="407"/>
      <c r="EBI23" s="407"/>
      <c r="EBJ23" s="407"/>
      <c r="EBK23" s="407"/>
      <c r="EBL23" s="407"/>
      <c r="EBM23" s="407"/>
      <c r="EBN23" s="407"/>
      <c r="EBO23" s="407"/>
      <c r="EBP23" s="407"/>
      <c r="EBQ23" s="407"/>
      <c r="EBR23" s="407"/>
      <c r="EBS23" s="407"/>
      <c r="EBT23" s="407"/>
      <c r="EBU23" s="407"/>
      <c r="EBV23" s="407"/>
      <c r="EBW23" s="407"/>
      <c r="EBX23" s="407"/>
      <c r="EBY23" s="407"/>
      <c r="EBZ23" s="407"/>
      <c r="ECA23" s="407"/>
      <c r="ECB23" s="407"/>
      <c r="ECC23" s="407"/>
      <c r="ECD23" s="407"/>
      <c r="ECE23" s="407"/>
      <c r="ECF23" s="407"/>
      <c r="ECG23" s="407"/>
      <c r="ECH23" s="407"/>
      <c r="ECI23" s="407"/>
      <c r="ECJ23" s="407"/>
      <c r="ECK23" s="407"/>
      <c r="ECL23" s="407"/>
      <c r="ECM23" s="407"/>
      <c r="ECN23" s="407"/>
      <c r="ECO23" s="407"/>
      <c r="ECP23" s="407"/>
      <c r="ECQ23" s="407"/>
      <c r="ECR23" s="407"/>
      <c r="ECS23" s="407"/>
      <c r="ECT23" s="407"/>
      <c r="ECU23" s="407"/>
      <c r="ECV23" s="407"/>
      <c r="ECW23" s="407"/>
      <c r="ECX23" s="407"/>
      <c r="ECY23" s="407"/>
      <c r="ECZ23" s="407"/>
      <c r="EDA23" s="407"/>
      <c r="EDB23" s="407"/>
      <c r="EDC23" s="407"/>
      <c r="EDD23" s="407"/>
      <c r="EDE23" s="407"/>
      <c r="EDF23" s="407"/>
      <c r="EDG23" s="407"/>
      <c r="EDH23" s="407"/>
      <c r="EDI23" s="407"/>
      <c r="EDJ23" s="407"/>
      <c r="EDK23" s="407"/>
      <c r="EDL23" s="407"/>
      <c r="EDM23" s="407"/>
      <c r="EDN23" s="407"/>
      <c r="EDO23" s="407"/>
      <c r="EDP23" s="407"/>
      <c r="EDQ23" s="407"/>
      <c r="EDR23" s="407"/>
      <c r="EDS23" s="407"/>
      <c r="EDT23" s="407"/>
      <c r="EDU23" s="407"/>
      <c r="EDV23" s="407"/>
      <c r="EDW23" s="407"/>
      <c r="EDX23" s="407"/>
      <c r="EDY23" s="407"/>
      <c r="EDZ23" s="407"/>
      <c r="EEA23" s="407"/>
      <c r="EEB23" s="407"/>
      <c r="EEC23" s="407"/>
      <c r="EED23" s="407"/>
      <c r="EEE23" s="407"/>
      <c r="EEF23" s="407"/>
      <c r="EEG23" s="407"/>
      <c r="EEH23" s="407"/>
      <c r="EEI23" s="407"/>
      <c r="EEJ23" s="407"/>
      <c r="EEK23" s="407"/>
      <c r="EEL23" s="407"/>
      <c r="EEM23" s="407"/>
      <c r="EEN23" s="407"/>
      <c r="EEO23" s="407"/>
      <c r="EEP23" s="407"/>
      <c r="EEQ23" s="407"/>
      <c r="EER23" s="407"/>
      <c r="EES23" s="407"/>
      <c r="EET23" s="407"/>
      <c r="EEU23" s="407"/>
      <c r="EEV23" s="407"/>
      <c r="EEW23" s="407"/>
      <c r="EEX23" s="407"/>
      <c r="EEY23" s="407"/>
      <c r="EEZ23" s="407"/>
      <c r="EFA23" s="407"/>
      <c r="EFB23" s="407"/>
      <c r="EFC23" s="407"/>
      <c r="EFD23" s="407"/>
      <c r="EFE23" s="407"/>
      <c r="EFF23" s="407"/>
      <c r="EFG23" s="407"/>
      <c r="EFH23" s="407"/>
      <c r="EFI23" s="407"/>
      <c r="EFJ23" s="407"/>
      <c r="EFK23" s="407"/>
      <c r="EFL23" s="407"/>
      <c r="EFM23" s="407"/>
      <c r="EFN23" s="407"/>
      <c r="EFO23" s="407"/>
      <c r="EFP23" s="407"/>
      <c r="EFQ23" s="407"/>
      <c r="EFR23" s="407"/>
      <c r="EFS23" s="407"/>
      <c r="EFT23" s="407"/>
      <c r="EFU23" s="407"/>
      <c r="EFV23" s="407"/>
      <c r="EFW23" s="407"/>
      <c r="EFX23" s="407"/>
      <c r="EFY23" s="407"/>
      <c r="EFZ23" s="407"/>
      <c r="EGA23" s="407"/>
      <c r="EGB23" s="407"/>
      <c r="EGC23" s="407"/>
      <c r="EGD23" s="407"/>
      <c r="EGE23" s="407"/>
      <c r="EGF23" s="407"/>
      <c r="EGG23" s="407"/>
      <c r="EGH23" s="407"/>
      <c r="EGI23" s="407"/>
      <c r="EGJ23" s="407"/>
      <c r="EGK23" s="407"/>
      <c r="EGL23" s="407"/>
      <c r="EGM23" s="407"/>
      <c r="EGN23" s="407"/>
      <c r="EGO23" s="407"/>
      <c r="EGP23" s="407"/>
      <c r="EGQ23" s="407"/>
      <c r="EGR23" s="407"/>
      <c r="EGS23" s="407"/>
      <c r="EGT23" s="407"/>
      <c r="EGU23" s="407"/>
      <c r="EGV23" s="407"/>
      <c r="EGW23" s="407"/>
      <c r="EGX23" s="407"/>
      <c r="EGY23" s="407"/>
      <c r="EGZ23" s="407"/>
      <c r="EHA23" s="407"/>
      <c r="EHB23" s="407"/>
      <c r="EHC23" s="407"/>
      <c r="EHD23" s="407"/>
      <c r="EHE23" s="407"/>
      <c r="EHF23" s="407"/>
      <c r="EHG23" s="407"/>
      <c r="EHH23" s="407"/>
      <c r="EHI23" s="407"/>
      <c r="EHJ23" s="407"/>
      <c r="EHK23" s="407"/>
      <c r="EHL23" s="407"/>
      <c r="EHM23" s="407"/>
      <c r="EHN23" s="407"/>
      <c r="EHO23" s="407"/>
      <c r="EHP23" s="407"/>
      <c r="EHQ23" s="407"/>
      <c r="EHR23" s="407"/>
      <c r="EHS23" s="407"/>
      <c r="EHT23" s="407"/>
      <c r="EHU23" s="407"/>
      <c r="EHV23" s="407"/>
      <c r="EHW23" s="407"/>
      <c r="EHX23" s="407"/>
      <c r="EHY23" s="407"/>
      <c r="EHZ23" s="407"/>
      <c r="EIA23" s="407"/>
      <c r="EIB23" s="407"/>
      <c r="EIC23" s="407"/>
      <c r="EID23" s="407"/>
      <c r="EIE23" s="407"/>
      <c r="EIF23" s="407"/>
      <c r="EIG23" s="407"/>
      <c r="EIH23" s="407"/>
      <c r="EII23" s="407"/>
      <c r="EIJ23" s="407"/>
      <c r="EIK23" s="407"/>
      <c r="EIL23" s="407"/>
      <c r="EIM23" s="407"/>
      <c r="EIN23" s="407"/>
      <c r="EIO23" s="407"/>
      <c r="EIP23" s="407"/>
      <c r="EIQ23" s="407"/>
      <c r="EIR23" s="407"/>
      <c r="EIS23" s="407"/>
      <c r="EIT23" s="407"/>
      <c r="EIU23" s="407"/>
      <c r="EIV23" s="407"/>
      <c r="EIW23" s="407"/>
      <c r="EIX23" s="407"/>
      <c r="EIY23" s="407"/>
      <c r="EIZ23" s="407"/>
      <c r="EJA23" s="407"/>
      <c r="EJB23" s="407"/>
      <c r="EJC23" s="407"/>
      <c r="EJD23" s="407"/>
      <c r="EJE23" s="407"/>
      <c r="EJF23" s="407"/>
      <c r="EJG23" s="407"/>
      <c r="EJH23" s="407"/>
      <c r="EJI23" s="407"/>
      <c r="EJJ23" s="407"/>
      <c r="EJK23" s="407"/>
      <c r="EJL23" s="407"/>
      <c r="EJM23" s="407"/>
      <c r="EJN23" s="407"/>
      <c r="EJO23" s="407"/>
      <c r="EJP23" s="407"/>
      <c r="EJQ23" s="407"/>
      <c r="EJR23" s="407"/>
      <c r="EJS23" s="407"/>
      <c r="EJT23" s="407"/>
      <c r="EJU23" s="407"/>
      <c r="EJV23" s="407"/>
      <c r="EJW23" s="407"/>
      <c r="EJX23" s="407"/>
      <c r="EJY23" s="407"/>
      <c r="EJZ23" s="407"/>
      <c r="EKA23" s="407"/>
      <c r="EKB23" s="407"/>
      <c r="EKC23" s="407"/>
      <c r="EKD23" s="407"/>
      <c r="EKE23" s="407"/>
      <c r="EKF23" s="407"/>
      <c r="EKG23" s="407"/>
      <c r="EKH23" s="407"/>
      <c r="EKI23" s="407"/>
      <c r="EKJ23" s="407"/>
      <c r="EKK23" s="407"/>
      <c r="EKL23" s="407"/>
      <c r="EKM23" s="407"/>
      <c r="EKN23" s="407"/>
      <c r="EKO23" s="407"/>
      <c r="EKP23" s="407"/>
      <c r="EKQ23" s="407"/>
      <c r="EKR23" s="407"/>
      <c r="EKS23" s="407"/>
      <c r="EKT23" s="407"/>
      <c r="EKU23" s="407"/>
      <c r="EKV23" s="407"/>
      <c r="EKW23" s="407"/>
      <c r="EKX23" s="407"/>
      <c r="EKY23" s="407"/>
      <c r="EKZ23" s="407"/>
      <c r="ELA23" s="407"/>
      <c r="ELB23" s="407"/>
      <c r="ELC23" s="407"/>
      <c r="ELD23" s="407"/>
      <c r="ELE23" s="407"/>
      <c r="ELF23" s="407"/>
      <c r="ELG23" s="407"/>
      <c r="ELH23" s="407"/>
      <c r="ELI23" s="407"/>
      <c r="ELJ23" s="407"/>
      <c r="ELK23" s="407"/>
      <c r="ELL23" s="407"/>
      <c r="ELM23" s="407"/>
      <c r="ELN23" s="407"/>
      <c r="ELO23" s="407"/>
      <c r="ELP23" s="407"/>
      <c r="ELQ23" s="407"/>
      <c r="ELR23" s="407"/>
      <c r="ELS23" s="407"/>
      <c r="ELT23" s="407"/>
      <c r="ELU23" s="407"/>
      <c r="ELV23" s="407"/>
      <c r="ELW23" s="407"/>
      <c r="ELX23" s="407"/>
      <c r="ELY23" s="407"/>
      <c r="ELZ23" s="407"/>
      <c r="EMA23" s="407"/>
      <c r="EMB23" s="407"/>
      <c r="EMC23" s="407"/>
      <c r="EMD23" s="407"/>
      <c r="EME23" s="407"/>
      <c r="EMF23" s="407"/>
      <c r="EMG23" s="407"/>
      <c r="EMH23" s="407"/>
      <c r="EMI23" s="407"/>
      <c r="EMJ23" s="407"/>
      <c r="EMK23" s="407"/>
      <c r="EML23" s="407"/>
      <c r="EMM23" s="407"/>
      <c r="EMN23" s="407"/>
      <c r="EMO23" s="407"/>
      <c r="EMP23" s="407"/>
      <c r="EMQ23" s="407"/>
      <c r="EMR23" s="407"/>
      <c r="EMS23" s="407"/>
      <c r="EMT23" s="407"/>
      <c r="EMU23" s="407"/>
      <c r="EMV23" s="407"/>
      <c r="EMW23" s="407"/>
      <c r="EMX23" s="407"/>
      <c r="EMY23" s="407"/>
      <c r="EMZ23" s="407"/>
      <c r="ENA23" s="407"/>
      <c r="ENB23" s="407"/>
      <c r="ENC23" s="407"/>
      <c r="END23" s="407"/>
      <c r="ENE23" s="407"/>
      <c r="ENF23" s="407"/>
      <c r="ENG23" s="407"/>
      <c r="ENH23" s="407"/>
      <c r="ENI23" s="407"/>
      <c r="ENJ23" s="407"/>
      <c r="ENK23" s="407"/>
      <c r="ENL23" s="407"/>
      <c r="ENM23" s="407"/>
      <c r="ENN23" s="407"/>
      <c r="ENO23" s="407"/>
      <c r="ENP23" s="407"/>
      <c r="ENQ23" s="407"/>
      <c r="ENR23" s="407"/>
      <c r="ENS23" s="407"/>
      <c r="ENT23" s="407"/>
      <c r="ENU23" s="407"/>
      <c r="ENV23" s="407"/>
      <c r="ENW23" s="407"/>
      <c r="ENX23" s="407"/>
      <c r="ENY23" s="407"/>
      <c r="ENZ23" s="407"/>
      <c r="EOA23" s="407"/>
      <c r="EOB23" s="407"/>
      <c r="EOC23" s="407"/>
      <c r="EOD23" s="407"/>
      <c r="EOE23" s="407"/>
      <c r="EOF23" s="407"/>
      <c r="EOG23" s="407"/>
      <c r="EOH23" s="407"/>
      <c r="EOI23" s="407"/>
      <c r="EOJ23" s="407"/>
      <c r="EOK23" s="407"/>
      <c r="EOL23" s="407"/>
      <c r="EOM23" s="407"/>
      <c r="EON23" s="407"/>
      <c r="EOO23" s="407"/>
      <c r="EOP23" s="407"/>
      <c r="EOQ23" s="407"/>
      <c r="EOR23" s="407"/>
      <c r="EOS23" s="407"/>
      <c r="EOT23" s="407"/>
      <c r="EOU23" s="407"/>
      <c r="EOV23" s="407"/>
      <c r="EOW23" s="407"/>
      <c r="EOX23" s="407"/>
      <c r="EOY23" s="407"/>
      <c r="EOZ23" s="407"/>
      <c r="EPA23" s="407"/>
      <c r="EPB23" s="407"/>
      <c r="EPC23" s="407"/>
      <c r="EPD23" s="407"/>
      <c r="EPE23" s="407"/>
      <c r="EPF23" s="407"/>
      <c r="EPG23" s="407"/>
      <c r="EPH23" s="407"/>
      <c r="EPI23" s="407"/>
      <c r="EPJ23" s="407"/>
      <c r="EPK23" s="407"/>
      <c r="EPL23" s="407"/>
      <c r="EPM23" s="407"/>
      <c r="EPN23" s="407"/>
      <c r="EPO23" s="407"/>
      <c r="EPP23" s="407"/>
      <c r="EPQ23" s="407"/>
      <c r="EPR23" s="407"/>
      <c r="EPS23" s="407"/>
      <c r="EPT23" s="407"/>
      <c r="EPU23" s="407"/>
      <c r="EPV23" s="407"/>
      <c r="EPW23" s="407"/>
      <c r="EPX23" s="407"/>
      <c r="EPY23" s="407"/>
      <c r="EPZ23" s="407"/>
      <c r="EQA23" s="407"/>
      <c r="EQB23" s="407"/>
      <c r="EQC23" s="407"/>
      <c r="EQD23" s="407"/>
      <c r="EQE23" s="407"/>
      <c r="EQF23" s="407"/>
      <c r="EQG23" s="407"/>
      <c r="EQH23" s="407"/>
      <c r="EQI23" s="407"/>
      <c r="EQJ23" s="407"/>
      <c r="EQK23" s="407"/>
      <c r="EQL23" s="407"/>
      <c r="EQM23" s="407"/>
      <c r="EQN23" s="407"/>
      <c r="EQO23" s="407"/>
      <c r="EQP23" s="407"/>
      <c r="EQQ23" s="407"/>
      <c r="EQR23" s="407"/>
      <c r="EQS23" s="407"/>
      <c r="EQT23" s="407"/>
      <c r="EQU23" s="407"/>
      <c r="EQV23" s="407"/>
      <c r="EQW23" s="407"/>
      <c r="EQX23" s="407"/>
      <c r="EQY23" s="407"/>
      <c r="EQZ23" s="407"/>
      <c r="ERA23" s="407"/>
      <c r="ERB23" s="407"/>
      <c r="ERC23" s="407"/>
      <c r="ERD23" s="407"/>
      <c r="ERE23" s="407"/>
      <c r="ERF23" s="407"/>
      <c r="ERG23" s="407"/>
      <c r="ERH23" s="407"/>
      <c r="ERI23" s="407"/>
      <c r="ERJ23" s="407"/>
      <c r="ERK23" s="407"/>
      <c r="ERL23" s="407"/>
      <c r="ERM23" s="407"/>
      <c r="ERN23" s="407"/>
      <c r="ERO23" s="407"/>
      <c r="ERP23" s="407"/>
      <c r="ERQ23" s="407"/>
      <c r="ERR23" s="407"/>
      <c r="ERS23" s="407"/>
      <c r="ERT23" s="407"/>
      <c r="ERU23" s="407"/>
      <c r="ERV23" s="407"/>
      <c r="ERW23" s="407"/>
      <c r="ERX23" s="407"/>
      <c r="ERY23" s="407"/>
      <c r="ERZ23" s="407"/>
      <c r="ESA23" s="407"/>
      <c r="ESB23" s="407"/>
      <c r="ESC23" s="407"/>
      <c r="ESD23" s="407"/>
      <c r="ESE23" s="407"/>
      <c r="ESF23" s="407"/>
      <c r="ESG23" s="407"/>
      <c r="ESH23" s="407"/>
      <c r="ESI23" s="407"/>
      <c r="ESJ23" s="407"/>
      <c r="ESK23" s="407"/>
      <c r="ESL23" s="407"/>
      <c r="ESM23" s="407"/>
      <c r="ESN23" s="407"/>
      <c r="ESO23" s="407"/>
      <c r="ESP23" s="407"/>
      <c r="ESQ23" s="407"/>
      <c r="ESR23" s="407"/>
      <c r="ESS23" s="407"/>
      <c r="EST23" s="407"/>
      <c r="ESU23" s="407"/>
      <c r="ESV23" s="407"/>
      <c r="ESW23" s="407"/>
      <c r="ESX23" s="407"/>
      <c r="ESY23" s="407"/>
      <c r="ESZ23" s="407"/>
      <c r="ETA23" s="407"/>
      <c r="ETB23" s="407"/>
      <c r="ETC23" s="407"/>
      <c r="ETD23" s="407"/>
      <c r="ETE23" s="407"/>
      <c r="ETF23" s="407"/>
      <c r="ETG23" s="407"/>
      <c r="ETH23" s="407"/>
      <c r="ETI23" s="407"/>
      <c r="ETJ23" s="407"/>
      <c r="ETK23" s="407"/>
      <c r="ETL23" s="407"/>
      <c r="ETM23" s="407"/>
      <c r="ETN23" s="407"/>
      <c r="ETO23" s="407"/>
      <c r="ETP23" s="407"/>
      <c r="ETQ23" s="407"/>
      <c r="ETR23" s="407"/>
      <c r="ETS23" s="407"/>
      <c r="ETT23" s="407"/>
      <c r="ETU23" s="407"/>
      <c r="ETV23" s="407"/>
      <c r="ETW23" s="407"/>
      <c r="ETX23" s="407"/>
      <c r="ETY23" s="407"/>
      <c r="ETZ23" s="407"/>
      <c r="EUA23" s="407"/>
      <c r="EUB23" s="407"/>
      <c r="EUC23" s="407"/>
      <c r="EUD23" s="407"/>
      <c r="EUE23" s="407"/>
      <c r="EUF23" s="407"/>
      <c r="EUG23" s="407"/>
      <c r="EUH23" s="407"/>
      <c r="EUI23" s="407"/>
      <c r="EUJ23" s="407"/>
      <c r="EUK23" s="407"/>
      <c r="EUL23" s="407"/>
      <c r="EUM23" s="407"/>
      <c r="EUN23" s="407"/>
      <c r="EUO23" s="407"/>
      <c r="EUP23" s="407"/>
      <c r="EUQ23" s="407"/>
      <c r="EUR23" s="407"/>
      <c r="EUS23" s="407"/>
      <c r="EUT23" s="407"/>
      <c r="EUU23" s="407"/>
      <c r="EUV23" s="407"/>
      <c r="EUW23" s="407"/>
      <c r="EUX23" s="407"/>
      <c r="EUY23" s="407"/>
      <c r="EUZ23" s="407"/>
      <c r="EVA23" s="407"/>
      <c r="EVB23" s="407"/>
      <c r="EVC23" s="407"/>
      <c r="EVD23" s="407"/>
      <c r="EVE23" s="407"/>
      <c r="EVF23" s="407"/>
      <c r="EVG23" s="407"/>
      <c r="EVH23" s="407"/>
      <c r="EVI23" s="407"/>
      <c r="EVJ23" s="407"/>
      <c r="EVK23" s="407"/>
      <c r="EVL23" s="407"/>
      <c r="EVM23" s="407"/>
      <c r="EVN23" s="407"/>
      <c r="EVO23" s="407"/>
      <c r="EVP23" s="407"/>
      <c r="EVQ23" s="407"/>
      <c r="EVR23" s="407"/>
      <c r="EVS23" s="407"/>
      <c r="EVT23" s="407"/>
      <c r="EVU23" s="407"/>
      <c r="EVV23" s="407"/>
      <c r="EVW23" s="407"/>
      <c r="EVX23" s="407"/>
      <c r="EVY23" s="407"/>
      <c r="EVZ23" s="407"/>
      <c r="EWA23" s="407"/>
      <c r="EWB23" s="407"/>
      <c r="EWC23" s="407"/>
      <c r="EWD23" s="407"/>
      <c r="EWE23" s="407"/>
      <c r="EWF23" s="407"/>
      <c r="EWG23" s="407"/>
      <c r="EWH23" s="407"/>
      <c r="EWI23" s="407"/>
      <c r="EWJ23" s="407"/>
      <c r="EWK23" s="407"/>
      <c r="EWL23" s="407"/>
      <c r="EWM23" s="407"/>
      <c r="EWN23" s="407"/>
      <c r="EWO23" s="407"/>
      <c r="EWP23" s="407"/>
      <c r="EWQ23" s="407"/>
      <c r="EWR23" s="407"/>
      <c r="EWS23" s="407"/>
      <c r="EWT23" s="407"/>
      <c r="EWU23" s="407"/>
      <c r="EWV23" s="407"/>
      <c r="EWW23" s="407"/>
      <c r="EWX23" s="407"/>
      <c r="EWY23" s="407"/>
      <c r="EWZ23" s="407"/>
      <c r="EXA23" s="407"/>
      <c r="EXB23" s="407"/>
      <c r="EXC23" s="407"/>
      <c r="EXD23" s="407"/>
      <c r="EXE23" s="407"/>
      <c r="EXF23" s="407"/>
      <c r="EXG23" s="407"/>
      <c r="EXH23" s="407"/>
      <c r="EXI23" s="407"/>
      <c r="EXJ23" s="407"/>
      <c r="EXK23" s="407"/>
      <c r="EXL23" s="407"/>
      <c r="EXM23" s="407"/>
      <c r="EXN23" s="407"/>
      <c r="EXO23" s="407"/>
      <c r="EXP23" s="407"/>
      <c r="EXQ23" s="407"/>
      <c r="EXR23" s="407"/>
      <c r="EXS23" s="407"/>
      <c r="EXT23" s="407"/>
      <c r="EXU23" s="407"/>
      <c r="EXV23" s="407"/>
      <c r="EXW23" s="407"/>
      <c r="EXX23" s="407"/>
      <c r="EXY23" s="407"/>
      <c r="EXZ23" s="407"/>
      <c r="EYA23" s="407"/>
      <c r="EYB23" s="407"/>
      <c r="EYC23" s="407"/>
      <c r="EYD23" s="407"/>
      <c r="EYE23" s="407"/>
      <c r="EYF23" s="407"/>
      <c r="EYG23" s="407"/>
      <c r="EYH23" s="407"/>
      <c r="EYI23" s="407"/>
      <c r="EYJ23" s="407"/>
      <c r="EYK23" s="407"/>
      <c r="EYL23" s="407"/>
      <c r="EYM23" s="407"/>
      <c r="EYN23" s="407"/>
      <c r="EYO23" s="407"/>
      <c r="EYP23" s="407"/>
      <c r="EYQ23" s="407"/>
      <c r="EYR23" s="407"/>
      <c r="EYS23" s="407"/>
      <c r="EYT23" s="407"/>
      <c r="EYU23" s="407"/>
      <c r="EYV23" s="407"/>
      <c r="EYW23" s="407"/>
      <c r="EYX23" s="407"/>
      <c r="EYY23" s="407"/>
      <c r="EYZ23" s="407"/>
      <c r="EZA23" s="407"/>
      <c r="EZB23" s="407"/>
      <c r="EZC23" s="407"/>
      <c r="EZD23" s="407"/>
      <c r="EZE23" s="407"/>
      <c r="EZF23" s="407"/>
      <c r="EZG23" s="407"/>
      <c r="EZH23" s="407"/>
      <c r="EZI23" s="407"/>
      <c r="EZJ23" s="407"/>
      <c r="EZK23" s="407"/>
      <c r="EZL23" s="407"/>
      <c r="EZM23" s="407"/>
      <c r="EZN23" s="407"/>
      <c r="EZO23" s="407"/>
      <c r="EZP23" s="407"/>
      <c r="EZQ23" s="407"/>
      <c r="EZR23" s="407"/>
      <c r="EZS23" s="407"/>
      <c r="EZT23" s="407"/>
      <c r="EZU23" s="407"/>
      <c r="EZV23" s="407"/>
      <c r="EZW23" s="407"/>
      <c r="EZX23" s="407"/>
      <c r="EZY23" s="407"/>
      <c r="EZZ23" s="407"/>
      <c r="FAA23" s="407"/>
      <c r="FAB23" s="407"/>
      <c r="FAC23" s="407"/>
      <c r="FAD23" s="407"/>
      <c r="FAE23" s="407"/>
      <c r="FAF23" s="407"/>
      <c r="FAG23" s="407"/>
      <c r="FAH23" s="407"/>
      <c r="FAI23" s="407"/>
      <c r="FAJ23" s="407"/>
      <c r="FAK23" s="407"/>
      <c r="FAL23" s="407"/>
      <c r="FAM23" s="407"/>
      <c r="FAN23" s="407"/>
      <c r="FAO23" s="407"/>
      <c r="FAP23" s="407"/>
      <c r="FAQ23" s="407"/>
      <c r="FAR23" s="407"/>
      <c r="FAS23" s="407"/>
      <c r="FAT23" s="407"/>
      <c r="FAU23" s="407"/>
      <c r="FAV23" s="407"/>
      <c r="FAW23" s="407"/>
      <c r="FAX23" s="407"/>
      <c r="FAY23" s="407"/>
      <c r="FAZ23" s="407"/>
      <c r="FBA23" s="407"/>
      <c r="FBB23" s="407"/>
      <c r="FBC23" s="407"/>
      <c r="FBD23" s="407"/>
      <c r="FBE23" s="407"/>
      <c r="FBF23" s="407"/>
      <c r="FBG23" s="407"/>
      <c r="FBH23" s="407"/>
      <c r="FBI23" s="407"/>
      <c r="FBJ23" s="407"/>
      <c r="FBK23" s="407"/>
      <c r="FBL23" s="407"/>
      <c r="FBM23" s="407"/>
      <c r="FBN23" s="407"/>
      <c r="FBO23" s="407"/>
      <c r="FBP23" s="407"/>
      <c r="FBQ23" s="407"/>
      <c r="FBR23" s="407"/>
      <c r="FBS23" s="407"/>
      <c r="FBT23" s="407"/>
      <c r="FBU23" s="407"/>
      <c r="FBV23" s="407"/>
      <c r="FBW23" s="407"/>
      <c r="FBX23" s="407"/>
      <c r="FBY23" s="407"/>
      <c r="FBZ23" s="407"/>
      <c r="FCA23" s="407"/>
      <c r="FCB23" s="407"/>
      <c r="FCC23" s="407"/>
      <c r="FCD23" s="407"/>
      <c r="FCE23" s="407"/>
      <c r="FCF23" s="407"/>
      <c r="FCG23" s="407"/>
      <c r="FCH23" s="407"/>
      <c r="FCI23" s="407"/>
      <c r="FCJ23" s="407"/>
      <c r="FCK23" s="407"/>
      <c r="FCL23" s="407"/>
      <c r="FCM23" s="407"/>
      <c r="FCN23" s="407"/>
      <c r="FCO23" s="407"/>
      <c r="FCP23" s="407"/>
      <c r="FCQ23" s="407"/>
      <c r="FCR23" s="407"/>
      <c r="FCS23" s="407"/>
      <c r="FCT23" s="407"/>
      <c r="FCU23" s="407"/>
      <c r="FCV23" s="407"/>
      <c r="FCW23" s="407"/>
      <c r="FCX23" s="407"/>
      <c r="FCY23" s="407"/>
      <c r="FCZ23" s="407"/>
      <c r="FDA23" s="407"/>
      <c r="FDB23" s="407"/>
      <c r="FDC23" s="407"/>
      <c r="FDD23" s="407"/>
      <c r="FDE23" s="407"/>
      <c r="FDF23" s="407"/>
      <c r="FDG23" s="407"/>
      <c r="FDH23" s="407"/>
      <c r="FDI23" s="407"/>
      <c r="FDJ23" s="407"/>
      <c r="FDK23" s="407"/>
      <c r="FDL23" s="407"/>
      <c r="FDM23" s="407"/>
      <c r="FDN23" s="407"/>
      <c r="FDO23" s="407"/>
      <c r="FDP23" s="407"/>
      <c r="FDQ23" s="407"/>
      <c r="FDR23" s="407"/>
      <c r="FDS23" s="407"/>
      <c r="FDT23" s="407"/>
      <c r="FDU23" s="407"/>
      <c r="FDV23" s="407"/>
      <c r="FDW23" s="407"/>
      <c r="FDX23" s="407"/>
      <c r="FDY23" s="407"/>
      <c r="FDZ23" s="407"/>
      <c r="FEA23" s="407"/>
      <c r="FEB23" s="407"/>
      <c r="FEC23" s="407"/>
      <c r="FED23" s="407"/>
      <c r="FEE23" s="407"/>
      <c r="FEF23" s="407"/>
      <c r="FEG23" s="407"/>
      <c r="FEH23" s="407"/>
      <c r="FEI23" s="407"/>
      <c r="FEJ23" s="407"/>
      <c r="FEK23" s="407"/>
      <c r="FEL23" s="407"/>
      <c r="FEM23" s="407"/>
      <c r="FEN23" s="407"/>
      <c r="FEO23" s="407"/>
      <c r="FEP23" s="407"/>
      <c r="FEQ23" s="407"/>
      <c r="FER23" s="407"/>
      <c r="FES23" s="407"/>
      <c r="FET23" s="407"/>
      <c r="FEU23" s="407"/>
      <c r="FEV23" s="407"/>
      <c r="FEW23" s="407"/>
      <c r="FEX23" s="407"/>
      <c r="FEY23" s="407"/>
      <c r="FEZ23" s="407"/>
      <c r="FFA23" s="407"/>
      <c r="FFB23" s="407"/>
      <c r="FFC23" s="407"/>
      <c r="FFD23" s="407"/>
      <c r="FFE23" s="407"/>
      <c r="FFF23" s="407"/>
      <c r="FFG23" s="407"/>
      <c r="FFH23" s="407"/>
      <c r="FFI23" s="407"/>
      <c r="FFJ23" s="407"/>
      <c r="FFK23" s="407"/>
      <c r="FFL23" s="407"/>
      <c r="FFM23" s="407"/>
      <c r="FFN23" s="407"/>
      <c r="FFO23" s="407"/>
      <c r="FFP23" s="407"/>
      <c r="FFQ23" s="407"/>
      <c r="FFR23" s="407"/>
      <c r="FFS23" s="407"/>
      <c r="FFT23" s="407"/>
      <c r="FFU23" s="407"/>
      <c r="FFV23" s="407"/>
      <c r="FFW23" s="407"/>
      <c r="FFX23" s="407"/>
      <c r="FFY23" s="407"/>
      <c r="FFZ23" s="407"/>
      <c r="FGA23" s="407"/>
      <c r="FGB23" s="407"/>
      <c r="FGC23" s="407"/>
      <c r="FGD23" s="407"/>
      <c r="FGE23" s="407"/>
      <c r="FGF23" s="407"/>
      <c r="FGG23" s="407"/>
      <c r="FGH23" s="407"/>
      <c r="FGI23" s="407"/>
      <c r="FGJ23" s="407"/>
      <c r="FGK23" s="407"/>
      <c r="FGL23" s="407"/>
      <c r="FGM23" s="407"/>
      <c r="FGN23" s="407"/>
      <c r="FGO23" s="407"/>
      <c r="FGP23" s="407"/>
      <c r="FGQ23" s="407"/>
      <c r="FGR23" s="407"/>
      <c r="FGS23" s="407"/>
      <c r="FGT23" s="407"/>
      <c r="FGU23" s="407"/>
      <c r="FGV23" s="407"/>
      <c r="FGW23" s="407"/>
      <c r="FGX23" s="407"/>
      <c r="FGY23" s="407"/>
      <c r="FGZ23" s="407"/>
      <c r="FHA23" s="407"/>
      <c r="FHB23" s="407"/>
      <c r="FHC23" s="407"/>
      <c r="FHD23" s="407"/>
      <c r="FHE23" s="407"/>
      <c r="FHF23" s="407"/>
      <c r="FHG23" s="407"/>
      <c r="FHH23" s="407"/>
      <c r="FHI23" s="407"/>
      <c r="FHJ23" s="407"/>
      <c r="FHK23" s="407"/>
      <c r="FHL23" s="407"/>
      <c r="FHM23" s="407"/>
      <c r="FHN23" s="407"/>
      <c r="FHO23" s="407"/>
      <c r="FHP23" s="407"/>
      <c r="FHQ23" s="407"/>
      <c r="FHR23" s="407"/>
      <c r="FHS23" s="407"/>
      <c r="FHT23" s="407"/>
      <c r="FHU23" s="407"/>
      <c r="FHV23" s="407"/>
      <c r="FHW23" s="407"/>
      <c r="FHX23" s="407"/>
      <c r="FHY23" s="407"/>
      <c r="FHZ23" s="407"/>
      <c r="FIA23" s="407"/>
      <c r="FIB23" s="407"/>
      <c r="FIC23" s="407"/>
      <c r="FID23" s="407"/>
      <c r="FIE23" s="407"/>
      <c r="FIF23" s="407"/>
      <c r="FIG23" s="407"/>
      <c r="FIH23" s="407"/>
      <c r="FII23" s="407"/>
      <c r="FIJ23" s="407"/>
      <c r="FIK23" s="407"/>
      <c r="FIL23" s="407"/>
      <c r="FIM23" s="407"/>
      <c r="FIN23" s="407"/>
      <c r="FIO23" s="407"/>
      <c r="FIP23" s="407"/>
      <c r="FIQ23" s="407"/>
      <c r="FIR23" s="407"/>
      <c r="FIS23" s="407"/>
      <c r="FIT23" s="407"/>
      <c r="FIU23" s="407"/>
      <c r="FIV23" s="407"/>
      <c r="FIW23" s="407"/>
      <c r="FIX23" s="407"/>
      <c r="FIY23" s="407"/>
      <c r="FIZ23" s="407"/>
      <c r="FJA23" s="407"/>
      <c r="FJB23" s="407"/>
      <c r="FJC23" s="407"/>
      <c r="FJD23" s="407"/>
      <c r="FJE23" s="407"/>
      <c r="FJF23" s="407"/>
      <c r="FJG23" s="407"/>
      <c r="FJH23" s="407"/>
      <c r="FJI23" s="407"/>
      <c r="FJJ23" s="407"/>
      <c r="FJK23" s="407"/>
      <c r="FJL23" s="407"/>
      <c r="FJM23" s="407"/>
      <c r="FJN23" s="407"/>
      <c r="FJO23" s="407"/>
      <c r="FJP23" s="407"/>
      <c r="FJQ23" s="407"/>
      <c r="FJR23" s="407"/>
      <c r="FJS23" s="407"/>
      <c r="FJT23" s="407"/>
      <c r="FJU23" s="407"/>
      <c r="FJV23" s="407"/>
      <c r="FJW23" s="407"/>
      <c r="FJX23" s="407"/>
      <c r="FJY23" s="407"/>
      <c r="FJZ23" s="407"/>
      <c r="FKA23" s="407"/>
      <c r="FKB23" s="407"/>
      <c r="FKC23" s="407"/>
      <c r="FKD23" s="407"/>
      <c r="FKE23" s="407"/>
      <c r="FKF23" s="407"/>
      <c r="FKG23" s="407"/>
      <c r="FKH23" s="407"/>
      <c r="FKI23" s="407"/>
      <c r="FKJ23" s="407"/>
      <c r="FKK23" s="407"/>
      <c r="FKL23" s="407"/>
      <c r="FKM23" s="407"/>
      <c r="FKN23" s="407"/>
      <c r="FKO23" s="407"/>
      <c r="FKP23" s="407"/>
      <c r="FKQ23" s="407"/>
      <c r="FKR23" s="407"/>
      <c r="FKS23" s="407"/>
      <c r="FKT23" s="407"/>
      <c r="FKU23" s="407"/>
      <c r="FKV23" s="407"/>
      <c r="FKW23" s="407"/>
      <c r="FKX23" s="407"/>
      <c r="FKY23" s="407"/>
      <c r="FKZ23" s="407"/>
      <c r="FLA23" s="407"/>
      <c r="FLB23" s="407"/>
      <c r="FLC23" s="407"/>
      <c r="FLD23" s="407"/>
      <c r="FLE23" s="407"/>
      <c r="FLF23" s="407"/>
      <c r="FLG23" s="407"/>
      <c r="FLH23" s="407"/>
      <c r="FLI23" s="407"/>
      <c r="FLJ23" s="407"/>
      <c r="FLK23" s="407"/>
      <c r="FLL23" s="407"/>
      <c r="FLM23" s="407"/>
      <c r="FLN23" s="407"/>
      <c r="FLO23" s="407"/>
      <c r="FLP23" s="407"/>
      <c r="FLQ23" s="407"/>
      <c r="FLR23" s="407"/>
      <c r="FLS23" s="407"/>
      <c r="FLT23" s="407"/>
      <c r="FLU23" s="407"/>
      <c r="FLV23" s="407"/>
      <c r="FLW23" s="407"/>
      <c r="FLX23" s="407"/>
      <c r="FLY23" s="407"/>
      <c r="FLZ23" s="407"/>
      <c r="FMA23" s="407"/>
      <c r="FMB23" s="407"/>
      <c r="FMC23" s="407"/>
      <c r="FMD23" s="407"/>
      <c r="FME23" s="407"/>
      <c r="FMF23" s="407"/>
      <c r="FMG23" s="407"/>
      <c r="FMH23" s="407"/>
      <c r="FMI23" s="407"/>
      <c r="FMJ23" s="407"/>
      <c r="FMK23" s="407"/>
      <c r="FML23" s="407"/>
      <c r="FMM23" s="407"/>
      <c r="FMN23" s="407"/>
      <c r="FMO23" s="407"/>
      <c r="FMP23" s="407"/>
      <c r="FMQ23" s="407"/>
      <c r="FMR23" s="407"/>
      <c r="FMS23" s="407"/>
      <c r="FMT23" s="407"/>
      <c r="FMU23" s="407"/>
      <c r="FMV23" s="407"/>
      <c r="FMW23" s="407"/>
      <c r="FMX23" s="407"/>
      <c r="FMY23" s="407"/>
      <c r="FMZ23" s="407"/>
      <c r="FNA23" s="407"/>
      <c r="FNB23" s="407"/>
      <c r="FNC23" s="407"/>
      <c r="FND23" s="407"/>
      <c r="FNE23" s="407"/>
      <c r="FNF23" s="407"/>
      <c r="FNG23" s="407"/>
      <c r="FNH23" s="407"/>
      <c r="FNI23" s="407"/>
      <c r="FNJ23" s="407"/>
      <c r="FNK23" s="407"/>
      <c r="FNL23" s="407"/>
      <c r="FNM23" s="407"/>
      <c r="FNN23" s="407"/>
      <c r="FNO23" s="407"/>
      <c r="FNP23" s="407"/>
      <c r="FNQ23" s="407"/>
      <c r="FNR23" s="407"/>
      <c r="FNS23" s="407"/>
      <c r="FNT23" s="407"/>
      <c r="FNU23" s="407"/>
      <c r="FNV23" s="407"/>
      <c r="FNW23" s="407"/>
      <c r="FNX23" s="407"/>
      <c r="FNY23" s="407"/>
      <c r="FNZ23" s="407"/>
      <c r="FOA23" s="407"/>
      <c r="FOB23" s="407"/>
      <c r="FOC23" s="407"/>
      <c r="FOD23" s="407"/>
      <c r="FOE23" s="407"/>
      <c r="FOF23" s="407"/>
      <c r="FOG23" s="407"/>
      <c r="FOH23" s="407"/>
      <c r="FOI23" s="407"/>
      <c r="FOJ23" s="407"/>
      <c r="FOK23" s="407"/>
      <c r="FOL23" s="407"/>
      <c r="FOM23" s="407"/>
      <c r="FON23" s="407"/>
      <c r="FOO23" s="407"/>
      <c r="FOP23" s="407"/>
      <c r="FOQ23" s="407"/>
      <c r="FOR23" s="407"/>
      <c r="FOS23" s="407"/>
      <c r="FOT23" s="407"/>
      <c r="FOU23" s="407"/>
      <c r="FOV23" s="407"/>
      <c r="FOW23" s="407"/>
      <c r="FOX23" s="407"/>
      <c r="FOY23" s="407"/>
      <c r="FOZ23" s="407"/>
      <c r="FPA23" s="407"/>
      <c r="FPB23" s="407"/>
      <c r="FPC23" s="407"/>
      <c r="FPD23" s="407"/>
      <c r="FPE23" s="407"/>
      <c r="FPF23" s="407"/>
      <c r="FPG23" s="407"/>
      <c r="FPH23" s="407"/>
      <c r="FPI23" s="407"/>
      <c r="FPJ23" s="407"/>
      <c r="FPK23" s="407"/>
      <c r="FPL23" s="407"/>
      <c r="FPM23" s="407"/>
      <c r="FPN23" s="407"/>
      <c r="FPO23" s="407"/>
      <c r="FPP23" s="407"/>
      <c r="FPQ23" s="407"/>
      <c r="FPR23" s="407"/>
      <c r="FPS23" s="407"/>
      <c r="FPT23" s="407"/>
      <c r="FPU23" s="407"/>
      <c r="FPV23" s="407"/>
      <c r="FPW23" s="407"/>
      <c r="FPX23" s="407"/>
      <c r="FPY23" s="407"/>
      <c r="FPZ23" s="407"/>
      <c r="FQA23" s="407"/>
      <c r="FQB23" s="407"/>
      <c r="FQC23" s="407"/>
      <c r="FQD23" s="407"/>
      <c r="FQE23" s="407"/>
      <c r="FQF23" s="407"/>
      <c r="FQG23" s="407"/>
      <c r="FQH23" s="407"/>
      <c r="FQI23" s="407"/>
      <c r="FQJ23" s="407"/>
      <c r="FQK23" s="407"/>
      <c r="FQL23" s="407"/>
      <c r="FQM23" s="407"/>
      <c r="FQN23" s="407"/>
      <c r="FQO23" s="407"/>
      <c r="FQP23" s="407"/>
      <c r="FQQ23" s="407"/>
      <c r="FQR23" s="407"/>
      <c r="FQS23" s="407"/>
      <c r="FQT23" s="407"/>
      <c r="FQU23" s="407"/>
      <c r="FQV23" s="407"/>
      <c r="FQW23" s="407"/>
      <c r="FQX23" s="407"/>
      <c r="FQY23" s="407"/>
      <c r="FQZ23" s="407"/>
      <c r="FRA23" s="407"/>
      <c r="FRB23" s="407"/>
      <c r="FRC23" s="407"/>
      <c r="FRD23" s="407"/>
      <c r="FRE23" s="407"/>
      <c r="FRF23" s="407"/>
      <c r="FRG23" s="407"/>
      <c r="FRH23" s="407"/>
      <c r="FRI23" s="407"/>
      <c r="FRJ23" s="407"/>
      <c r="FRK23" s="407"/>
      <c r="FRL23" s="407"/>
      <c r="FRM23" s="407"/>
      <c r="FRN23" s="407"/>
      <c r="FRO23" s="407"/>
      <c r="FRP23" s="407"/>
      <c r="FRQ23" s="407"/>
      <c r="FRR23" s="407"/>
      <c r="FRS23" s="407"/>
      <c r="FRT23" s="407"/>
      <c r="FRU23" s="407"/>
      <c r="FRV23" s="407"/>
      <c r="FRW23" s="407"/>
      <c r="FRX23" s="407"/>
      <c r="FRY23" s="407"/>
      <c r="FRZ23" s="407"/>
      <c r="FSA23" s="407"/>
      <c r="FSB23" s="407"/>
      <c r="FSC23" s="407"/>
      <c r="FSD23" s="407"/>
      <c r="FSE23" s="407"/>
      <c r="FSF23" s="407"/>
      <c r="FSG23" s="407"/>
      <c r="FSH23" s="407"/>
      <c r="FSI23" s="407"/>
      <c r="FSJ23" s="407"/>
      <c r="FSK23" s="407"/>
      <c r="FSL23" s="407"/>
      <c r="FSM23" s="407"/>
      <c r="FSN23" s="407"/>
      <c r="FSO23" s="407"/>
      <c r="FSP23" s="407"/>
      <c r="FSQ23" s="407"/>
      <c r="FSR23" s="407"/>
      <c r="FSS23" s="407"/>
      <c r="FST23" s="407"/>
      <c r="FSU23" s="407"/>
      <c r="FSV23" s="407"/>
      <c r="FSW23" s="407"/>
      <c r="FSX23" s="407"/>
      <c r="FSY23" s="407"/>
      <c r="FSZ23" s="407"/>
      <c r="FTA23" s="407"/>
      <c r="FTB23" s="407"/>
      <c r="FTC23" s="407"/>
      <c r="FTD23" s="407"/>
      <c r="FTE23" s="407"/>
      <c r="FTF23" s="407"/>
      <c r="FTG23" s="407"/>
      <c r="FTH23" s="407"/>
      <c r="FTI23" s="407"/>
      <c r="FTJ23" s="407"/>
      <c r="FTK23" s="407"/>
      <c r="FTL23" s="407"/>
      <c r="FTM23" s="407"/>
      <c r="FTN23" s="407"/>
      <c r="FTO23" s="407"/>
      <c r="FTP23" s="407"/>
      <c r="FTQ23" s="407"/>
      <c r="FTR23" s="407"/>
      <c r="FTS23" s="407"/>
      <c r="FTT23" s="407"/>
      <c r="FTU23" s="407"/>
      <c r="FTV23" s="407"/>
      <c r="FTW23" s="407"/>
      <c r="FTX23" s="407"/>
      <c r="FTY23" s="407"/>
      <c r="FTZ23" s="407"/>
      <c r="FUA23" s="407"/>
      <c r="FUB23" s="407"/>
      <c r="FUC23" s="407"/>
      <c r="FUD23" s="407"/>
      <c r="FUE23" s="407"/>
      <c r="FUF23" s="407"/>
      <c r="FUG23" s="407"/>
      <c r="FUH23" s="407"/>
      <c r="FUI23" s="407"/>
      <c r="FUJ23" s="407"/>
      <c r="FUK23" s="407"/>
      <c r="FUL23" s="407"/>
      <c r="FUM23" s="407"/>
      <c r="FUN23" s="407"/>
      <c r="FUO23" s="407"/>
      <c r="FUP23" s="407"/>
      <c r="FUQ23" s="407"/>
      <c r="FUR23" s="407"/>
      <c r="FUS23" s="407"/>
      <c r="FUT23" s="407"/>
      <c r="FUU23" s="407"/>
      <c r="FUV23" s="407"/>
      <c r="FUW23" s="407"/>
      <c r="FUX23" s="407"/>
      <c r="FUY23" s="407"/>
      <c r="FUZ23" s="407"/>
      <c r="FVA23" s="407"/>
      <c r="FVB23" s="407"/>
      <c r="FVC23" s="407"/>
      <c r="FVD23" s="407"/>
      <c r="FVE23" s="407"/>
      <c r="FVF23" s="407"/>
      <c r="FVG23" s="407"/>
      <c r="FVH23" s="407"/>
      <c r="FVI23" s="407"/>
      <c r="FVJ23" s="407"/>
      <c r="FVK23" s="407"/>
      <c r="FVL23" s="407"/>
      <c r="FVM23" s="407"/>
      <c r="FVN23" s="407"/>
      <c r="FVO23" s="407"/>
      <c r="FVP23" s="407"/>
      <c r="FVQ23" s="407"/>
      <c r="FVR23" s="407"/>
      <c r="FVS23" s="407"/>
      <c r="FVT23" s="407"/>
      <c r="FVU23" s="407"/>
      <c r="FVV23" s="407"/>
      <c r="FVW23" s="407"/>
      <c r="FVX23" s="407"/>
      <c r="FVY23" s="407"/>
      <c r="FVZ23" s="407"/>
      <c r="FWA23" s="407"/>
      <c r="FWB23" s="407"/>
      <c r="FWC23" s="407"/>
      <c r="FWD23" s="407"/>
      <c r="FWE23" s="407"/>
      <c r="FWF23" s="407"/>
      <c r="FWG23" s="407"/>
      <c r="FWH23" s="407"/>
      <c r="FWI23" s="407"/>
      <c r="FWJ23" s="407"/>
      <c r="FWK23" s="407"/>
      <c r="FWL23" s="407"/>
      <c r="FWM23" s="407"/>
      <c r="FWN23" s="407"/>
      <c r="FWO23" s="407"/>
      <c r="FWP23" s="407"/>
      <c r="FWQ23" s="407"/>
      <c r="FWR23" s="407"/>
      <c r="FWS23" s="407"/>
      <c r="FWT23" s="407"/>
      <c r="FWU23" s="407"/>
      <c r="FWV23" s="407"/>
      <c r="FWW23" s="407"/>
      <c r="FWX23" s="407"/>
      <c r="FWY23" s="407"/>
      <c r="FWZ23" s="407"/>
      <c r="FXA23" s="407"/>
      <c r="FXB23" s="407"/>
      <c r="FXC23" s="407"/>
      <c r="FXD23" s="407"/>
      <c r="FXE23" s="407"/>
      <c r="FXF23" s="407"/>
      <c r="FXG23" s="407"/>
      <c r="FXH23" s="407"/>
      <c r="FXI23" s="407"/>
      <c r="FXJ23" s="407"/>
      <c r="FXK23" s="407"/>
      <c r="FXL23" s="407"/>
      <c r="FXM23" s="407"/>
      <c r="FXN23" s="407"/>
      <c r="FXO23" s="407"/>
      <c r="FXP23" s="407"/>
      <c r="FXQ23" s="407"/>
      <c r="FXR23" s="407"/>
      <c r="FXS23" s="407"/>
      <c r="FXT23" s="407"/>
      <c r="FXU23" s="407"/>
      <c r="FXV23" s="407"/>
      <c r="FXW23" s="407"/>
      <c r="FXX23" s="407"/>
      <c r="FXY23" s="407"/>
      <c r="FXZ23" s="407"/>
      <c r="FYA23" s="407"/>
      <c r="FYB23" s="407"/>
      <c r="FYC23" s="407"/>
      <c r="FYD23" s="407"/>
      <c r="FYE23" s="407"/>
      <c r="FYF23" s="407"/>
      <c r="FYG23" s="407"/>
      <c r="FYH23" s="407"/>
      <c r="FYI23" s="407"/>
      <c r="FYJ23" s="407"/>
      <c r="FYK23" s="407"/>
      <c r="FYL23" s="407"/>
      <c r="FYM23" s="407"/>
      <c r="FYN23" s="407"/>
      <c r="FYO23" s="407"/>
      <c r="FYP23" s="407"/>
      <c r="FYQ23" s="407"/>
      <c r="FYR23" s="407"/>
      <c r="FYS23" s="407"/>
      <c r="FYT23" s="407"/>
      <c r="FYU23" s="407"/>
      <c r="FYV23" s="407"/>
      <c r="FYW23" s="407"/>
      <c r="FYX23" s="407"/>
      <c r="FYY23" s="407"/>
      <c r="FYZ23" s="407"/>
      <c r="FZA23" s="407"/>
      <c r="FZB23" s="407"/>
      <c r="FZC23" s="407"/>
      <c r="FZD23" s="407"/>
      <c r="FZE23" s="407"/>
      <c r="FZF23" s="407"/>
      <c r="FZG23" s="407"/>
      <c r="FZH23" s="407"/>
      <c r="FZI23" s="407"/>
      <c r="FZJ23" s="407"/>
      <c r="FZK23" s="407"/>
      <c r="FZL23" s="407"/>
      <c r="FZM23" s="407"/>
      <c r="FZN23" s="407"/>
      <c r="FZO23" s="407"/>
      <c r="FZP23" s="407"/>
      <c r="FZQ23" s="407"/>
      <c r="FZR23" s="407"/>
      <c r="FZS23" s="407"/>
      <c r="FZT23" s="407"/>
      <c r="FZU23" s="407"/>
      <c r="FZV23" s="407"/>
      <c r="FZW23" s="407"/>
      <c r="FZX23" s="407"/>
      <c r="FZY23" s="407"/>
      <c r="FZZ23" s="407"/>
      <c r="GAA23" s="407"/>
      <c r="GAB23" s="407"/>
      <c r="GAC23" s="407"/>
      <c r="GAD23" s="407"/>
      <c r="GAE23" s="407"/>
      <c r="GAF23" s="407"/>
      <c r="GAG23" s="407"/>
      <c r="GAH23" s="407"/>
      <c r="GAI23" s="407"/>
      <c r="GAJ23" s="407"/>
      <c r="GAK23" s="407"/>
      <c r="GAL23" s="407"/>
      <c r="GAM23" s="407"/>
      <c r="GAN23" s="407"/>
      <c r="GAO23" s="407"/>
      <c r="GAP23" s="407"/>
      <c r="GAQ23" s="407"/>
      <c r="GAR23" s="407"/>
      <c r="GAS23" s="407"/>
      <c r="GAT23" s="407"/>
      <c r="GAU23" s="407"/>
      <c r="GAV23" s="407"/>
      <c r="GAW23" s="407"/>
      <c r="GAX23" s="407"/>
      <c r="GAY23" s="407"/>
      <c r="GAZ23" s="407"/>
      <c r="GBA23" s="407"/>
      <c r="GBB23" s="407"/>
      <c r="GBC23" s="407"/>
      <c r="GBD23" s="407"/>
      <c r="GBE23" s="407"/>
      <c r="GBF23" s="407"/>
      <c r="GBG23" s="407"/>
      <c r="GBH23" s="407"/>
      <c r="GBI23" s="407"/>
      <c r="GBJ23" s="407"/>
      <c r="GBK23" s="407"/>
      <c r="GBL23" s="407"/>
      <c r="GBM23" s="407"/>
      <c r="GBN23" s="407"/>
      <c r="GBO23" s="407"/>
      <c r="GBP23" s="407"/>
      <c r="GBQ23" s="407"/>
      <c r="GBR23" s="407"/>
      <c r="GBS23" s="407"/>
      <c r="GBT23" s="407"/>
      <c r="GBU23" s="407"/>
      <c r="GBV23" s="407"/>
      <c r="GBW23" s="407"/>
      <c r="GBX23" s="407"/>
      <c r="GBY23" s="407"/>
      <c r="GBZ23" s="407"/>
      <c r="GCA23" s="407"/>
      <c r="GCB23" s="407"/>
      <c r="GCC23" s="407"/>
      <c r="GCD23" s="407"/>
      <c r="GCE23" s="407"/>
      <c r="GCF23" s="407"/>
      <c r="GCG23" s="407"/>
      <c r="GCH23" s="407"/>
      <c r="GCI23" s="407"/>
      <c r="GCJ23" s="407"/>
      <c r="GCK23" s="407"/>
      <c r="GCL23" s="407"/>
      <c r="GCM23" s="407"/>
      <c r="GCN23" s="407"/>
      <c r="GCO23" s="407"/>
      <c r="GCP23" s="407"/>
      <c r="GCQ23" s="407"/>
      <c r="GCR23" s="407"/>
      <c r="GCS23" s="407"/>
      <c r="GCT23" s="407"/>
      <c r="GCU23" s="407"/>
      <c r="GCV23" s="407"/>
      <c r="GCW23" s="407"/>
      <c r="GCX23" s="407"/>
      <c r="GCY23" s="407"/>
      <c r="GCZ23" s="407"/>
      <c r="GDA23" s="407"/>
      <c r="GDB23" s="407"/>
      <c r="GDC23" s="407"/>
      <c r="GDD23" s="407"/>
      <c r="GDE23" s="407"/>
      <c r="GDF23" s="407"/>
      <c r="GDG23" s="407"/>
      <c r="GDH23" s="407"/>
      <c r="GDI23" s="407"/>
      <c r="GDJ23" s="407"/>
      <c r="GDK23" s="407"/>
      <c r="GDL23" s="407"/>
      <c r="GDM23" s="407"/>
      <c r="GDN23" s="407"/>
      <c r="GDO23" s="407"/>
      <c r="GDP23" s="407"/>
      <c r="GDQ23" s="407"/>
      <c r="GDR23" s="407"/>
      <c r="GDS23" s="407"/>
      <c r="GDT23" s="407"/>
      <c r="GDU23" s="407"/>
      <c r="GDV23" s="407"/>
      <c r="GDW23" s="407"/>
      <c r="GDX23" s="407"/>
      <c r="GDY23" s="407"/>
      <c r="GDZ23" s="407"/>
      <c r="GEA23" s="407"/>
      <c r="GEB23" s="407"/>
      <c r="GEC23" s="407"/>
      <c r="GED23" s="407"/>
      <c r="GEE23" s="407"/>
      <c r="GEF23" s="407"/>
      <c r="GEG23" s="407"/>
      <c r="GEH23" s="407"/>
      <c r="GEI23" s="407"/>
      <c r="GEJ23" s="407"/>
      <c r="GEK23" s="407"/>
      <c r="GEL23" s="407"/>
      <c r="GEM23" s="407"/>
      <c r="GEN23" s="407"/>
      <c r="GEO23" s="407"/>
      <c r="GEP23" s="407"/>
      <c r="GEQ23" s="407"/>
      <c r="GER23" s="407"/>
      <c r="GES23" s="407"/>
      <c r="GET23" s="407"/>
      <c r="GEU23" s="407"/>
      <c r="GEV23" s="407"/>
      <c r="GEW23" s="407"/>
      <c r="GEX23" s="407"/>
      <c r="GEY23" s="407"/>
      <c r="GEZ23" s="407"/>
      <c r="GFA23" s="407"/>
      <c r="GFB23" s="407"/>
      <c r="GFC23" s="407"/>
      <c r="GFD23" s="407"/>
      <c r="GFE23" s="407"/>
      <c r="GFF23" s="407"/>
      <c r="GFG23" s="407"/>
      <c r="GFH23" s="407"/>
      <c r="GFI23" s="407"/>
      <c r="GFJ23" s="407"/>
      <c r="GFK23" s="407"/>
      <c r="GFL23" s="407"/>
      <c r="GFM23" s="407"/>
      <c r="GFN23" s="407"/>
      <c r="GFO23" s="407"/>
      <c r="GFP23" s="407"/>
      <c r="GFQ23" s="407"/>
      <c r="GFR23" s="407"/>
      <c r="GFS23" s="407"/>
      <c r="GFT23" s="407"/>
      <c r="GFU23" s="407"/>
      <c r="GFV23" s="407"/>
      <c r="GFW23" s="407"/>
      <c r="GFX23" s="407"/>
      <c r="GFY23" s="407"/>
      <c r="GFZ23" s="407"/>
      <c r="GGA23" s="407"/>
      <c r="GGB23" s="407"/>
      <c r="GGC23" s="407"/>
      <c r="GGD23" s="407"/>
      <c r="GGE23" s="407"/>
      <c r="GGF23" s="407"/>
      <c r="GGG23" s="407"/>
      <c r="GGH23" s="407"/>
      <c r="GGI23" s="407"/>
      <c r="GGJ23" s="407"/>
      <c r="GGK23" s="407"/>
      <c r="GGL23" s="407"/>
      <c r="GGM23" s="407"/>
      <c r="GGN23" s="407"/>
      <c r="GGO23" s="407"/>
      <c r="GGP23" s="407"/>
      <c r="GGQ23" s="407"/>
      <c r="GGR23" s="407"/>
      <c r="GGS23" s="407"/>
      <c r="GGT23" s="407"/>
      <c r="GGU23" s="407"/>
      <c r="GGV23" s="407"/>
      <c r="GGW23" s="407"/>
      <c r="GGX23" s="407"/>
      <c r="GGY23" s="407"/>
      <c r="GGZ23" s="407"/>
      <c r="GHA23" s="407"/>
      <c r="GHB23" s="407"/>
      <c r="GHC23" s="407"/>
      <c r="GHD23" s="407"/>
      <c r="GHE23" s="407"/>
      <c r="GHF23" s="407"/>
      <c r="GHG23" s="407"/>
      <c r="GHH23" s="407"/>
      <c r="GHI23" s="407"/>
      <c r="GHJ23" s="407"/>
      <c r="GHK23" s="407"/>
      <c r="GHL23" s="407"/>
      <c r="GHM23" s="407"/>
      <c r="GHN23" s="407"/>
      <c r="GHO23" s="407"/>
      <c r="GHP23" s="407"/>
      <c r="GHQ23" s="407"/>
      <c r="GHR23" s="407"/>
      <c r="GHS23" s="407"/>
      <c r="GHT23" s="407"/>
      <c r="GHU23" s="407"/>
      <c r="GHV23" s="407"/>
      <c r="GHW23" s="407"/>
      <c r="GHX23" s="407"/>
      <c r="GHY23" s="407"/>
      <c r="GHZ23" s="407"/>
      <c r="GIA23" s="407"/>
      <c r="GIB23" s="407"/>
      <c r="GIC23" s="407"/>
      <c r="GID23" s="407"/>
      <c r="GIE23" s="407"/>
      <c r="GIF23" s="407"/>
      <c r="GIG23" s="407"/>
      <c r="GIH23" s="407"/>
      <c r="GII23" s="407"/>
      <c r="GIJ23" s="407"/>
      <c r="GIK23" s="407"/>
      <c r="GIL23" s="407"/>
      <c r="GIM23" s="407"/>
      <c r="GIN23" s="407"/>
      <c r="GIO23" s="407"/>
      <c r="GIP23" s="407"/>
      <c r="GIQ23" s="407"/>
      <c r="GIR23" s="407"/>
      <c r="GIS23" s="407"/>
      <c r="GIT23" s="407"/>
      <c r="GIU23" s="407"/>
      <c r="GIV23" s="407"/>
      <c r="GIW23" s="407"/>
      <c r="GIX23" s="407"/>
      <c r="GIY23" s="407"/>
      <c r="GIZ23" s="407"/>
      <c r="GJA23" s="407"/>
      <c r="GJB23" s="407"/>
      <c r="GJC23" s="407"/>
      <c r="GJD23" s="407"/>
      <c r="GJE23" s="407"/>
      <c r="GJF23" s="407"/>
      <c r="GJG23" s="407"/>
      <c r="GJH23" s="407"/>
      <c r="GJI23" s="407"/>
      <c r="GJJ23" s="407"/>
      <c r="GJK23" s="407"/>
      <c r="GJL23" s="407"/>
      <c r="GJM23" s="407"/>
      <c r="GJN23" s="407"/>
      <c r="GJO23" s="407"/>
      <c r="GJP23" s="407"/>
      <c r="GJQ23" s="407"/>
      <c r="GJR23" s="407"/>
      <c r="GJS23" s="407"/>
      <c r="GJT23" s="407"/>
      <c r="GJU23" s="407"/>
      <c r="GJV23" s="407"/>
      <c r="GJW23" s="407"/>
      <c r="GJX23" s="407"/>
      <c r="GJY23" s="407"/>
      <c r="GJZ23" s="407"/>
      <c r="GKA23" s="407"/>
      <c r="GKB23" s="407"/>
      <c r="GKC23" s="407"/>
      <c r="GKD23" s="407"/>
      <c r="GKE23" s="407"/>
      <c r="GKF23" s="407"/>
      <c r="GKG23" s="407"/>
      <c r="GKH23" s="407"/>
      <c r="GKI23" s="407"/>
      <c r="GKJ23" s="407"/>
      <c r="GKK23" s="407"/>
      <c r="GKL23" s="407"/>
      <c r="GKM23" s="407"/>
      <c r="GKN23" s="407"/>
      <c r="GKO23" s="407"/>
      <c r="GKP23" s="407"/>
      <c r="GKQ23" s="407"/>
      <c r="GKR23" s="407"/>
      <c r="GKS23" s="407"/>
      <c r="GKT23" s="407"/>
      <c r="GKU23" s="407"/>
      <c r="GKV23" s="407"/>
      <c r="GKW23" s="407"/>
      <c r="GKX23" s="407"/>
      <c r="GKY23" s="407"/>
      <c r="GKZ23" s="407"/>
      <c r="GLA23" s="407"/>
      <c r="GLB23" s="407"/>
      <c r="GLC23" s="407"/>
      <c r="GLD23" s="407"/>
      <c r="GLE23" s="407"/>
      <c r="GLF23" s="407"/>
      <c r="GLG23" s="407"/>
      <c r="GLH23" s="407"/>
      <c r="GLI23" s="407"/>
      <c r="GLJ23" s="407"/>
      <c r="GLK23" s="407"/>
      <c r="GLL23" s="407"/>
      <c r="GLM23" s="407"/>
      <c r="GLN23" s="407"/>
      <c r="GLO23" s="407"/>
      <c r="GLP23" s="407"/>
      <c r="GLQ23" s="407"/>
      <c r="GLR23" s="407"/>
      <c r="GLS23" s="407"/>
      <c r="GLT23" s="407"/>
      <c r="GLU23" s="407"/>
      <c r="GLV23" s="407"/>
      <c r="GLW23" s="407"/>
      <c r="GLX23" s="407"/>
      <c r="GLY23" s="407"/>
      <c r="GLZ23" s="407"/>
      <c r="GMA23" s="407"/>
      <c r="GMB23" s="407"/>
      <c r="GMC23" s="407"/>
      <c r="GMD23" s="407"/>
      <c r="GME23" s="407"/>
      <c r="GMF23" s="407"/>
      <c r="GMG23" s="407"/>
      <c r="GMH23" s="407"/>
      <c r="GMI23" s="407"/>
      <c r="GMJ23" s="407"/>
      <c r="GMK23" s="407"/>
      <c r="GML23" s="407"/>
      <c r="GMM23" s="407"/>
      <c r="GMN23" s="407"/>
      <c r="GMO23" s="407"/>
      <c r="GMP23" s="407"/>
      <c r="GMQ23" s="407"/>
      <c r="GMR23" s="407"/>
      <c r="GMS23" s="407"/>
      <c r="GMT23" s="407"/>
      <c r="GMU23" s="407"/>
      <c r="GMV23" s="407"/>
      <c r="GMW23" s="407"/>
      <c r="GMX23" s="407"/>
      <c r="GMY23" s="407"/>
      <c r="GMZ23" s="407"/>
      <c r="GNA23" s="407"/>
      <c r="GNB23" s="407"/>
      <c r="GNC23" s="407"/>
      <c r="GND23" s="407"/>
      <c r="GNE23" s="407"/>
      <c r="GNF23" s="407"/>
      <c r="GNG23" s="407"/>
      <c r="GNH23" s="407"/>
      <c r="GNI23" s="407"/>
      <c r="GNJ23" s="407"/>
      <c r="GNK23" s="407"/>
      <c r="GNL23" s="407"/>
      <c r="GNM23" s="407"/>
      <c r="GNN23" s="407"/>
      <c r="GNO23" s="407"/>
      <c r="GNP23" s="407"/>
      <c r="GNQ23" s="407"/>
      <c r="GNR23" s="407"/>
      <c r="GNS23" s="407"/>
      <c r="GNT23" s="407"/>
      <c r="GNU23" s="407"/>
      <c r="GNV23" s="407"/>
      <c r="GNW23" s="407"/>
      <c r="GNX23" s="407"/>
      <c r="GNY23" s="407"/>
      <c r="GNZ23" s="407"/>
      <c r="GOA23" s="407"/>
      <c r="GOB23" s="407"/>
      <c r="GOC23" s="407"/>
      <c r="GOD23" s="407"/>
      <c r="GOE23" s="407"/>
      <c r="GOF23" s="407"/>
      <c r="GOG23" s="407"/>
      <c r="GOH23" s="407"/>
      <c r="GOI23" s="407"/>
      <c r="GOJ23" s="407"/>
      <c r="GOK23" s="407"/>
      <c r="GOL23" s="407"/>
      <c r="GOM23" s="407"/>
      <c r="GON23" s="407"/>
      <c r="GOO23" s="407"/>
      <c r="GOP23" s="407"/>
      <c r="GOQ23" s="407"/>
      <c r="GOR23" s="407"/>
      <c r="GOS23" s="407"/>
      <c r="GOT23" s="407"/>
      <c r="GOU23" s="407"/>
      <c r="GOV23" s="407"/>
      <c r="GOW23" s="407"/>
      <c r="GOX23" s="407"/>
      <c r="GOY23" s="407"/>
      <c r="GOZ23" s="407"/>
      <c r="GPA23" s="407"/>
      <c r="GPB23" s="407"/>
      <c r="GPC23" s="407"/>
      <c r="GPD23" s="407"/>
      <c r="GPE23" s="407"/>
      <c r="GPF23" s="407"/>
      <c r="GPG23" s="407"/>
      <c r="GPH23" s="407"/>
      <c r="GPI23" s="407"/>
      <c r="GPJ23" s="407"/>
      <c r="GPK23" s="407"/>
      <c r="GPL23" s="407"/>
      <c r="GPM23" s="407"/>
      <c r="GPN23" s="407"/>
      <c r="GPO23" s="407"/>
      <c r="GPP23" s="407"/>
      <c r="GPQ23" s="407"/>
      <c r="GPR23" s="407"/>
      <c r="GPS23" s="407"/>
      <c r="GPT23" s="407"/>
      <c r="GPU23" s="407"/>
      <c r="GPV23" s="407"/>
      <c r="GPW23" s="407"/>
      <c r="GPX23" s="407"/>
      <c r="GPY23" s="407"/>
      <c r="GPZ23" s="407"/>
      <c r="GQA23" s="407"/>
      <c r="GQB23" s="407"/>
      <c r="GQC23" s="407"/>
      <c r="GQD23" s="407"/>
      <c r="GQE23" s="407"/>
      <c r="GQF23" s="407"/>
      <c r="GQG23" s="407"/>
      <c r="GQH23" s="407"/>
      <c r="GQI23" s="407"/>
      <c r="GQJ23" s="407"/>
      <c r="GQK23" s="407"/>
      <c r="GQL23" s="407"/>
      <c r="GQM23" s="407"/>
      <c r="GQN23" s="407"/>
      <c r="GQO23" s="407"/>
      <c r="GQP23" s="407"/>
      <c r="GQQ23" s="407"/>
      <c r="GQR23" s="407"/>
      <c r="GQS23" s="407"/>
      <c r="GQT23" s="407"/>
      <c r="GQU23" s="407"/>
      <c r="GQV23" s="407"/>
      <c r="GQW23" s="407"/>
      <c r="GQX23" s="407"/>
      <c r="GQY23" s="407"/>
      <c r="GQZ23" s="407"/>
      <c r="GRA23" s="407"/>
      <c r="GRB23" s="407"/>
      <c r="GRC23" s="407"/>
      <c r="GRD23" s="407"/>
      <c r="GRE23" s="407"/>
      <c r="GRF23" s="407"/>
      <c r="GRG23" s="407"/>
      <c r="GRH23" s="407"/>
      <c r="GRI23" s="407"/>
      <c r="GRJ23" s="407"/>
      <c r="GRK23" s="407"/>
      <c r="GRL23" s="407"/>
      <c r="GRM23" s="407"/>
      <c r="GRN23" s="407"/>
      <c r="GRO23" s="407"/>
      <c r="GRP23" s="407"/>
      <c r="GRQ23" s="407"/>
      <c r="GRR23" s="407"/>
      <c r="GRS23" s="407"/>
      <c r="GRT23" s="407"/>
      <c r="GRU23" s="407"/>
      <c r="GRV23" s="407"/>
      <c r="GRW23" s="407"/>
      <c r="GRX23" s="407"/>
      <c r="GRY23" s="407"/>
      <c r="GRZ23" s="407"/>
      <c r="GSA23" s="407"/>
      <c r="GSB23" s="407"/>
      <c r="GSC23" s="407"/>
      <c r="GSD23" s="407"/>
      <c r="GSE23" s="407"/>
      <c r="GSF23" s="407"/>
      <c r="GSG23" s="407"/>
      <c r="GSH23" s="407"/>
      <c r="GSI23" s="407"/>
      <c r="GSJ23" s="407"/>
      <c r="GSK23" s="407"/>
      <c r="GSL23" s="407"/>
      <c r="GSM23" s="407"/>
      <c r="GSN23" s="407"/>
      <c r="GSO23" s="407"/>
      <c r="GSP23" s="407"/>
      <c r="GSQ23" s="407"/>
      <c r="GSR23" s="407"/>
      <c r="GSS23" s="407"/>
      <c r="GST23" s="407"/>
      <c r="GSU23" s="407"/>
      <c r="GSV23" s="407"/>
      <c r="GSW23" s="407"/>
      <c r="GSX23" s="407"/>
      <c r="GSY23" s="407"/>
      <c r="GSZ23" s="407"/>
      <c r="GTA23" s="407"/>
      <c r="GTB23" s="407"/>
      <c r="GTC23" s="407"/>
      <c r="GTD23" s="407"/>
      <c r="GTE23" s="407"/>
      <c r="GTF23" s="407"/>
      <c r="GTG23" s="407"/>
      <c r="GTH23" s="407"/>
      <c r="GTI23" s="407"/>
      <c r="GTJ23" s="407"/>
      <c r="GTK23" s="407"/>
      <c r="GTL23" s="407"/>
      <c r="GTM23" s="407"/>
      <c r="GTN23" s="407"/>
      <c r="GTO23" s="407"/>
      <c r="GTP23" s="407"/>
      <c r="GTQ23" s="407"/>
      <c r="GTR23" s="407"/>
      <c r="GTS23" s="407"/>
      <c r="GTT23" s="407"/>
      <c r="GTU23" s="407"/>
      <c r="GTV23" s="407"/>
      <c r="GTW23" s="407"/>
      <c r="GTX23" s="407"/>
      <c r="GTY23" s="407"/>
      <c r="GTZ23" s="407"/>
      <c r="GUA23" s="407"/>
      <c r="GUB23" s="407"/>
      <c r="GUC23" s="407"/>
      <c r="GUD23" s="407"/>
      <c r="GUE23" s="407"/>
      <c r="GUF23" s="407"/>
      <c r="GUG23" s="407"/>
      <c r="GUH23" s="407"/>
      <c r="GUI23" s="407"/>
      <c r="GUJ23" s="407"/>
      <c r="GUK23" s="407"/>
      <c r="GUL23" s="407"/>
      <c r="GUM23" s="407"/>
      <c r="GUN23" s="407"/>
      <c r="GUO23" s="407"/>
      <c r="GUP23" s="407"/>
      <c r="GUQ23" s="407"/>
      <c r="GUR23" s="407"/>
      <c r="GUS23" s="407"/>
      <c r="GUT23" s="407"/>
      <c r="GUU23" s="407"/>
      <c r="GUV23" s="407"/>
      <c r="GUW23" s="407"/>
      <c r="GUX23" s="407"/>
      <c r="GUY23" s="407"/>
      <c r="GUZ23" s="407"/>
      <c r="GVA23" s="407"/>
      <c r="GVB23" s="407"/>
      <c r="GVC23" s="407"/>
      <c r="GVD23" s="407"/>
      <c r="GVE23" s="407"/>
      <c r="GVF23" s="407"/>
      <c r="GVG23" s="407"/>
      <c r="GVH23" s="407"/>
      <c r="GVI23" s="407"/>
      <c r="GVJ23" s="407"/>
      <c r="GVK23" s="407"/>
      <c r="GVL23" s="407"/>
      <c r="GVM23" s="407"/>
      <c r="GVN23" s="407"/>
      <c r="GVO23" s="407"/>
      <c r="GVP23" s="407"/>
      <c r="GVQ23" s="407"/>
      <c r="GVR23" s="407"/>
      <c r="GVS23" s="407"/>
      <c r="GVT23" s="407"/>
      <c r="GVU23" s="407"/>
      <c r="GVV23" s="407"/>
      <c r="GVW23" s="407"/>
      <c r="GVX23" s="407"/>
      <c r="GVY23" s="407"/>
      <c r="GVZ23" s="407"/>
      <c r="GWA23" s="407"/>
      <c r="GWB23" s="407"/>
      <c r="GWC23" s="407"/>
      <c r="GWD23" s="407"/>
      <c r="GWE23" s="407"/>
      <c r="GWF23" s="407"/>
      <c r="GWG23" s="407"/>
      <c r="GWH23" s="407"/>
      <c r="GWI23" s="407"/>
      <c r="GWJ23" s="407"/>
      <c r="GWK23" s="407"/>
      <c r="GWL23" s="407"/>
      <c r="GWM23" s="407"/>
      <c r="GWN23" s="407"/>
      <c r="GWO23" s="407"/>
      <c r="GWP23" s="407"/>
      <c r="GWQ23" s="407"/>
      <c r="GWR23" s="407"/>
      <c r="GWS23" s="407"/>
      <c r="GWT23" s="407"/>
      <c r="GWU23" s="407"/>
      <c r="GWV23" s="407"/>
      <c r="GWW23" s="407"/>
      <c r="GWX23" s="407"/>
      <c r="GWY23" s="407"/>
      <c r="GWZ23" s="407"/>
      <c r="GXA23" s="407"/>
      <c r="GXB23" s="407"/>
      <c r="GXC23" s="407"/>
      <c r="GXD23" s="407"/>
      <c r="GXE23" s="407"/>
      <c r="GXF23" s="407"/>
      <c r="GXG23" s="407"/>
      <c r="GXH23" s="407"/>
      <c r="GXI23" s="407"/>
      <c r="GXJ23" s="407"/>
      <c r="GXK23" s="407"/>
      <c r="GXL23" s="407"/>
      <c r="GXM23" s="407"/>
      <c r="GXN23" s="407"/>
      <c r="GXO23" s="407"/>
      <c r="GXP23" s="407"/>
      <c r="GXQ23" s="407"/>
      <c r="GXR23" s="407"/>
      <c r="GXS23" s="407"/>
      <c r="GXT23" s="407"/>
      <c r="GXU23" s="407"/>
      <c r="GXV23" s="407"/>
      <c r="GXW23" s="407"/>
      <c r="GXX23" s="407"/>
      <c r="GXY23" s="407"/>
      <c r="GXZ23" s="407"/>
      <c r="GYA23" s="407"/>
      <c r="GYB23" s="407"/>
      <c r="GYC23" s="407"/>
      <c r="GYD23" s="407"/>
      <c r="GYE23" s="407"/>
      <c r="GYF23" s="407"/>
      <c r="GYG23" s="407"/>
      <c r="GYH23" s="407"/>
      <c r="GYI23" s="407"/>
      <c r="GYJ23" s="407"/>
      <c r="GYK23" s="407"/>
      <c r="GYL23" s="407"/>
      <c r="GYM23" s="407"/>
      <c r="GYN23" s="407"/>
      <c r="GYO23" s="407"/>
      <c r="GYP23" s="407"/>
      <c r="GYQ23" s="407"/>
      <c r="GYR23" s="407"/>
      <c r="GYS23" s="407"/>
      <c r="GYT23" s="407"/>
      <c r="GYU23" s="407"/>
      <c r="GYV23" s="407"/>
      <c r="GYW23" s="407"/>
      <c r="GYX23" s="407"/>
      <c r="GYY23" s="407"/>
      <c r="GYZ23" s="407"/>
      <c r="GZA23" s="407"/>
      <c r="GZB23" s="407"/>
      <c r="GZC23" s="407"/>
      <c r="GZD23" s="407"/>
      <c r="GZE23" s="407"/>
      <c r="GZF23" s="407"/>
      <c r="GZG23" s="407"/>
      <c r="GZH23" s="407"/>
      <c r="GZI23" s="407"/>
      <c r="GZJ23" s="407"/>
      <c r="GZK23" s="407"/>
      <c r="GZL23" s="407"/>
      <c r="GZM23" s="407"/>
      <c r="GZN23" s="407"/>
      <c r="GZO23" s="407"/>
      <c r="GZP23" s="407"/>
      <c r="GZQ23" s="407"/>
      <c r="GZR23" s="407"/>
      <c r="GZS23" s="407"/>
      <c r="GZT23" s="407"/>
      <c r="GZU23" s="407"/>
      <c r="GZV23" s="407"/>
      <c r="GZW23" s="407"/>
      <c r="GZX23" s="407"/>
      <c r="GZY23" s="407"/>
      <c r="GZZ23" s="407"/>
      <c r="HAA23" s="407"/>
      <c r="HAB23" s="407"/>
      <c r="HAC23" s="407"/>
      <c r="HAD23" s="407"/>
      <c r="HAE23" s="407"/>
      <c r="HAF23" s="407"/>
      <c r="HAG23" s="407"/>
      <c r="HAH23" s="407"/>
      <c r="HAI23" s="407"/>
      <c r="HAJ23" s="407"/>
      <c r="HAK23" s="407"/>
      <c r="HAL23" s="407"/>
      <c r="HAM23" s="407"/>
      <c r="HAN23" s="407"/>
      <c r="HAO23" s="407"/>
      <c r="HAP23" s="407"/>
      <c r="HAQ23" s="407"/>
      <c r="HAR23" s="407"/>
      <c r="HAS23" s="407"/>
      <c r="HAT23" s="407"/>
      <c r="HAU23" s="407"/>
      <c r="HAV23" s="407"/>
      <c r="HAW23" s="407"/>
      <c r="HAX23" s="407"/>
      <c r="HAY23" s="407"/>
      <c r="HAZ23" s="407"/>
      <c r="HBA23" s="407"/>
      <c r="HBB23" s="407"/>
      <c r="HBC23" s="407"/>
      <c r="HBD23" s="407"/>
      <c r="HBE23" s="407"/>
      <c r="HBF23" s="407"/>
      <c r="HBG23" s="407"/>
      <c r="HBH23" s="407"/>
      <c r="HBI23" s="407"/>
      <c r="HBJ23" s="407"/>
      <c r="HBK23" s="407"/>
      <c r="HBL23" s="407"/>
      <c r="HBM23" s="407"/>
      <c r="HBN23" s="407"/>
      <c r="HBO23" s="407"/>
      <c r="HBP23" s="407"/>
      <c r="HBQ23" s="407"/>
      <c r="HBR23" s="407"/>
      <c r="HBS23" s="407"/>
      <c r="HBT23" s="407"/>
      <c r="HBU23" s="407"/>
      <c r="HBV23" s="407"/>
      <c r="HBW23" s="407"/>
      <c r="HBX23" s="407"/>
      <c r="HBY23" s="407"/>
      <c r="HBZ23" s="407"/>
      <c r="HCA23" s="407"/>
      <c r="HCB23" s="407"/>
      <c r="HCC23" s="407"/>
      <c r="HCD23" s="407"/>
      <c r="HCE23" s="407"/>
      <c r="HCF23" s="407"/>
      <c r="HCG23" s="407"/>
      <c r="HCH23" s="407"/>
      <c r="HCI23" s="407"/>
      <c r="HCJ23" s="407"/>
      <c r="HCK23" s="407"/>
      <c r="HCL23" s="407"/>
      <c r="HCM23" s="407"/>
      <c r="HCN23" s="407"/>
      <c r="HCO23" s="407"/>
      <c r="HCP23" s="407"/>
      <c r="HCQ23" s="407"/>
      <c r="HCR23" s="407"/>
      <c r="HCS23" s="407"/>
      <c r="HCT23" s="407"/>
      <c r="HCU23" s="407"/>
      <c r="HCV23" s="407"/>
      <c r="HCW23" s="407"/>
      <c r="HCX23" s="407"/>
      <c r="HCY23" s="407"/>
      <c r="HCZ23" s="407"/>
      <c r="HDA23" s="407"/>
      <c r="HDB23" s="407"/>
      <c r="HDC23" s="407"/>
      <c r="HDD23" s="407"/>
      <c r="HDE23" s="407"/>
      <c r="HDF23" s="407"/>
      <c r="HDG23" s="407"/>
      <c r="HDH23" s="407"/>
      <c r="HDI23" s="407"/>
      <c r="HDJ23" s="407"/>
      <c r="HDK23" s="407"/>
      <c r="HDL23" s="407"/>
      <c r="HDM23" s="407"/>
      <c r="HDN23" s="407"/>
      <c r="HDO23" s="407"/>
      <c r="HDP23" s="407"/>
      <c r="HDQ23" s="407"/>
      <c r="HDR23" s="407"/>
      <c r="HDS23" s="407"/>
      <c r="HDT23" s="407"/>
      <c r="HDU23" s="407"/>
      <c r="HDV23" s="407"/>
      <c r="HDW23" s="407"/>
      <c r="HDX23" s="407"/>
      <c r="HDY23" s="407"/>
      <c r="HDZ23" s="407"/>
      <c r="HEA23" s="407"/>
      <c r="HEB23" s="407"/>
      <c r="HEC23" s="407"/>
      <c r="HED23" s="407"/>
      <c r="HEE23" s="407"/>
      <c r="HEF23" s="407"/>
      <c r="HEG23" s="407"/>
      <c r="HEH23" s="407"/>
      <c r="HEI23" s="407"/>
      <c r="HEJ23" s="407"/>
      <c r="HEK23" s="407"/>
      <c r="HEL23" s="407"/>
      <c r="HEM23" s="407"/>
      <c r="HEN23" s="407"/>
      <c r="HEO23" s="407"/>
      <c r="HEP23" s="407"/>
      <c r="HEQ23" s="407"/>
      <c r="HER23" s="407"/>
      <c r="HES23" s="407"/>
      <c r="HET23" s="407"/>
      <c r="HEU23" s="407"/>
      <c r="HEV23" s="407"/>
      <c r="HEW23" s="407"/>
      <c r="HEX23" s="407"/>
      <c r="HEY23" s="407"/>
      <c r="HEZ23" s="407"/>
      <c r="HFA23" s="407"/>
      <c r="HFB23" s="407"/>
      <c r="HFC23" s="407"/>
      <c r="HFD23" s="407"/>
      <c r="HFE23" s="407"/>
      <c r="HFF23" s="407"/>
      <c r="HFG23" s="407"/>
      <c r="HFH23" s="407"/>
      <c r="HFI23" s="407"/>
      <c r="HFJ23" s="407"/>
      <c r="HFK23" s="407"/>
      <c r="HFL23" s="407"/>
      <c r="HFM23" s="407"/>
      <c r="HFN23" s="407"/>
      <c r="HFO23" s="407"/>
      <c r="HFP23" s="407"/>
      <c r="HFQ23" s="407"/>
      <c r="HFR23" s="407"/>
      <c r="HFS23" s="407"/>
      <c r="HFT23" s="407"/>
      <c r="HFU23" s="407"/>
      <c r="HFV23" s="407"/>
      <c r="HFW23" s="407"/>
      <c r="HFX23" s="407"/>
      <c r="HFY23" s="407"/>
      <c r="HFZ23" s="407"/>
      <c r="HGA23" s="407"/>
      <c r="HGB23" s="407"/>
      <c r="HGC23" s="407"/>
      <c r="HGD23" s="407"/>
      <c r="HGE23" s="407"/>
      <c r="HGF23" s="407"/>
      <c r="HGG23" s="407"/>
      <c r="HGH23" s="407"/>
      <c r="HGI23" s="407"/>
      <c r="HGJ23" s="407"/>
      <c r="HGK23" s="407"/>
      <c r="HGL23" s="407"/>
      <c r="HGM23" s="407"/>
      <c r="HGN23" s="407"/>
      <c r="HGO23" s="407"/>
      <c r="HGP23" s="407"/>
      <c r="HGQ23" s="407"/>
      <c r="HGR23" s="407"/>
      <c r="HGS23" s="407"/>
      <c r="HGT23" s="407"/>
      <c r="HGU23" s="407"/>
      <c r="HGV23" s="407"/>
      <c r="HGW23" s="407"/>
      <c r="HGX23" s="407"/>
      <c r="HGY23" s="407"/>
      <c r="HGZ23" s="407"/>
      <c r="HHA23" s="407"/>
      <c r="HHB23" s="407"/>
      <c r="HHC23" s="407"/>
      <c r="HHD23" s="407"/>
      <c r="HHE23" s="407"/>
      <c r="HHF23" s="407"/>
      <c r="HHG23" s="407"/>
      <c r="HHH23" s="407"/>
      <c r="HHI23" s="407"/>
      <c r="HHJ23" s="407"/>
      <c r="HHK23" s="407"/>
      <c r="HHL23" s="407"/>
      <c r="HHM23" s="407"/>
      <c r="HHN23" s="407"/>
      <c r="HHO23" s="407"/>
      <c r="HHP23" s="407"/>
      <c r="HHQ23" s="407"/>
      <c r="HHR23" s="407"/>
      <c r="HHS23" s="407"/>
      <c r="HHT23" s="407"/>
      <c r="HHU23" s="407"/>
      <c r="HHV23" s="407"/>
      <c r="HHW23" s="407"/>
      <c r="HHX23" s="407"/>
      <c r="HHY23" s="407"/>
      <c r="HHZ23" s="407"/>
      <c r="HIA23" s="407"/>
      <c r="HIB23" s="407"/>
      <c r="HIC23" s="407"/>
      <c r="HID23" s="407"/>
      <c r="HIE23" s="407"/>
      <c r="HIF23" s="407"/>
      <c r="HIG23" s="407"/>
      <c r="HIH23" s="407"/>
      <c r="HII23" s="407"/>
      <c r="HIJ23" s="407"/>
      <c r="HIK23" s="407"/>
      <c r="HIL23" s="407"/>
      <c r="HIM23" s="407"/>
      <c r="HIN23" s="407"/>
      <c r="HIO23" s="407"/>
      <c r="HIP23" s="407"/>
      <c r="HIQ23" s="407"/>
      <c r="HIR23" s="407"/>
      <c r="HIS23" s="407"/>
      <c r="HIT23" s="407"/>
      <c r="HIU23" s="407"/>
      <c r="HIV23" s="407"/>
      <c r="HIW23" s="407"/>
      <c r="HIX23" s="407"/>
      <c r="HIY23" s="407"/>
      <c r="HIZ23" s="407"/>
      <c r="HJA23" s="407"/>
      <c r="HJB23" s="407"/>
      <c r="HJC23" s="407"/>
      <c r="HJD23" s="407"/>
      <c r="HJE23" s="407"/>
      <c r="HJF23" s="407"/>
      <c r="HJG23" s="407"/>
      <c r="HJH23" s="407"/>
      <c r="HJI23" s="407"/>
      <c r="HJJ23" s="407"/>
      <c r="HJK23" s="407"/>
      <c r="HJL23" s="407"/>
      <c r="HJM23" s="407"/>
      <c r="HJN23" s="407"/>
      <c r="HJO23" s="407"/>
      <c r="HJP23" s="407"/>
      <c r="HJQ23" s="407"/>
      <c r="HJR23" s="407"/>
      <c r="HJS23" s="407"/>
      <c r="HJT23" s="407"/>
      <c r="HJU23" s="407"/>
      <c r="HJV23" s="407"/>
      <c r="HJW23" s="407"/>
      <c r="HJX23" s="407"/>
      <c r="HJY23" s="407"/>
      <c r="HJZ23" s="407"/>
      <c r="HKA23" s="407"/>
      <c r="HKB23" s="407"/>
      <c r="HKC23" s="407"/>
      <c r="HKD23" s="407"/>
      <c r="HKE23" s="407"/>
      <c r="HKF23" s="407"/>
      <c r="HKG23" s="407"/>
      <c r="HKH23" s="407"/>
      <c r="HKI23" s="407"/>
      <c r="HKJ23" s="407"/>
      <c r="HKK23" s="407"/>
      <c r="HKL23" s="407"/>
      <c r="HKM23" s="407"/>
      <c r="HKN23" s="407"/>
      <c r="HKO23" s="407"/>
      <c r="HKP23" s="407"/>
      <c r="HKQ23" s="407"/>
      <c r="HKR23" s="407"/>
      <c r="HKS23" s="407"/>
      <c r="HKT23" s="407"/>
      <c r="HKU23" s="407"/>
      <c r="HKV23" s="407"/>
      <c r="HKW23" s="407"/>
      <c r="HKX23" s="407"/>
      <c r="HKY23" s="407"/>
      <c r="HKZ23" s="407"/>
      <c r="HLA23" s="407"/>
      <c r="HLB23" s="407"/>
      <c r="HLC23" s="407"/>
      <c r="HLD23" s="407"/>
      <c r="HLE23" s="407"/>
      <c r="HLF23" s="407"/>
      <c r="HLG23" s="407"/>
      <c r="HLH23" s="407"/>
      <c r="HLI23" s="407"/>
      <c r="HLJ23" s="407"/>
      <c r="HLK23" s="407"/>
      <c r="HLL23" s="407"/>
      <c r="HLM23" s="407"/>
      <c r="HLN23" s="407"/>
      <c r="HLO23" s="407"/>
      <c r="HLP23" s="407"/>
      <c r="HLQ23" s="407"/>
      <c r="HLR23" s="407"/>
      <c r="HLS23" s="407"/>
      <c r="HLT23" s="407"/>
      <c r="HLU23" s="407"/>
      <c r="HLV23" s="407"/>
      <c r="HLW23" s="407"/>
      <c r="HLX23" s="407"/>
      <c r="HLY23" s="407"/>
      <c r="HLZ23" s="407"/>
      <c r="HMA23" s="407"/>
      <c r="HMB23" s="407"/>
      <c r="HMC23" s="407"/>
      <c r="HMD23" s="407"/>
      <c r="HME23" s="407"/>
      <c r="HMF23" s="407"/>
      <c r="HMG23" s="407"/>
      <c r="HMH23" s="407"/>
      <c r="HMI23" s="407"/>
      <c r="HMJ23" s="407"/>
      <c r="HMK23" s="407"/>
      <c r="HML23" s="407"/>
      <c r="HMM23" s="407"/>
      <c r="HMN23" s="407"/>
      <c r="HMO23" s="407"/>
      <c r="HMP23" s="407"/>
      <c r="HMQ23" s="407"/>
      <c r="HMR23" s="407"/>
      <c r="HMS23" s="407"/>
      <c r="HMT23" s="407"/>
      <c r="HMU23" s="407"/>
      <c r="HMV23" s="407"/>
      <c r="HMW23" s="407"/>
      <c r="HMX23" s="407"/>
      <c r="HMY23" s="407"/>
      <c r="HMZ23" s="407"/>
      <c r="HNA23" s="407"/>
      <c r="HNB23" s="407"/>
      <c r="HNC23" s="407"/>
      <c r="HND23" s="407"/>
      <c r="HNE23" s="407"/>
      <c r="HNF23" s="407"/>
      <c r="HNG23" s="407"/>
      <c r="HNH23" s="407"/>
      <c r="HNI23" s="407"/>
      <c r="HNJ23" s="407"/>
      <c r="HNK23" s="407"/>
      <c r="HNL23" s="407"/>
      <c r="HNM23" s="407"/>
      <c r="HNN23" s="407"/>
      <c r="HNO23" s="407"/>
      <c r="HNP23" s="407"/>
      <c r="HNQ23" s="407"/>
      <c r="HNR23" s="407"/>
      <c r="HNS23" s="407"/>
      <c r="HNT23" s="407"/>
      <c r="HNU23" s="407"/>
      <c r="HNV23" s="407"/>
      <c r="HNW23" s="407"/>
      <c r="HNX23" s="407"/>
      <c r="HNY23" s="407"/>
      <c r="HNZ23" s="407"/>
      <c r="HOA23" s="407"/>
      <c r="HOB23" s="407"/>
      <c r="HOC23" s="407"/>
      <c r="HOD23" s="407"/>
      <c r="HOE23" s="407"/>
      <c r="HOF23" s="407"/>
      <c r="HOG23" s="407"/>
      <c r="HOH23" s="407"/>
      <c r="HOI23" s="407"/>
      <c r="HOJ23" s="407"/>
      <c r="HOK23" s="407"/>
      <c r="HOL23" s="407"/>
      <c r="HOM23" s="407"/>
      <c r="HON23" s="407"/>
      <c r="HOO23" s="407"/>
      <c r="HOP23" s="407"/>
      <c r="HOQ23" s="407"/>
      <c r="HOR23" s="407"/>
      <c r="HOS23" s="407"/>
      <c r="HOT23" s="407"/>
      <c r="HOU23" s="407"/>
      <c r="HOV23" s="407"/>
      <c r="HOW23" s="407"/>
      <c r="HOX23" s="407"/>
      <c r="HOY23" s="407"/>
      <c r="HOZ23" s="407"/>
      <c r="HPA23" s="407"/>
      <c r="HPB23" s="407"/>
      <c r="HPC23" s="407"/>
      <c r="HPD23" s="407"/>
      <c r="HPE23" s="407"/>
      <c r="HPF23" s="407"/>
      <c r="HPG23" s="407"/>
      <c r="HPH23" s="407"/>
      <c r="HPI23" s="407"/>
      <c r="HPJ23" s="407"/>
      <c r="HPK23" s="407"/>
      <c r="HPL23" s="407"/>
      <c r="HPM23" s="407"/>
      <c r="HPN23" s="407"/>
      <c r="HPO23" s="407"/>
      <c r="HPP23" s="407"/>
      <c r="HPQ23" s="407"/>
      <c r="HPR23" s="407"/>
      <c r="HPS23" s="407"/>
      <c r="HPT23" s="407"/>
      <c r="HPU23" s="407"/>
      <c r="HPV23" s="407"/>
      <c r="HPW23" s="407"/>
      <c r="HPX23" s="407"/>
      <c r="HPY23" s="407"/>
      <c r="HPZ23" s="407"/>
      <c r="HQA23" s="407"/>
      <c r="HQB23" s="407"/>
      <c r="HQC23" s="407"/>
      <c r="HQD23" s="407"/>
      <c r="HQE23" s="407"/>
      <c r="HQF23" s="407"/>
      <c r="HQG23" s="407"/>
      <c r="HQH23" s="407"/>
      <c r="HQI23" s="407"/>
      <c r="HQJ23" s="407"/>
      <c r="HQK23" s="407"/>
      <c r="HQL23" s="407"/>
      <c r="HQM23" s="407"/>
      <c r="HQN23" s="407"/>
      <c r="HQO23" s="407"/>
      <c r="HQP23" s="407"/>
      <c r="HQQ23" s="407"/>
      <c r="HQR23" s="407"/>
      <c r="HQS23" s="407"/>
      <c r="HQT23" s="407"/>
      <c r="HQU23" s="407"/>
      <c r="HQV23" s="407"/>
      <c r="HQW23" s="407"/>
      <c r="HQX23" s="407"/>
      <c r="HQY23" s="407"/>
      <c r="HQZ23" s="407"/>
      <c r="HRA23" s="407"/>
      <c r="HRB23" s="407"/>
      <c r="HRC23" s="407"/>
      <c r="HRD23" s="407"/>
      <c r="HRE23" s="407"/>
      <c r="HRF23" s="407"/>
      <c r="HRG23" s="407"/>
      <c r="HRH23" s="407"/>
      <c r="HRI23" s="407"/>
      <c r="HRJ23" s="407"/>
      <c r="HRK23" s="407"/>
      <c r="HRL23" s="407"/>
      <c r="HRM23" s="407"/>
      <c r="HRN23" s="407"/>
      <c r="HRO23" s="407"/>
      <c r="HRP23" s="407"/>
      <c r="HRQ23" s="407"/>
      <c r="HRR23" s="407"/>
      <c r="HRS23" s="407"/>
      <c r="HRT23" s="407"/>
      <c r="HRU23" s="407"/>
      <c r="HRV23" s="407"/>
      <c r="HRW23" s="407"/>
      <c r="HRX23" s="407"/>
      <c r="HRY23" s="407"/>
      <c r="HRZ23" s="407"/>
      <c r="HSA23" s="407"/>
      <c r="HSB23" s="407"/>
      <c r="HSC23" s="407"/>
      <c r="HSD23" s="407"/>
      <c r="HSE23" s="407"/>
      <c r="HSF23" s="407"/>
      <c r="HSG23" s="407"/>
      <c r="HSH23" s="407"/>
      <c r="HSI23" s="407"/>
      <c r="HSJ23" s="407"/>
      <c r="HSK23" s="407"/>
      <c r="HSL23" s="407"/>
      <c r="HSM23" s="407"/>
      <c r="HSN23" s="407"/>
      <c r="HSO23" s="407"/>
      <c r="HSP23" s="407"/>
      <c r="HSQ23" s="407"/>
      <c r="HSR23" s="407"/>
      <c r="HSS23" s="407"/>
      <c r="HST23" s="407"/>
      <c r="HSU23" s="407"/>
      <c r="HSV23" s="407"/>
      <c r="HSW23" s="407"/>
      <c r="HSX23" s="407"/>
      <c r="HSY23" s="407"/>
      <c r="HSZ23" s="407"/>
      <c r="HTA23" s="407"/>
      <c r="HTB23" s="407"/>
      <c r="HTC23" s="407"/>
      <c r="HTD23" s="407"/>
      <c r="HTE23" s="407"/>
      <c r="HTF23" s="407"/>
      <c r="HTG23" s="407"/>
      <c r="HTH23" s="407"/>
      <c r="HTI23" s="407"/>
      <c r="HTJ23" s="407"/>
      <c r="HTK23" s="407"/>
      <c r="HTL23" s="407"/>
      <c r="HTM23" s="407"/>
      <c r="HTN23" s="407"/>
      <c r="HTO23" s="407"/>
      <c r="HTP23" s="407"/>
      <c r="HTQ23" s="407"/>
      <c r="HTR23" s="407"/>
      <c r="HTS23" s="407"/>
      <c r="HTT23" s="407"/>
      <c r="HTU23" s="407"/>
      <c r="HTV23" s="407"/>
      <c r="HTW23" s="407"/>
      <c r="HTX23" s="407"/>
      <c r="HTY23" s="407"/>
      <c r="HTZ23" s="407"/>
      <c r="HUA23" s="407"/>
      <c r="HUB23" s="407"/>
      <c r="HUC23" s="407"/>
      <c r="HUD23" s="407"/>
      <c r="HUE23" s="407"/>
      <c r="HUF23" s="407"/>
      <c r="HUG23" s="407"/>
      <c r="HUH23" s="407"/>
      <c r="HUI23" s="407"/>
      <c r="HUJ23" s="407"/>
      <c r="HUK23" s="407"/>
      <c r="HUL23" s="407"/>
      <c r="HUM23" s="407"/>
      <c r="HUN23" s="407"/>
      <c r="HUO23" s="407"/>
      <c r="HUP23" s="407"/>
      <c r="HUQ23" s="407"/>
      <c r="HUR23" s="407"/>
      <c r="HUS23" s="407"/>
      <c r="HUT23" s="407"/>
      <c r="HUU23" s="407"/>
      <c r="HUV23" s="407"/>
      <c r="HUW23" s="407"/>
      <c r="HUX23" s="407"/>
      <c r="HUY23" s="407"/>
      <c r="HUZ23" s="407"/>
      <c r="HVA23" s="407"/>
      <c r="HVB23" s="407"/>
      <c r="HVC23" s="407"/>
      <c r="HVD23" s="407"/>
      <c r="HVE23" s="407"/>
      <c r="HVF23" s="407"/>
      <c r="HVG23" s="407"/>
      <c r="HVH23" s="407"/>
      <c r="HVI23" s="407"/>
      <c r="HVJ23" s="407"/>
      <c r="HVK23" s="407"/>
      <c r="HVL23" s="407"/>
      <c r="HVM23" s="407"/>
      <c r="HVN23" s="407"/>
      <c r="HVO23" s="407"/>
      <c r="HVP23" s="407"/>
      <c r="HVQ23" s="407"/>
      <c r="HVR23" s="407"/>
      <c r="HVS23" s="407"/>
      <c r="HVT23" s="407"/>
      <c r="HVU23" s="407"/>
      <c r="HVV23" s="407"/>
      <c r="HVW23" s="407"/>
      <c r="HVX23" s="407"/>
      <c r="HVY23" s="407"/>
      <c r="HVZ23" s="407"/>
      <c r="HWA23" s="407"/>
      <c r="HWB23" s="407"/>
      <c r="HWC23" s="407"/>
      <c r="HWD23" s="407"/>
      <c r="HWE23" s="407"/>
      <c r="HWF23" s="407"/>
      <c r="HWG23" s="407"/>
      <c r="HWH23" s="407"/>
      <c r="HWI23" s="407"/>
      <c r="HWJ23" s="407"/>
      <c r="HWK23" s="407"/>
      <c r="HWL23" s="407"/>
      <c r="HWM23" s="407"/>
      <c r="HWN23" s="407"/>
      <c r="HWO23" s="407"/>
      <c r="HWP23" s="407"/>
      <c r="HWQ23" s="407"/>
      <c r="HWR23" s="407"/>
      <c r="HWS23" s="407"/>
      <c r="HWT23" s="407"/>
      <c r="HWU23" s="407"/>
      <c r="HWV23" s="407"/>
      <c r="HWW23" s="407"/>
      <c r="HWX23" s="407"/>
      <c r="HWY23" s="407"/>
      <c r="HWZ23" s="407"/>
      <c r="HXA23" s="407"/>
      <c r="HXB23" s="407"/>
      <c r="HXC23" s="407"/>
      <c r="HXD23" s="407"/>
      <c r="HXE23" s="407"/>
      <c r="HXF23" s="407"/>
      <c r="HXG23" s="407"/>
      <c r="HXH23" s="407"/>
      <c r="HXI23" s="407"/>
      <c r="HXJ23" s="407"/>
      <c r="HXK23" s="407"/>
      <c r="HXL23" s="407"/>
      <c r="HXM23" s="407"/>
      <c r="HXN23" s="407"/>
      <c r="HXO23" s="407"/>
      <c r="HXP23" s="407"/>
      <c r="HXQ23" s="407"/>
      <c r="HXR23" s="407"/>
      <c r="HXS23" s="407"/>
      <c r="HXT23" s="407"/>
      <c r="HXU23" s="407"/>
      <c r="HXV23" s="407"/>
      <c r="HXW23" s="407"/>
      <c r="HXX23" s="407"/>
      <c r="HXY23" s="407"/>
      <c r="HXZ23" s="407"/>
      <c r="HYA23" s="407"/>
      <c r="HYB23" s="407"/>
      <c r="HYC23" s="407"/>
      <c r="HYD23" s="407"/>
      <c r="HYE23" s="407"/>
      <c r="HYF23" s="407"/>
      <c r="HYG23" s="407"/>
      <c r="HYH23" s="407"/>
      <c r="HYI23" s="407"/>
      <c r="HYJ23" s="407"/>
      <c r="HYK23" s="407"/>
      <c r="HYL23" s="407"/>
      <c r="HYM23" s="407"/>
      <c r="HYN23" s="407"/>
      <c r="HYO23" s="407"/>
      <c r="HYP23" s="407"/>
      <c r="HYQ23" s="407"/>
      <c r="HYR23" s="407"/>
      <c r="HYS23" s="407"/>
      <c r="HYT23" s="407"/>
      <c r="HYU23" s="407"/>
      <c r="HYV23" s="407"/>
      <c r="HYW23" s="407"/>
      <c r="HYX23" s="407"/>
      <c r="HYY23" s="407"/>
      <c r="HYZ23" s="407"/>
      <c r="HZA23" s="407"/>
      <c r="HZB23" s="407"/>
      <c r="HZC23" s="407"/>
      <c r="HZD23" s="407"/>
      <c r="HZE23" s="407"/>
      <c r="HZF23" s="407"/>
      <c r="HZG23" s="407"/>
      <c r="HZH23" s="407"/>
      <c r="HZI23" s="407"/>
      <c r="HZJ23" s="407"/>
      <c r="HZK23" s="407"/>
      <c r="HZL23" s="407"/>
      <c r="HZM23" s="407"/>
      <c r="HZN23" s="407"/>
      <c r="HZO23" s="407"/>
      <c r="HZP23" s="407"/>
      <c r="HZQ23" s="407"/>
      <c r="HZR23" s="407"/>
      <c r="HZS23" s="407"/>
      <c r="HZT23" s="407"/>
      <c r="HZU23" s="407"/>
      <c r="HZV23" s="407"/>
      <c r="HZW23" s="407"/>
      <c r="HZX23" s="407"/>
      <c r="HZY23" s="407"/>
      <c r="HZZ23" s="407"/>
      <c r="IAA23" s="407"/>
      <c r="IAB23" s="407"/>
      <c r="IAC23" s="407"/>
      <c r="IAD23" s="407"/>
      <c r="IAE23" s="407"/>
      <c r="IAF23" s="407"/>
      <c r="IAG23" s="407"/>
      <c r="IAH23" s="407"/>
      <c r="IAI23" s="407"/>
      <c r="IAJ23" s="407"/>
      <c r="IAK23" s="407"/>
      <c r="IAL23" s="407"/>
      <c r="IAM23" s="407"/>
      <c r="IAN23" s="407"/>
      <c r="IAO23" s="407"/>
      <c r="IAP23" s="407"/>
      <c r="IAQ23" s="407"/>
      <c r="IAR23" s="407"/>
      <c r="IAS23" s="407"/>
      <c r="IAT23" s="407"/>
      <c r="IAU23" s="407"/>
      <c r="IAV23" s="407"/>
      <c r="IAW23" s="407"/>
      <c r="IAX23" s="407"/>
      <c r="IAY23" s="407"/>
      <c r="IAZ23" s="407"/>
      <c r="IBA23" s="407"/>
      <c r="IBB23" s="407"/>
      <c r="IBC23" s="407"/>
      <c r="IBD23" s="407"/>
      <c r="IBE23" s="407"/>
      <c r="IBF23" s="407"/>
      <c r="IBG23" s="407"/>
      <c r="IBH23" s="407"/>
      <c r="IBI23" s="407"/>
      <c r="IBJ23" s="407"/>
      <c r="IBK23" s="407"/>
      <c r="IBL23" s="407"/>
      <c r="IBM23" s="407"/>
      <c r="IBN23" s="407"/>
      <c r="IBO23" s="407"/>
      <c r="IBP23" s="407"/>
      <c r="IBQ23" s="407"/>
      <c r="IBR23" s="407"/>
      <c r="IBS23" s="407"/>
      <c r="IBT23" s="407"/>
      <c r="IBU23" s="407"/>
      <c r="IBV23" s="407"/>
      <c r="IBW23" s="407"/>
      <c r="IBX23" s="407"/>
      <c r="IBY23" s="407"/>
      <c r="IBZ23" s="407"/>
      <c r="ICA23" s="407"/>
      <c r="ICB23" s="407"/>
      <c r="ICC23" s="407"/>
      <c r="ICD23" s="407"/>
      <c r="ICE23" s="407"/>
      <c r="ICF23" s="407"/>
      <c r="ICG23" s="407"/>
      <c r="ICH23" s="407"/>
      <c r="ICI23" s="407"/>
      <c r="ICJ23" s="407"/>
      <c r="ICK23" s="407"/>
      <c r="ICL23" s="407"/>
      <c r="ICM23" s="407"/>
      <c r="ICN23" s="407"/>
      <c r="ICO23" s="407"/>
      <c r="ICP23" s="407"/>
      <c r="ICQ23" s="407"/>
      <c r="ICR23" s="407"/>
      <c r="ICS23" s="407"/>
      <c r="ICT23" s="407"/>
      <c r="ICU23" s="407"/>
      <c r="ICV23" s="407"/>
      <c r="ICW23" s="407"/>
      <c r="ICX23" s="407"/>
      <c r="ICY23" s="407"/>
      <c r="ICZ23" s="407"/>
      <c r="IDA23" s="407"/>
      <c r="IDB23" s="407"/>
      <c r="IDC23" s="407"/>
      <c r="IDD23" s="407"/>
      <c r="IDE23" s="407"/>
      <c r="IDF23" s="407"/>
      <c r="IDG23" s="407"/>
      <c r="IDH23" s="407"/>
      <c r="IDI23" s="407"/>
      <c r="IDJ23" s="407"/>
      <c r="IDK23" s="407"/>
      <c r="IDL23" s="407"/>
      <c r="IDM23" s="407"/>
      <c r="IDN23" s="407"/>
      <c r="IDO23" s="407"/>
      <c r="IDP23" s="407"/>
      <c r="IDQ23" s="407"/>
      <c r="IDR23" s="407"/>
      <c r="IDS23" s="407"/>
      <c r="IDT23" s="407"/>
      <c r="IDU23" s="407"/>
      <c r="IDV23" s="407"/>
      <c r="IDW23" s="407"/>
      <c r="IDX23" s="407"/>
      <c r="IDY23" s="407"/>
      <c r="IDZ23" s="407"/>
      <c r="IEA23" s="407"/>
      <c r="IEB23" s="407"/>
      <c r="IEC23" s="407"/>
      <c r="IED23" s="407"/>
      <c r="IEE23" s="407"/>
      <c r="IEF23" s="407"/>
      <c r="IEG23" s="407"/>
      <c r="IEH23" s="407"/>
      <c r="IEI23" s="407"/>
      <c r="IEJ23" s="407"/>
      <c r="IEK23" s="407"/>
      <c r="IEL23" s="407"/>
      <c r="IEM23" s="407"/>
      <c r="IEN23" s="407"/>
      <c r="IEO23" s="407"/>
      <c r="IEP23" s="407"/>
      <c r="IEQ23" s="407"/>
      <c r="IER23" s="407"/>
      <c r="IES23" s="407"/>
      <c r="IET23" s="407"/>
      <c r="IEU23" s="407"/>
      <c r="IEV23" s="407"/>
      <c r="IEW23" s="407"/>
      <c r="IEX23" s="407"/>
      <c r="IEY23" s="407"/>
      <c r="IEZ23" s="407"/>
      <c r="IFA23" s="407"/>
      <c r="IFB23" s="407"/>
      <c r="IFC23" s="407"/>
      <c r="IFD23" s="407"/>
      <c r="IFE23" s="407"/>
      <c r="IFF23" s="407"/>
      <c r="IFG23" s="407"/>
      <c r="IFH23" s="407"/>
      <c r="IFI23" s="407"/>
      <c r="IFJ23" s="407"/>
      <c r="IFK23" s="407"/>
      <c r="IFL23" s="407"/>
      <c r="IFM23" s="407"/>
      <c r="IFN23" s="407"/>
      <c r="IFO23" s="407"/>
      <c r="IFP23" s="407"/>
      <c r="IFQ23" s="407"/>
      <c r="IFR23" s="407"/>
      <c r="IFS23" s="407"/>
      <c r="IFT23" s="407"/>
      <c r="IFU23" s="407"/>
      <c r="IFV23" s="407"/>
      <c r="IFW23" s="407"/>
      <c r="IFX23" s="407"/>
      <c r="IFY23" s="407"/>
      <c r="IFZ23" s="407"/>
      <c r="IGA23" s="407"/>
      <c r="IGB23" s="407"/>
      <c r="IGC23" s="407"/>
      <c r="IGD23" s="407"/>
      <c r="IGE23" s="407"/>
      <c r="IGF23" s="407"/>
      <c r="IGG23" s="407"/>
      <c r="IGH23" s="407"/>
      <c r="IGI23" s="407"/>
      <c r="IGJ23" s="407"/>
      <c r="IGK23" s="407"/>
      <c r="IGL23" s="407"/>
      <c r="IGM23" s="407"/>
      <c r="IGN23" s="407"/>
      <c r="IGO23" s="407"/>
      <c r="IGP23" s="407"/>
      <c r="IGQ23" s="407"/>
      <c r="IGR23" s="407"/>
      <c r="IGS23" s="407"/>
      <c r="IGT23" s="407"/>
      <c r="IGU23" s="407"/>
      <c r="IGV23" s="407"/>
      <c r="IGW23" s="407"/>
      <c r="IGX23" s="407"/>
      <c r="IGY23" s="407"/>
      <c r="IGZ23" s="407"/>
      <c r="IHA23" s="407"/>
      <c r="IHB23" s="407"/>
      <c r="IHC23" s="407"/>
      <c r="IHD23" s="407"/>
      <c r="IHE23" s="407"/>
      <c r="IHF23" s="407"/>
      <c r="IHG23" s="407"/>
      <c r="IHH23" s="407"/>
      <c r="IHI23" s="407"/>
      <c r="IHJ23" s="407"/>
      <c r="IHK23" s="407"/>
      <c r="IHL23" s="407"/>
      <c r="IHM23" s="407"/>
      <c r="IHN23" s="407"/>
      <c r="IHO23" s="407"/>
      <c r="IHP23" s="407"/>
      <c r="IHQ23" s="407"/>
      <c r="IHR23" s="407"/>
      <c r="IHS23" s="407"/>
      <c r="IHT23" s="407"/>
      <c r="IHU23" s="407"/>
      <c r="IHV23" s="407"/>
      <c r="IHW23" s="407"/>
      <c r="IHX23" s="407"/>
      <c r="IHY23" s="407"/>
      <c r="IHZ23" s="407"/>
      <c r="IIA23" s="407"/>
      <c r="IIB23" s="407"/>
      <c r="IIC23" s="407"/>
      <c r="IID23" s="407"/>
      <c r="IIE23" s="407"/>
      <c r="IIF23" s="407"/>
      <c r="IIG23" s="407"/>
      <c r="IIH23" s="407"/>
      <c r="III23" s="407"/>
      <c r="IIJ23" s="407"/>
      <c r="IIK23" s="407"/>
      <c r="IIL23" s="407"/>
      <c r="IIM23" s="407"/>
      <c r="IIN23" s="407"/>
      <c r="IIO23" s="407"/>
      <c r="IIP23" s="407"/>
      <c r="IIQ23" s="407"/>
      <c r="IIR23" s="407"/>
      <c r="IIS23" s="407"/>
      <c r="IIT23" s="407"/>
      <c r="IIU23" s="407"/>
      <c r="IIV23" s="407"/>
      <c r="IIW23" s="407"/>
      <c r="IIX23" s="407"/>
      <c r="IIY23" s="407"/>
      <c r="IIZ23" s="407"/>
      <c r="IJA23" s="407"/>
      <c r="IJB23" s="407"/>
      <c r="IJC23" s="407"/>
      <c r="IJD23" s="407"/>
      <c r="IJE23" s="407"/>
      <c r="IJF23" s="407"/>
      <c r="IJG23" s="407"/>
      <c r="IJH23" s="407"/>
      <c r="IJI23" s="407"/>
      <c r="IJJ23" s="407"/>
      <c r="IJK23" s="407"/>
      <c r="IJL23" s="407"/>
      <c r="IJM23" s="407"/>
      <c r="IJN23" s="407"/>
      <c r="IJO23" s="407"/>
      <c r="IJP23" s="407"/>
      <c r="IJQ23" s="407"/>
      <c r="IJR23" s="407"/>
      <c r="IJS23" s="407"/>
      <c r="IJT23" s="407"/>
      <c r="IJU23" s="407"/>
      <c r="IJV23" s="407"/>
      <c r="IJW23" s="407"/>
      <c r="IJX23" s="407"/>
      <c r="IJY23" s="407"/>
      <c r="IJZ23" s="407"/>
      <c r="IKA23" s="407"/>
      <c r="IKB23" s="407"/>
      <c r="IKC23" s="407"/>
      <c r="IKD23" s="407"/>
      <c r="IKE23" s="407"/>
      <c r="IKF23" s="407"/>
      <c r="IKG23" s="407"/>
      <c r="IKH23" s="407"/>
      <c r="IKI23" s="407"/>
      <c r="IKJ23" s="407"/>
      <c r="IKK23" s="407"/>
      <c r="IKL23" s="407"/>
      <c r="IKM23" s="407"/>
      <c r="IKN23" s="407"/>
      <c r="IKO23" s="407"/>
      <c r="IKP23" s="407"/>
      <c r="IKQ23" s="407"/>
      <c r="IKR23" s="407"/>
      <c r="IKS23" s="407"/>
      <c r="IKT23" s="407"/>
      <c r="IKU23" s="407"/>
      <c r="IKV23" s="407"/>
      <c r="IKW23" s="407"/>
      <c r="IKX23" s="407"/>
      <c r="IKY23" s="407"/>
      <c r="IKZ23" s="407"/>
      <c r="ILA23" s="407"/>
      <c r="ILB23" s="407"/>
      <c r="ILC23" s="407"/>
      <c r="ILD23" s="407"/>
      <c r="ILE23" s="407"/>
      <c r="ILF23" s="407"/>
      <c r="ILG23" s="407"/>
      <c r="ILH23" s="407"/>
      <c r="ILI23" s="407"/>
      <c r="ILJ23" s="407"/>
      <c r="ILK23" s="407"/>
      <c r="ILL23" s="407"/>
      <c r="ILM23" s="407"/>
      <c r="ILN23" s="407"/>
      <c r="ILO23" s="407"/>
      <c r="ILP23" s="407"/>
      <c r="ILQ23" s="407"/>
      <c r="ILR23" s="407"/>
      <c r="ILS23" s="407"/>
      <c r="ILT23" s="407"/>
      <c r="ILU23" s="407"/>
      <c r="ILV23" s="407"/>
      <c r="ILW23" s="407"/>
      <c r="ILX23" s="407"/>
      <c r="ILY23" s="407"/>
      <c r="ILZ23" s="407"/>
      <c r="IMA23" s="407"/>
      <c r="IMB23" s="407"/>
      <c r="IMC23" s="407"/>
      <c r="IMD23" s="407"/>
      <c r="IME23" s="407"/>
      <c r="IMF23" s="407"/>
      <c r="IMG23" s="407"/>
      <c r="IMH23" s="407"/>
      <c r="IMI23" s="407"/>
      <c r="IMJ23" s="407"/>
      <c r="IMK23" s="407"/>
      <c r="IML23" s="407"/>
      <c r="IMM23" s="407"/>
      <c r="IMN23" s="407"/>
      <c r="IMO23" s="407"/>
      <c r="IMP23" s="407"/>
      <c r="IMQ23" s="407"/>
      <c r="IMR23" s="407"/>
      <c r="IMS23" s="407"/>
      <c r="IMT23" s="407"/>
      <c r="IMU23" s="407"/>
      <c r="IMV23" s="407"/>
      <c r="IMW23" s="407"/>
      <c r="IMX23" s="407"/>
      <c r="IMY23" s="407"/>
      <c r="IMZ23" s="407"/>
      <c r="INA23" s="407"/>
      <c r="INB23" s="407"/>
      <c r="INC23" s="407"/>
      <c r="IND23" s="407"/>
      <c r="INE23" s="407"/>
      <c r="INF23" s="407"/>
      <c r="ING23" s="407"/>
      <c r="INH23" s="407"/>
      <c r="INI23" s="407"/>
      <c r="INJ23" s="407"/>
      <c r="INK23" s="407"/>
      <c r="INL23" s="407"/>
      <c r="INM23" s="407"/>
      <c r="INN23" s="407"/>
      <c r="INO23" s="407"/>
      <c r="INP23" s="407"/>
      <c r="INQ23" s="407"/>
      <c r="INR23" s="407"/>
      <c r="INS23" s="407"/>
      <c r="INT23" s="407"/>
      <c r="INU23" s="407"/>
      <c r="INV23" s="407"/>
      <c r="INW23" s="407"/>
      <c r="INX23" s="407"/>
      <c r="INY23" s="407"/>
      <c r="INZ23" s="407"/>
      <c r="IOA23" s="407"/>
      <c r="IOB23" s="407"/>
      <c r="IOC23" s="407"/>
      <c r="IOD23" s="407"/>
      <c r="IOE23" s="407"/>
      <c r="IOF23" s="407"/>
      <c r="IOG23" s="407"/>
      <c r="IOH23" s="407"/>
      <c r="IOI23" s="407"/>
      <c r="IOJ23" s="407"/>
      <c r="IOK23" s="407"/>
      <c r="IOL23" s="407"/>
      <c r="IOM23" s="407"/>
      <c r="ION23" s="407"/>
      <c r="IOO23" s="407"/>
      <c r="IOP23" s="407"/>
      <c r="IOQ23" s="407"/>
      <c r="IOR23" s="407"/>
      <c r="IOS23" s="407"/>
      <c r="IOT23" s="407"/>
      <c r="IOU23" s="407"/>
      <c r="IOV23" s="407"/>
      <c r="IOW23" s="407"/>
      <c r="IOX23" s="407"/>
      <c r="IOY23" s="407"/>
      <c r="IOZ23" s="407"/>
      <c r="IPA23" s="407"/>
      <c r="IPB23" s="407"/>
      <c r="IPC23" s="407"/>
      <c r="IPD23" s="407"/>
      <c r="IPE23" s="407"/>
      <c r="IPF23" s="407"/>
      <c r="IPG23" s="407"/>
      <c r="IPH23" s="407"/>
      <c r="IPI23" s="407"/>
      <c r="IPJ23" s="407"/>
      <c r="IPK23" s="407"/>
      <c r="IPL23" s="407"/>
      <c r="IPM23" s="407"/>
      <c r="IPN23" s="407"/>
      <c r="IPO23" s="407"/>
      <c r="IPP23" s="407"/>
      <c r="IPQ23" s="407"/>
      <c r="IPR23" s="407"/>
      <c r="IPS23" s="407"/>
      <c r="IPT23" s="407"/>
      <c r="IPU23" s="407"/>
      <c r="IPV23" s="407"/>
      <c r="IPW23" s="407"/>
      <c r="IPX23" s="407"/>
      <c r="IPY23" s="407"/>
      <c r="IPZ23" s="407"/>
      <c r="IQA23" s="407"/>
      <c r="IQB23" s="407"/>
      <c r="IQC23" s="407"/>
      <c r="IQD23" s="407"/>
      <c r="IQE23" s="407"/>
      <c r="IQF23" s="407"/>
      <c r="IQG23" s="407"/>
      <c r="IQH23" s="407"/>
      <c r="IQI23" s="407"/>
      <c r="IQJ23" s="407"/>
      <c r="IQK23" s="407"/>
      <c r="IQL23" s="407"/>
      <c r="IQM23" s="407"/>
      <c r="IQN23" s="407"/>
      <c r="IQO23" s="407"/>
      <c r="IQP23" s="407"/>
      <c r="IQQ23" s="407"/>
      <c r="IQR23" s="407"/>
      <c r="IQS23" s="407"/>
      <c r="IQT23" s="407"/>
      <c r="IQU23" s="407"/>
      <c r="IQV23" s="407"/>
      <c r="IQW23" s="407"/>
      <c r="IQX23" s="407"/>
      <c r="IQY23" s="407"/>
      <c r="IQZ23" s="407"/>
      <c r="IRA23" s="407"/>
      <c r="IRB23" s="407"/>
      <c r="IRC23" s="407"/>
      <c r="IRD23" s="407"/>
      <c r="IRE23" s="407"/>
      <c r="IRF23" s="407"/>
      <c r="IRG23" s="407"/>
      <c r="IRH23" s="407"/>
      <c r="IRI23" s="407"/>
      <c r="IRJ23" s="407"/>
      <c r="IRK23" s="407"/>
      <c r="IRL23" s="407"/>
      <c r="IRM23" s="407"/>
      <c r="IRN23" s="407"/>
      <c r="IRO23" s="407"/>
      <c r="IRP23" s="407"/>
      <c r="IRQ23" s="407"/>
      <c r="IRR23" s="407"/>
      <c r="IRS23" s="407"/>
      <c r="IRT23" s="407"/>
      <c r="IRU23" s="407"/>
      <c r="IRV23" s="407"/>
      <c r="IRW23" s="407"/>
      <c r="IRX23" s="407"/>
      <c r="IRY23" s="407"/>
      <c r="IRZ23" s="407"/>
      <c r="ISA23" s="407"/>
      <c r="ISB23" s="407"/>
      <c r="ISC23" s="407"/>
      <c r="ISD23" s="407"/>
      <c r="ISE23" s="407"/>
      <c r="ISF23" s="407"/>
      <c r="ISG23" s="407"/>
      <c r="ISH23" s="407"/>
      <c r="ISI23" s="407"/>
      <c r="ISJ23" s="407"/>
      <c r="ISK23" s="407"/>
      <c r="ISL23" s="407"/>
      <c r="ISM23" s="407"/>
      <c r="ISN23" s="407"/>
      <c r="ISO23" s="407"/>
      <c r="ISP23" s="407"/>
      <c r="ISQ23" s="407"/>
      <c r="ISR23" s="407"/>
      <c r="ISS23" s="407"/>
      <c r="IST23" s="407"/>
      <c r="ISU23" s="407"/>
      <c r="ISV23" s="407"/>
      <c r="ISW23" s="407"/>
      <c r="ISX23" s="407"/>
      <c r="ISY23" s="407"/>
      <c r="ISZ23" s="407"/>
      <c r="ITA23" s="407"/>
      <c r="ITB23" s="407"/>
      <c r="ITC23" s="407"/>
      <c r="ITD23" s="407"/>
      <c r="ITE23" s="407"/>
      <c r="ITF23" s="407"/>
      <c r="ITG23" s="407"/>
      <c r="ITH23" s="407"/>
      <c r="ITI23" s="407"/>
      <c r="ITJ23" s="407"/>
      <c r="ITK23" s="407"/>
      <c r="ITL23" s="407"/>
      <c r="ITM23" s="407"/>
      <c r="ITN23" s="407"/>
      <c r="ITO23" s="407"/>
      <c r="ITP23" s="407"/>
      <c r="ITQ23" s="407"/>
      <c r="ITR23" s="407"/>
      <c r="ITS23" s="407"/>
      <c r="ITT23" s="407"/>
      <c r="ITU23" s="407"/>
      <c r="ITV23" s="407"/>
      <c r="ITW23" s="407"/>
      <c r="ITX23" s="407"/>
      <c r="ITY23" s="407"/>
      <c r="ITZ23" s="407"/>
      <c r="IUA23" s="407"/>
      <c r="IUB23" s="407"/>
      <c r="IUC23" s="407"/>
      <c r="IUD23" s="407"/>
      <c r="IUE23" s="407"/>
      <c r="IUF23" s="407"/>
      <c r="IUG23" s="407"/>
      <c r="IUH23" s="407"/>
      <c r="IUI23" s="407"/>
      <c r="IUJ23" s="407"/>
      <c r="IUK23" s="407"/>
      <c r="IUL23" s="407"/>
      <c r="IUM23" s="407"/>
      <c r="IUN23" s="407"/>
      <c r="IUO23" s="407"/>
      <c r="IUP23" s="407"/>
      <c r="IUQ23" s="407"/>
      <c r="IUR23" s="407"/>
      <c r="IUS23" s="407"/>
      <c r="IUT23" s="407"/>
      <c r="IUU23" s="407"/>
      <c r="IUV23" s="407"/>
      <c r="IUW23" s="407"/>
      <c r="IUX23" s="407"/>
      <c r="IUY23" s="407"/>
      <c r="IUZ23" s="407"/>
      <c r="IVA23" s="407"/>
      <c r="IVB23" s="407"/>
      <c r="IVC23" s="407"/>
      <c r="IVD23" s="407"/>
      <c r="IVE23" s="407"/>
      <c r="IVF23" s="407"/>
      <c r="IVG23" s="407"/>
      <c r="IVH23" s="407"/>
      <c r="IVI23" s="407"/>
      <c r="IVJ23" s="407"/>
      <c r="IVK23" s="407"/>
      <c r="IVL23" s="407"/>
      <c r="IVM23" s="407"/>
      <c r="IVN23" s="407"/>
      <c r="IVO23" s="407"/>
      <c r="IVP23" s="407"/>
      <c r="IVQ23" s="407"/>
      <c r="IVR23" s="407"/>
      <c r="IVS23" s="407"/>
      <c r="IVT23" s="407"/>
      <c r="IVU23" s="407"/>
      <c r="IVV23" s="407"/>
      <c r="IVW23" s="407"/>
      <c r="IVX23" s="407"/>
      <c r="IVY23" s="407"/>
      <c r="IVZ23" s="407"/>
      <c r="IWA23" s="407"/>
      <c r="IWB23" s="407"/>
      <c r="IWC23" s="407"/>
      <c r="IWD23" s="407"/>
      <c r="IWE23" s="407"/>
      <c r="IWF23" s="407"/>
      <c r="IWG23" s="407"/>
      <c r="IWH23" s="407"/>
      <c r="IWI23" s="407"/>
      <c r="IWJ23" s="407"/>
      <c r="IWK23" s="407"/>
      <c r="IWL23" s="407"/>
      <c r="IWM23" s="407"/>
      <c r="IWN23" s="407"/>
      <c r="IWO23" s="407"/>
      <c r="IWP23" s="407"/>
      <c r="IWQ23" s="407"/>
      <c r="IWR23" s="407"/>
      <c r="IWS23" s="407"/>
      <c r="IWT23" s="407"/>
      <c r="IWU23" s="407"/>
      <c r="IWV23" s="407"/>
      <c r="IWW23" s="407"/>
      <c r="IWX23" s="407"/>
      <c r="IWY23" s="407"/>
      <c r="IWZ23" s="407"/>
      <c r="IXA23" s="407"/>
      <c r="IXB23" s="407"/>
      <c r="IXC23" s="407"/>
      <c r="IXD23" s="407"/>
      <c r="IXE23" s="407"/>
      <c r="IXF23" s="407"/>
      <c r="IXG23" s="407"/>
      <c r="IXH23" s="407"/>
      <c r="IXI23" s="407"/>
      <c r="IXJ23" s="407"/>
      <c r="IXK23" s="407"/>
      <c r="IXL23" s="407"/>
      <c r="IXM23" s="407"/>
      <c r="IXN23" s="407"/>
      <c r="IXO23" s="407"/>
      <c r="IXP23" s="407"/>
      <c r="IXQ23" s="407"/>
      <c r="IXR23" s="407"/>
      <c r="IXS23" s="407"/>
      <c r="IXT23" s="407"/>
      <c r="IXU23" s="407"/>
      <c r="IXV23" s="407"/>
      <c r="IXW23" s="407"/>
      <c r="IXX23" s="407"/>
      <c r="IXY23" s="407"/>
      <c r="IXZ23" s="407"/>
      <c r="IYA23" s="407"/>
      <c r="IYB23" s="407"/>
      <c r="IYC23" s="407"/>
      <c r="IYD23" s="407"/>
      <c r="IYE23" s="407"/>
      <c r="IYF23" s="407"/>
      <c r="IYG23" s="407"/>
      <c r="IYH23" s="407"/>
      <c r="IYI23" s="407"/>
      <c r="IYJ23" s="407"/>
      <c r="IYK23" s="407"/>
      <c r="IYL23" s="407"/>
      <c r="IYM23" s="407"/>
      <c r="IYN23" s="407"/>
      <c r="IYO23" s="407"/>
      <c r="IYP23" s="407"/>
      <c r="IYQ23" s="407"/>
      <c r="IYR23" s="407"/>
      <c r="IYS23" s="407"/>
      <c r="IYT23" s="407"/>
      <c r="IYU23" s="407"/>
      <c r="IYV23" s="407"/>
      <c r="IYW23" s="407"/>
      <c r="IYX23" s="407"/>
      <c r="IYY23" s="407"/>
      <c r="IYZ23" s="407"/>
      <c r="IZA23" s="407"/>
      <c r="IZB23" s="407"/>
      <c r="IZC23" s="407"/>
      <c r="IZD23" s="407"/>
      <c r="IZE23" s="407"/>
      <c r="IZF23" s="407"/>
      <c r="IZG23" s="407"/>
      <c r="IZH23" s="407"/>
      <c r="IZI23" s="407"/>
      <c r="IZJ23" s="407"/>
      <c r="IZK23" s="407"/>
      <c r="IZL23" s="407"/>
      <c r="IZM23" s="407"/>
      <c r="IZN23" s="407"/>
      <c r="IZO23" s="407"/>
      <c r="IZP23" s="407"/>
      <c r="IZQ23" s="407"/>
      <c r="IZR23" s="407"/>
      <c r="IZS23" s="407"/>
      <c r="IZT23" s="407"/>
      <c r="IZU23" s="407"/>
      <c r="IZV23" s="407"/>
      <c r="IZW23" s="407"/>
      <c r="IZX23" s="407"/>
      <c r="IZY23" s="407"/>
      <c r="IZZ23" s="407"/>
      <c r="JAA23" s="407"/>
      <c r="JAB23" s="407"/>
      <c r="JAC23" s="407"/>
      <c r="JAD23" s="407"/>
      <c r="JAE23" s="407"/>
      <c r="JAF23" s="407"/>
      <c r="JAG23" s="407"/>
      <c r="JAH23" s="407"/>
      <c r="JAI23" s="407"/>
      <c r="JAJ23" s="407"/>
      <c r="JAK23" s="407"/>
      <c r="JAL23" s="407"/>
      <c r="JAM23" s="407"/>
      <c r="JAN23" s="407"/>
      <c r="JAO23" s="407"/>
      <c r="JAP23" s="407"/>
      <c r="JAQ23" s="407"/>
      <c r="JAR23" s="407"/>
      <c r="JAS23" s="407"/>
      <c r="JAT23" s="407"/>
      <c r="JAU23" s="407"/>
      <c r="JAV23" s="407"/>
      <c r="JAW23" s="407"/>
      <c r="JAX23" s="407"/>
      <c r="JAY23" s="407"/>
      <c r="JAZ23" s="407"/>
      <c r="JBA23" s="407"/>
      <c r="JBB23" s="407"/>
      <c r="JBC23" s="407"/>
      <c r="JBD23" s="407"/>
      <c r="JBE23" s="407"/>
      <c r="JBF23" s="407"/>
      <c r="JBG23" s="407"/>
      <c r="JBH23" s="407"/>
      <c r="JBI23" s="407"/>
      <c r="JBJ23" s="407"/>
      <c r="JBK23" s="407"/>
      <c r="JBL23" s="407"/>
      <c r="JBM23" s="407"/>
      <c r="JBN23" s="407"/>
      <c r="JBO23" s="407"/>
      <c r="JBP23" s="407"/>
      <c r="JBQ23" s="407"/>
      <c r="JBR23" s="407"/>
      <c r="JBS23" s="407"/>
      <c r="JBT23" s="407"/>
      <c r="JBU23" s="407"/>
      <c r="JBV23" s="407"/>
      <c r="JBW23" s="407"/>
      <c r="JBX23" s="407"/>
      <c r="JBY23" s="407"/>
      <c r="JBZ23" s="407"/>
      <c r="JCA23" s="407"/>
      <c r="JCB23" s="407"/>
      <c r="JCC23" s="407"/>
      <c r="JCD23" s="407"/>
      <c r="JCE23" s="407"/>
      <c r="JCF23" s="407"/>
      <c r="JCG23" s="407"/>
      <c r="JCH23" s="407"/>
      <c r="JCI23" s="407"/>
      <c r="JCJ23" s="407"/>
      <c r="JCK23" s="407"/>
      <c r="JCL23" s="407"/>
      <c r="JCM23" s="407"/>
      <c r="JCN23" s="407"/>
      <c r="JCO23" s="407"/>
      <c r="JCP23" s="407"/>
      <c r="JCQ23" s="407"/>
      <c r="JCR23" s="407"/>
      <c r="JCS23" s="407"/>
      <c r="JCT23" s="407"/>
      <c r="JCU23" s="407"/>
      <c r="JCV23" s="407"/>
      <c r="JCW23" s="407"/>
      <c r="JCX23" s="407"/>
      <c r="JCY23" s="407"/>
      <c r="JCZ23" s="407"/>
      <c r="JDA23" s="407"/>
      <c r="JDB23" s="407"/>
      <c r="JDC23" s="407"/>
      <c r="JDD23" s="407"/>
      <c r="JDE23" s="407"/>
      <c r="JDF23" s="407"/>
      <c r="JDG23" s="407"/>
      <c r="JDH23" s="407"/>
      <c r="JDI23" s="407"/>
      <c r="JDJ23" s="407"/>
      <c r="JDK23" s="407"/>
      <c r="JDL23" s="407"/>
      <c r="JDM23" s="407"/>
      <c r="JDN23" s="407"/>
      <c r="JDO23" s="407"/>
      <c r="JDP23" s="407"/>
      <c r="JDQ23" s="407"/>
      <c r="JDR23" s="407"/>
      <c r="JDS23" s="407"/>
      <c r="JDT23" s="407"/>
      <c r="JDU23" s="407"/>
      <c r="JDV23" s="407"/>
      <c r="JDW23" s="407"/>
      <c r="JDX23" s="407"/>
      <c r="JDY23" s="407"/>
      <c r="JDZ23" s="407"/>
      <c r="JEA23" s="407"/>
      <c r="JEB23" s="407"/>
      <c r="JEC23" s="407"/>
      <c r="JED23" s="407"/>
      <c r="JEE23" s="407"/>
      <c r="JEF23" s="407"/>
      <c r="JEG23" s="407"/>
      <c r="JEH23" s="407"/>
      <c r="JEI23" s="407"/>
      <c r="JEJ23" s="407"/>
      <c r="JEK23" s="407"/>
      <c r="JEL23" s="407"/>
      <c r="JEM23" s="407"/>
      <c r="JEN23" s="407"/>
      <c r="JEO23" s="407"/>
      <c r="JEP23" s="407"/>
      <c r="JEQ23" s="407"/>
      <c r="JER23" s="407"/>
      <c r="JES23" s="407"/>
      <c r="JET23" s="407"/>
      <c r="JEU23" s="407"/>
      <c r="JEV23" s="407"/>
      <c r="JEW23" s="407"/>
      <c r="JEX23" s="407"/>
      <c r="JEY23" s="407"/>
      <c r="JEZ23" s="407"/>
      <c r="JFA23" s="407"/>
      <c r="JFB23" s="407"/>
      <c r="JFC23" s="407"/>
      <c r="JFD23" s="407"/>
      <c r="JFE23" s="407"/>
      <c r="JFF23" s="407"/>
      <c r="JFG23" s="407"/>
      <c r="JFH23" s="407"/>
      <c r="JFI23" s="407"/>
      <c r="JFJ23" s="407"/>
      <c r="JFK23" s="407"/>
      <c r="JFL23" s="407"/>
      <c r="JFM23" s="407"/>
      <c r="JFN23" s="407"/>
      <c r="JFO23" s="407"/>
      <c r="JFP23" s="407"/>
      <c r="JFQ23" s="407"/>
      <c r="JFR23" s="407"/>
      <c r="JFS23" s="407"/>
      <c r="JFT23" s="407"/>
      <c r="JFU23" s="407"/>
      <c r="JFV23" s="407"/>
      <c r="JFW23" s="407"/>
      <c r="JFX23" s="407"/>
      <c r="JFY23" s="407"/>
      <c r="JFZ23" s="407"/>
      <c r="JGA23" s="407"/>
      <c r="JGB23" s="407"/>
      <c r="JGC23" s="407"/>
      <c r="JGD23" s="407"/>
      <c r="JGE23" s="407"/>
      <c r="JGF23" s="407"/>
      <c r="JGG23" s="407"/>
      <c r="JGH23" s="407"/>
      <c r="JGI23" s="407"/>
      <c r="JGJ23" s="407"/>
      <c r="JGK23" s="407"/>
      <c r="JGL23" s="407"/>
      <c r="JGM23" s="407"/>
      <c r="JGN23" s="407"/>
      <c r="JGO23" s="407"/>
      <c r="JGP23" s="407"/>
      <c r="JGQ23" s="407"/>
      <c r="JGR23" s="407"/>
      <c r="JGS23" s="407"/>
      <c r="JGT23" s="407"/>
      <c r="JGU23" s="407"/>
      <c r="JGV23" s="407"/>
      <c r="JGW23" s="407"/>
      <c r="JGX23" s="407"/>
      <c r="JGY23" s="407"/>
      <c r="JGZ23" s="407"/>
      <c r="JHA23" s="407"/>
      <c r="JHB23" s="407"/>
      <c r="JHC23" s="407"/>
      <c r="JHD23" s="407"/>
      <c r="JHE23" s="407"/>
      <c r="JHF23" s="407"/>
      <c r="JHG23" s="407"/>
      <c r="JHH23" s="407"/>
      <c r="JHI23" s="407"/>
      <c r="JHJ23" s="407"/>
      <c r="JHK23" s="407"/>
      <c r="JHL23" s="407"/>
      <c r="JHM23" s="407"/>
      <c r="JHN23" s="407"/>
      <c r="JHO23" s="407"/>
      <c r="JHP23" s="407"/>
      <c r="JHQ23" s="407"/>
      <c r="JHR23" s="407"/>
      <c r="JHS23" s="407"/>
      <c r="JHT23" s="407"/>
      <c r="JHU23" s="407"/>
      <c r="JHV23" s="407"/>
      <c r="JHW23" s="407"/>
      <c r="JHX23" s="407"/>
      <c r="JHY23" s="407"/>
      <c r="JHZ23" s="407"/>
      <c r="JIA23" s="407"/>
      <c r="JIB23" s="407"/>
      <c r="JIC23" s="407"/>
      <c r="JID23" s="407"/>
      <c r="JIE23" s="407"/>
      <c r="JIF23" s="407"/>
      <c r="JIG23" s="407"/>
      <c r="JIH23" s="407"/>
      <c r="JII23" s="407"/>
      <c r="JIJ23" s="407"/>
      <c r="JIK23" s="407"/>
      <c r="JIL23" s="407"/>
      <c r="JIM23" s="407"/>
      <c r="JIN23" s="407"/>
      <c r="JIO23" s="407"/>
      <c r="JIP23" s="407"/>
      <c r="JIQ23" s="407"/>
      <c r="JIR23" s="407"/>
      <c r="JIS23" s="407"/>
      <c r="JIT23" s="407"/>
      <c r="JIU23" s="407"/>
      <c r="JIV23" s="407"/>
      <c r="JIW23" s="407"/>
      <c r="JIX23" s="407"/>
      <c r="JIY23" s="407"/>
      <c r="JIZ23" s="407"/>
      <c r="JJA23" s="407"/>
      <c r="JJB23" s="407"/>
      <c r="JJC23" s="407"/>
      <c r="JJD23" s="407"/>
      <c r="JJE23" s="407"/>
      <c r="JJF23" s="407"/>
      <c r="JJG23" s="407"/>
      <c r="JJH23" s="407"/>
      <c r="JJI23" s="407"/>
      <c r="JJJ23" s="407"/>
      <c r="JJK23" s="407"/>
      <c r="JJL23" s="407"/>
      <c r="JJM23" s="407"/>
      <c r="JJN23" s="407"/>
      <c r="JJO23" s="407"/>
      <c r="JJP23" s="407"/>
      <c r="JJQ23" s="407"/>
      <c r="JJR23" s="407"/>
      <c r="JJS23" s="407"/>
      <c r="JJT23" s="407"/>
      <c r="JJU23" s="407"/>
      <c r="JJV23" s="407"/>
      <c r="JJW23" s="407"/>
      <c r="JJX23" s="407"/>
      <c r="JJY23" s="407"/>
      <c r="JJZ23" s="407"/>
      <c r="JKA23" s="407"/>
      <c r="JKB23" s="407"/>
      <c r="JKC23" s="407"/>
      <c r="JKD23" s="407"/>
      <c r="JKE23" s="407"/>
      <c r="JKF23" s="407"/>
      <c r="JKG23" s="407"/>
      <c r="JKH23" s="407"/>
      <c r="JKI23" s="407"/>
      <c r="JKJ23" s="407"/>
      <c r="JKK23" s="407"/>
      <c r="JKL23" s="407"/>
      <c r="JKM23" s="407"/>
      <c r="JKN23" s="407"/>
      <c r="JKO23" s="407"/>
      <c r="JKP23" s="407"/>
      <c r="JKQ23" s="407"/>
      <c r="JKR23" s="407"/>
      <c r="JKS23" s="407"/>
      <c r="JKT23" s="407"/>
      <c r="JKU23" s="407"/>
      <c r="JKV23" s="407"/>
      <c r="JKW23" s="407"/>
      <c r="JKX23" s="407"/>
      <c r="JKY23" s="407"/>
      <c r="JKZ23" s="407"/>
      <c r="JLA23" s="407"/>
      <c r="JLB23" s="407"/>
      <c r="JLC23" s="407"/>
      <c r="JLD23" s="407"/>
      <c r="JLE23" s="407"/>
      <c r="JLF23" s="407"/>
      <c r="JLG23" s="407"/>
      <c r="JLH23" s="407"/>
      <c r="JLI23" s="407"/>
      <c r="JLJ23" s="407"/>
      <c r="JLK23" s="407"/>
      <c r="JLL23" s="407"/>
      <c r="JLM23" s="407"/>
      <c r="JLN23" s="407"/>
      <c r="JLO23" s="407"/>
      <c r="JLP23" s="407"/>
      <c r="JLQ23" s="407"/>
      <c r="JLR23" s="407"/>
      <c r="JLS23" s="407"/>
      <c r="JLT23" s="407"/>
      <c r="JLU23" s="407"/>
      <c r="JLV23" s="407"/>
      <c r="JLW23" s="407"/>
      <c r="JLX23" s="407"/>
      <c r="JLY23" s="407"/>
      <c r="JLZ23" s="407"/>
      <c r="JMA23" s="407"/>
      <c r="JMB23" s="407"/>
      <c r="JMC23" s="407"/>
      <c r="JMD23" s="407"/>
      <c r="JME23" s="407"/>
      <c r="JMF23" s="407"/>
      <c r="JMG23" s="407"/>
      <c r="JMH23" s="407"/>
      <c r="JMI23" s="407"/>
      <c r="JMJ23" s="407"/>
      <c r="JMK23" s="407"/>
      <c r="JML23" s="407"/>
      <c r="JMM23" s="407"/>
      <c r="JMN23" s="407"/>
      <c r="JMO23" s="407"/>
      <c r="JMP23" s="407"/>
      <c r="JMQ23" s="407"/>
      <c r="JMR23" s="407"/>
      <c r="JMS23" s="407"/>
      <c r="JMT23" s="407"/>
      <c r="JMU23" s="407"/>
      <c r="JMV23" s="407"/>
      <c r="JMW23" s="407"/>
      <c r="JMX23" s="407"/>
      <c r="JMY23" s="407"/>
      <c r="JMZ23" s="407"/>
      <c r="JNA23" s="407"/>
      <c r="JNB23" s="407"/>
      <c r="JNC23" s="407"/>
      <c r="JND23" s="407"/>
      <c r="JNE23" s="407"/>
      <c r="JNF23" s="407"/>
      <c r="JNG23" s="407"/>
      <c r="JNH23" s="407"/>
      <c r="JNI23" s="407"/>
      <c r="JNJ23" s="407"/>
      <c r="JNK23" s="407"/>
      <c r="JNL23" s="407"/>
      <c r="JNM23" s="407"/>
      <c r="JNN23" s="407"/>
      <c r="JNO23" s="407"/>
      <c r="JNP23" s="407"/>
      <c r="JNQ23" s="407"/>
      <c r="JNR23" s="407"/>
      <c r="JNS23" s="407"/>
      <c r="JNT23" s="407"/>
      <c r="JNU23" s="407"/>
      <c r="JNV23" s="407"/>
      <c r="JNW23" s="407"/>
      <c r="JNX23" s="407"/>
      <c r="JNY23" s="407"/>
      <c r="JNZ23" s="407"/>
      <c r="JOA23" s="407"/>
      <c r="JOB23" s="407"/>
      <c r="JOC23" s="407"/>
      <c r="JOD23" s="407"/>
      <c r="JOE23" s="407"/>
      <c r="JOF23" s="407"/>
      <c r="JOG23" s="407"/>
      <c r="JOH23" s="407"/>
      <c r="JOI23" s="407"/>
      <c r="JOJ23" s="407"/>
      <c r="JOK23" s="407"/>
      <c r="JOL23" s="407"/>
      <c r="JOM23" s="407"/>
      <c r="JON23" s="407"/>
      <c r="JOO23" s="407"/>
      <c r="JOP23" s="407"/>
      <c r="JOQ23" s="407"/>
      <c r="JOR23" s="407"/>
      <c r="JOS23" s="407"/>
      <c r="JOT23" s="407"/>
      <c r="JOU23" s="407"/>
      <c r="JOV23" s="407"/>
      <c r="JOW23" s="407"/>
      <c r="JOX23" s="407"/>
      <c r="JOY23" s="407"/>
      <c r="JOZ23" s="407"/>
      <c r="JPA23" s="407"/>
      <c r="JPB23" s="407"/>
      <c r="JPC23" s="407"/>
      <c r="JPD23" s="407"/>
      <c r="JPE23" s="407"/>
      <c r="JPF23" s="407"/>
      <c r="JPG23" s="407"/>
      <c r="JPH23" s="407"/>
      <c r="JPI23" s="407"/>
      <c r="JPJ23" s="407"/>
      <c r="JPK23" s="407"/>
      <c r="JPL23" s="407"/>
      <c r="JPM23" s="407"/>
      <c r="JPN23" s="407"/>
      <c r="JPO23" s="407"/>
      <c r="JPP23" s="407"/>
      <c r="JPQ23" s="407"/>
      <c r="JPR23" s="407"/>
      <c r="JPS23" s="407"/>
      <c r="JPT23" s="407"/>
      <c r="JPU23" s="407"/>
      <c r="JPV23" s="407"/>
      <c r="JPW23" s="407"/>
      <c r="JPX23" s="407"/>
      <c r="JPY23" s="407"/>
      <c r="JPZ23" s="407"/>
      <c r="JQA23" s="407"/>
      <c r="JQB23" s="407"/>
      <c r="JQC23" s="407"/>
      <c r="JQD23" s="407"/>
      <c r="JQE23" s="407"/>
      <c r="JQF23" s="407"/>
      <c r="JQG23" s="407"/>
      <c r="JQH23" s="407"/>
      <c r="JQI23" s="407"/>
      <c r="JQJ23" s="407"/>
      <c r="JQK23" s="407"/>
      <c r="JQL23" s="407"/>
      <c r="JQM23" s="407"/>
      <c r="JQN23" s="407"/>
      <c r="JQO23" s="407"/>
      <c r="JQP23" s="407"/>
      <c r="JQQ23" s="407"/>
      <c r="JQR23" s="407"/>
      <c r="JQS23" s="407"/>
      <c r="JQT23" s="407"/>
      <c r="JQU23" s="407"/>
      <c r="JQV23" s="407"/>
      <c r="JQW23" s="407"/>
      <c r="JQX23" s="407"/>
      <c r="JQY23" s="407"/>
      <c r="JQZ23" s="407"/>
      <c r="JRA23" s="407"/>
      <c r="JRB23" s="407"/>
      <c r="JRC23" s="407"/>
      <c r="JRD23" s="407"/>
      <c r="JRE23" s="407"/>
      <c r="JRF23" s="407"/>
      <c r="JRG23" s="407"/>
      <c r="JRH23" s="407"/>
      <c r="JRI23" s="407"/>
      <c r="JRJ23" s="407"/>
      <c r="JRK23" s="407"/>
      <c r="JRL23" s="407"/>
      <c r="JRM23" s="407"/>
      <c r="JRN23" s="407"/>
      <c r="JRO23" s="407"/>
      <c r="JRP23" s="407"/>
      <c r="JRQ23" s="407"/>
      <c r="JRR23" s="407"/>
      <c r="JRS23" s="407"/>
      <c r="JRT23" s="407"/>
      <c r="JRU23" s="407"/>
      <c r="JRV23" s="407"/>
      <c r="JRW23" s="407"/>
      <c r="JRX23" s="407"/>
      <c r="JRY23" s="407"/>
      <c r="JRZ23" s="407"/>
      <c r="JSA23" s="407"/>
      <c r="JSB23" s="407"/>
      <c r="JSC23" s="407"/>
      <c r="JSD23" s="407"/>
      <c r="JSE23" s="407"/>
      <c r="JSF23" s="407"/>
      <c r="JSG23" s="407"/>
      <c r="JSH23" s="407"/>
      <c r="JSI23" s="407"/>
      <c r="JSJ23" s="407"/>
      <c r="JSK23" s="407"/>
      <c r="JSL23" s="407"/>
      <c r="JSM23" s="407"/>
      <c r="JSN23" s="407"/>
      <c r="JSO23" s="407"/>
      <c r="JSP23" s="407"/>
      <c r="JSQ23" s="407"/>
      <c r="JSR23" s="407"/>
      <c r="JSS23" s="407"/>
      <c r="JST23" s="407"/>
      <c r="JSU23" s="407"/>
      <c r="JSV23" s="407"/>
      <c r="JSW23" s="407"/>
      <c r="JSX23" s="407"/>
      <c r="JSY23" s="407"/>
      <c r="JSZ23" s="407"/>
      <c r="JTA23" s="407"/>
      <c r="JTB23" s="407"/>
      <c r="JTC23" s="407"/>
      <c r="JTD23" s="407"/>
      <c r="JTE23" s="407"/>
      <c r="JTF23" s="407"/>
      <c r="JTG23" s="407"/>
      <c r="JTH23" s="407"/>
      <c r="JTI23" s="407"/>
      <c r="JTJ23" s="407"/>
      <c r="JTK23" s="407"/>
      <c r="JTL23" s="407"/>
      <c r="JTM23" s="407"/>
      <c r="JTN23" s="407"/>
      <c r="JTO23" s="407"/>
      <c r="JTP23" s="407"/>
      <c r="JTQ23" s="407"/>
      <c r="JTR23" s="407"/>
      <c r="JTS23" s="407"/>
      <c r="JTT23" s="407"/>
      <c r="JTU23" s="407"/>
      <c r="JTV23" s="407"/>
      <c r="JTW23" s="407"/>
      <c r="JTX23" s="407"/>
      <c r="JTY23" s="407"/>
      <c r="JTZ23" s="407"/>
      <c r="JUA23" s="407"/>
      <c r="JUB23" s="407"/>
      <c r="JUC23" s="407"/>
      <c r="JUD23" s="407"/>
      <c r="JUE23" s="407"/>
      <c r="JUF23" s="407"/>
      <c r="JUG23" s="407"/>
      <c r="JUH23" s="407"/>
      <c r="JUI23" s="407"/>
      <c r="JUJ23" s="407"/>
      <c r="JUK23" s="407"/>
      <c r="JUL23" s="407"/>
      <c r="JUM23" s="407"/>
      <c r="JUN23" s="407"/>
      <c r="JUO23" s="407"/>
      <c r="JUP23" s="407"/>
      <c r="JUQ23" s="407"/>
      <c r="JUR23" s="407"/>
      <c r="JUS23" s="407"/>
      <c r="JUT23" s="407"/>
      <c r="JUU23" s="407"/>
      <c r="JUV23" s="407"/>
      <c r="JUW23" s="407"/>
      <c r="JUX23" s="407"/>
      <c r="JUY23" s="407"/>
      <c r="JUZ23" s="407"/>
      <c r="JVA23" s="407"/>
      <c r="JVB23" s="407"/>
      <c r="JVC23" s="407"/>
      <c r="JVD23" s="407"/>
      <c r="JVE23" s="407"/>
      <c r="JVF23" s="407"/>
      <c r="JVG23" s="407"/>
      <c r="JVH23" s="407"/>
      <c r="JVI23" s="407"/>
      <c r="JVJ23" s="407"/>
      <c r="JVK23" s="407"/>
      <c r="JVL23" s="407"/>
      <c r="JVM23" s="407"/>
      <c r="JVN23" s="407"/>
      <c r="JVO23" s="407"/>
      <c r="JVP23" s="407"/>
      <c r="JVQ23" s="407"/>
      <c r="JVR23" s="407"/>
      <c r="JVS23" s="407"/>
      <c r="JVT23" s="407"/>
      <c r="JVU23" s="407"/>
      <c r="JVV23" s="407"/>
      <c r="JVW23" s="407"/>
      <c r="JVX23" s="407"/>
      <c r="JVY23" s="407"/>
      <c r="JVZ23" s="407"/>
      <c r="JWA23" s="407"/>
      <c r="JWB23" s="407"/>
      <c r="JWC23" s="407"/>
      <c r="JWD23" s="407"/>
      <c r="JWE23" s="407"/>
      <c r="JWF23" s="407"/>
      <c r="JWG23" s="407"/>
      <c r="JWH23" s="407"/>
      <c r="JWI23" s="407"/>
      <c r="JWJ23" s="407"/>
      <c r="JWK23" s="407"/>
      <c r="JWL23" s="407"/>
      <c r="JWM23" s="407"/>
      <c r="JWN23" s="407"/>
      <c r="JWO23" s="407"/>
      <c r="JWP23" s="407"/>
      <c r="JWQ23" s="407"/>
      <c r="JWR23" s="407"/>
      <c r="JWS23" s="407"/>
      <c r="JWT23" s="407"/>
      <c r="JWU23" s="407"/>
      <c r="JWV23" s="407"/>
      <c r="JWW23" s="407"/>
      <c r="JWX23" s="407"/>
      <c r="JWY23" s="407"/>
      <c r="JWZ23" s="407"/>
      <c r="JXA23" s="407"/>
      <c r="JXB23" s="407"/>
      <c r="JXC23" s="407"/>
      <c r="JXD23" s="407"/>
      <c r="JXE23" s="407"/>
      <c r="JXF23" s="407"/>
      <c r="JXG23" s="407"/>
      <c r="JXH23" s="407"/>
      <c r="JXI23" s="407"/>
      <c r="JXJ23" s="407"/>
      <c r="JXK23" s="407"/>
      <c r="JXL23" s="407"/>
      <c r="JXM23" s="407"/>
      <c r="JXN23" s="407"/>
      <c r="JXO23" s="407"/>
      <c r="JXP23" s="407"/>
      <c r="JXQ23" s="407"/>
      <c r="JXR23" s="407"/>
      <c r="JXS23" s="407"/>
      <c r="JXT23" s="407"/>
      <c r="JXU23" s="407"/>
      <c r="JXV23" s="407"/>
      <c r="JXW23" s="407"/>
      <c r="JXX23" s="407"/>
      <c r="JXY23" s="407"/>
      <c r="JXZ23" s="407"/>
      <c r="JYA23" s="407"/>
      <c r="JYB23" s="407"/>
      <c r="JYC23" s="407"/>
      <c r="JYD23" s="407"/>
      <c r="JYE23" s="407"/>
      <c r="JYF23" s="407"/>
      <c r="JYG23" s="407"/>
      <c r="JYH23" s="407"/>
      <c r="JYI23" s="407"/>
      <c r="JYJ23" s="407"/>
      <c r="JYK23" s="407"/>
      <c r="JYL23" s="407"/>
      <c r="JYM23" s="407"/>
      <c r="JYN23" s="407"/>
      <c r="JYO23" s="407"/>
      <c r="JYP23" s="407"/>
      <c r="JYQ23" s="407"/>
      <c r="JYR23" s="407"/>
      <c r="JYS23" s="407"/>
      <c r="JYT23" s="407"/>
      <c r="JYU23" s="407"/>
      <c r="JYV23" s="407"/>
      <c r="JYW23" s="407"/>
      <c r="JYX23" s="407"/>
      <c r="JYY23" s="407"/>
      <c r="JYZ23" s="407"/>
      <c r="JZA23" s="407"/>
      <c r="JZB23" s="407"/>
      <c r="JZC23" s="407"/>
      <c r="JZD23" s="407"/>
      <c r="JZE23" s="407"/>
      <c r="JZF23" s="407"/>
      <c r="JZG23" s="407"/>
      <c r="JZH23" s="407"/>
      <c r="JZI23" s="407"/>
      <c r="JZJ23" s="407"/>
      <c r="JZK23" s="407"/>
      <c r="JZL23" s="407"/>
      <c r="JZM23" s="407"/>
      <c r="JZN23" s="407"/>
      <c r="JZO23" s="407"/>
      <c r="JZP23" s="407"/>
      <c r="JZQ23" s="407"/>
      <c r="JZR23" s="407"/>
      <c r="JZS23" s="407"/>
      <c r="JZT23" s="407"/>
      <c r="JZU23" s="407"/>
      <c r="JZV23" s="407"/>
      <c r="JZW23" s="407"/>
      <c r="JZX23" s="407"/>
      <c r="JZY23" s="407"/>
      <c r="JZZ23" s="407"/>
      <c r="KAA23" s="407"/>
      <c r="KAB23" s="407"/>
      <c r="KAC23" s="407"/>
      <c r="KAD23" s="407"/>
      <c r="KAE23" s="407"/>
      <c r="KAF23" s="407"/>
      <c r="KAG23" s="407"/>
      <c r="KAH23" s="407"/>
      <c r="KAI23" s="407"/>
      <c r="KAJ23" s="407"/>
      <c r="KAK23" s="407"/>
      <c r="KAL23" s="407"/>
      <c r="KAM23" s="407"/>
      <c r="KAN23" s="407"/>
      <c r="KAO23" s="407"/>
      <c r="KAP23" s="407"/>
      <c r="KAQ23" s="407"/>
      <c r="KAR23" s="407"/>
      <c r="KAS23" s="407"/>
      <c r="KAT23" s="407"/>
      <c r="KAU23" s="407"/>
      <c r="KAV23" s="407"/>
      <c r="KAW23" s="407"/>
      <c r="KAX23" s="407"/>
      <c r="KAY23" s="407"/>
      <c r="KAZ23" s="407"/>
      <c r="KBA23" s="407"/>
      <c r="KBB23" s="407"/>
      <c r="KBC23" s="407"/>
      <c r="KBD23" s="407"/>
      <c r="KBE23" s="407"/>
      <c r="KBF23" s="407"/>
      <c r="KBG23" s="407"/>
      <c r="KBH23" s="407"/>
      <c r="KBI23" s="407"/>
      <c r="KBJ23" s="407"/>
      <c r="KBK23" s="407"/>
      <c r="KBL23" s="407"/>
      <c r="KBM23" s="407"/>
      <c r="KBN23" s="407"/>
      <c r="KBO23" s="407"/>
      <c r="KBP23" s="407"/>
      <c r="KBQ23" s="407"/>
      <c r="KBR23" s="407"/>
      <c r="KBS23" s="407"/>
      <c r="KBT23" s="407"/>
      <c r="KBU23" s="407"/>
      <c r="KBV23" s="407"/>
      <c r="KBW23" s="407"/>
      <c r="KBX23" s="407"/>
      <c r="KBY23" s="407"/>
      <c r="KBZ23" s="407"/>
      <c r="KCA23" s="407"/>
      <c r="KCB23" s="407"/>
      <c r="KCC23" s="407"/>
      <c r="KCD23" s="407"/>
      <c r="KCE23" s="407"/>
      <c r="KCF23" s="407"/>
      <c r="KCG23" s="407"/>
      <c r="KCH23" s="407"/>
      <c r="KCI23" s="407"/>
      <c r="KCJ23" s="407"/>
      <c r="KCK23" s="407"/>
      <c r="KCL23" s="407"/>
      <c r="KCM23" s="407"/>
      <c r="KCN23" s="407"/>
      <c r="KCO23" s="407"/>
      <c r="KCP23" s="407"/>
      <c r="KCQ23" s="407"/>
      <c r="KCR23" s="407"/>
      <c r="KCS23" s="407"/>
      <c r="KCT23" s="407"/>
      <c r="KCU23" s="407"/>
      <c r="KCV23" s="407"/>
      <c r="KCW23" s="407"/>
      <c r="KCX23" s="407"/>
      <c r="KCY23" s="407"/>
      <c r="KCZ23" s="407"/>
      <c r="KDA23" s="407"/>
      <c r="KDB23" s="407"/>
      <c r="KDC23" s="407"/>
      <c r="KDD23" s="407"/>
      <c r="KDE23" s="407"/>
      <c r="KDF23" s="407"/>
      <c r="KDG23" s="407"/>
      <c r="KDH23" s="407"/>
      <c r="KDI23" s="407"/>
      <c r="KDJ23" s="407"/>
      <c r="KDK23" s="407"/>
      <c r="KDL23" s="407"/>
      <c r="KDM23" s="407"/>
      <c r="KDN23" s="407"/>
      <c r="KDO23" s="407"/>
      <c r="KDP23" s="407"/>
      <c r="KDQ23" s="407"/>
      <c r="KDR23" s="407"/>
      <c r="KDS23" s="407"/>
      <c r="KDT23" s="407"/>
      <c r="KDU23" s="407"/>
      <c r="KDV23" s="407"/>
      <c r="KDW23" s="407"/>
      <c r="KDX23" s="407"/>
      <c r="KDY23" s="407"/>
      <c r="KDZ23" s="407"/>
      <c r="KEA23" s="407"/>
      <c r="KEB23" s="407"/>
      <c r="KEC23" s="407"/>
      <c r="KED23" s="407"/>
      <c r="KEE23" s="407"/>
      <c r="KEF23" s="407"/>
      <c r="KEG23" s="407"/>
      <c r="KEH23" s="407"/>
      <c r="KEI23" s="407"/>
      <c r="KEJ23" s="407"/>
      <c r="KEK23" s="407"/>
      <c r="KEL23" s="407"/>
      <c r="KEM23" s="407"/>
      <c r="KEN23" s="407"/>
      <c r="KEO23" s="407"/>
      <c r="KEP23" s="407"/>
      <c r="KEQ23" s="407"/>
      <c r="KER23" s="407"/>
      <c r="KES23" s="407"/>
      <c r="KET23" s="407"/>
      <c r="KEU23" s="407"/>
      <c r="KEV23" s="407"/>
      <c r="KEW23" s="407"/>
      <c r="KEX23" s="407"/>
      <c r="KEY23" s="407"/>
      <c r="KEZ23" s="407"/>
      <c r="KFA23" s="407"/>
      <c r="KFB23" s="407"/>
      <c r="KFC23" s="407"/>
      <c r="KFD23" s="407"/>
      <c r="KFE23" s="407"/>
      <c r="KFF23" s="407"/>
      <c r="KFG23" s="407"/>
      <c r="KFH23" s="407"/>
      <c r="KFI23" s="407"/>
      <c r="KFJ23" s="407"/>
      <c r="KFK23" s="407"/>
      <c r="KFL23" s="407"/>
      <c r="KFM23" s="407"/>
      <c r="KFN23" s="407"/>
      <c r="KFO23" s="407"/>
      <c r="KFP23" s="407"/>
      <c r="KFQ23" s="407"/>
      <c r="KFR23" s="407"/>
      <c r="KFS23" s="407"/>
      <c r="KFT23" s="407"/>
      <c r="KFU23" s="407"/>
      <c r="KFV23" s="407"/>
      <c r="KFW23" s="407"/>
      <c r="KFX23" s="407"/>
      <c r="KFY23" s="407"/>
      <c r="KFZ23" s="407"/>
      <c r="KGA23" s="407"/>
      <c r="KGB23" s="407"/>
      <c r="KGC23" s="407"/>
      <c r="KGD23" s="407"/>
      <c r="KGE23" s="407"/>
      <c r="KGF23" s="407"/>
      <c r="KGG23" s="407"/>
      <c r="KGH23" s="407"/>
      <c r="KGI23" s="407"/>
      <c r="KGJ23" s="407"/>
      <c r="KGK23" s="407"/>
      <c r="KGL23" s="407"/>
      <c r="KGM23" s="407"/>
      <c r="KGN23" s="407"/>
      <c r="KGO23" s="407"/>
      <c r="KGP23" s="407"/>
      <c r="KGQ23" s="407"/>
      <c r="KGR23" s="407"/>
      <c r="KGS23" s="407"/>
      <c r="KGT23" s="407"/>
      <c r="KGU23" s="407"/>
      <c r="KGV23" s="407"/>
      <c r="KGW23" s="407"/>
      <c r="KGX23" s="407"/>
      <c r="KGY23" s="407"/>
      <c r="KGZ23" s="407"/>
      <c r="KHA23" s="407"/>
      <c r="KHB23" s="407"/>
      <c r="KHC23" s="407"/>
      <c r="KHD23" s="407"/>
      <c r="KHE23" s="407"/>
      <c r="KHF23" s="407"/>
      <c r="KHG23" s="407"/>
      <c r="KHH23" s="407"/>
      <c r="KHI23" s="407"/>
      <c r="KHJ23" s="407"/>
      <c r="KHK23" s="407"/>
      <c r="KHL23" s="407"/>
      <c r="KHM23" s="407"/>
      <c r="KHN23" s="407"/>
      <c r="KHO23" s="407"/>
      <c r="KHP23" s="407"/>
      <c r="KHQ23" s="407"/>
      <c r="KHR23" s="407"/>
      <c r="KHS23" s="407"/>
      <c r="KHT23" s="407"/>
      <c r="KHU23" s="407"/>
      <c r="KHV23" s="407"/>
      <c r="KHW23" s="407"/>
      <c r="KHX23" s="407"/>
      <c r="KHY23" s="407"/>
      <c r="KHZ23" s="407"/>
      <c r="KIA23" s="407"/>
      <c r="KIB23" s="407"/>
      <c r="KIC23" s="407"/>
      <c r="KID23" s="407"/>
      <c r="KIE23" s="407"/>
      <c r="KIF23" s="407"/>
      <c r="KIG23" s="407"/>
      <c r="KIH23" s="407"/>
      <c r="KII23" s="407"/>
      <c r="KIJ23" s="407"/>
      <c r="KIK23" s="407"/>
      <c r="KIL23" s="407"/>
      <c r="KIM23" s="407"/>
      <c r="KIN23" s="407"/>
      <c r="KIO23" s="407"/>
      <c r="KIP23" s="407"/>
      <c r="KIQ23" s="407"/>
      <c r="KIR23" s="407"/>
      <c r="KIS23" s="407"/>
      <c r="KIT23" s="407"/>
      <c r="KIU23" s="407"/>
      <c r="KIV23" s="407"/>
      <c r="KIW23" s="407"/>
      <c r="KIX23" s="407"/>
      <c r="KIY23" s="407"/>
      <c r="KIZ23" s="407"/>
      <c r="KJA23" s="407"/>
      <c r="KJB23" s="407"/>
      <c r="KJC23" s="407"/>
      <c r="KJD23" s="407"/>
      <c r="KJE23" s="407"/>
      <c r="KJF23" s="407"/>
      <c r="KJG23" s="407"/>
      <c r="KJH23" s="407"/>
      <c r="KJI23" s="407"/>
      <c r="KJJ23" s="407"/>
      <c r="KJK23" s="407"/>
      <c r="KJL23" s="407"/>
      <c r="KJM23" s="407"/>
      <c r="KJN23" s="407"/>
      <c r="KJO23" s="407"/>
      <c r="KJP23" s="407"/>
      <c r="KJQ23" s="407"/>
      <c r="KJR23" s="407"/>
      <c r="KJS23" s="407"/>
      <c r="KJT23" s="407"/>
      <c r="KJU23" s="407"/>
      <c r="KJV23" s="407"/>
      <c r="KJW23" s="407"/>
      <c r="KJX23" s="407"/>
      <c r="KJY23" s="407"/>
      <c r="KJZ23" s="407"/>
      <c r="KKA23" s="407"/>
      <c r="KKB23" s="407"/>
      <c r="KKC23" s="407"/>
      <c r="KKD23" s="407"/>
      <c r="KKE23" s="407"/>
      <c r="KKF23" s="407"/>
      <c r="KKG23" s="407"/>
      <c r="KKH23" s="407"/>
      <c r="KKI23" s="407"/>
      <c r="KKJ23" s="407"/>
      <c r="KKK23" s="407"/>
      <c r="KKL23" s="407"/>
      <c r="KKM23" s="407"/>
      <c r="KKN23" s="407"/>
      <c r="KKO23" s="407"/>
      <c r="KKP23" s="407"/>
      <c r="KKQ23" s="407"/>
      <c r="KKR23" s="407"/>
      <c r="KKS23" s="407"/>
      <c r="KKT23" s="407"/>
      <c r="KKU23" s="407"/>
      <c r="KKV23" s="407"/>
      <c r="KKW23" s="407"/>
      <c r="KKX23" s="407"/>
      <c r="KKY23" s="407"/>
      <c r="KKZ23" s="407"/>
      <c r="KLA23" s="407"/>
      <c r="KLB23" s="407"/>
      <c r="KLC23" s="407"/>
      <c r="KLD23" s="407"/>
      <c r="KLE23" s="407"/>
      <c r="KLF23" s="407"/>
      <c r="KLG23" s="407"/>
      <c r="KLH23" s="407"/>
      <c r="KLI23" s="407"/>
      <c r="KLJ23" s="407"/>
      <c r="KLK23" s="407"/>
      <c r="KLL23" s="407"/>
      <c r="KLM23" s="407"/>
      <c r="KLN23" s="407"/>
      <c r="KLO23" s="407"/>
      <c r="KLP23" s="407"/>
      <c r="KLQ23" s="407"/>
      <c r="KLR23" s="407"/>
      <c r="KLS23" s="407"/>
      <c r="KLT23" s="407"/>
      <c r="KLU23" s="407"/>
      <c r="KLV23" s="407"/>
      <c r="KLW23" s="407"/>
      <c r="KLX23" s="407"/>
      <c r="KLY23" s="407"/>
      <c r="KLZ23" s="407"/>
      <c r="KMA23" s="407"/>
      <c r="KMB23" s="407"/>
      <c r="KMC23" s="407"/>
      <c r="KMD23" s="407"/>
      <c r="KME23" s="407"/>
      <c r="KMF23" s="407"/>
      <c r="KMG23" s="407"/>
      <c r="KMH23" s="407"/>
      <c r="KMI23" s="407"/>
      <c r="KMJ23" s="407"/>
      <c r="KMK23" s="407"/>
      <c r="KML23" s="407"/>
      <c r="KMM23" s="407"/>
      <c r="KMN23" s="407"/>
      <c r="KMO23" s="407"/>
      <c r="KMP23" s="407"/>
      <c r="KMQ23" s="407"/>
      <c r="KMR23" s="407"/>
      <c r="KMS23" s="407"/>
      <c r="KMT23" s="407"/>
      <c r="KMU23" s="407"/>
      <c r="KMV23" s="407"/>
      <c r="KMW23" s="407"/>
      <c r="KMX23" s="407"/>
      <c r="KMY23" s="407"/>
      <c r="KMZ23" s="407"/>
      <c r="KNA23" s="407"/>
      <c r="KNB23" s="407"/>
      <c r="KNC23" s="407"/>
      <c r="KND23" s="407"/>
      <c r="KNE23" s="407"/>
      <c r="KNF23" s="407"/>
      <c r="KNG23" s="407"/>
      <c r="KNH23" s="407"/>
      <c r="KNI23" s="407"/>
      <c r="KNJ23" s="407"/>
      <c r="KNK23" s="407"/>
      <c r="KNL23" s="407"/>
      <c r="KNM23" s="407"/>
      <c r="KNN23" s="407"/>
      <c r="KNO23" s="407"/>
      <c r="KNP23" s="407"/>
      <c r="KNQ23" s="407"/>
      <c r="KNR23" s="407"/>
      <c r="KNS23" s="407"/>
      <c r="KNT23" s="407"/>
      <c r="KNU23" s="407"/>
      <c r="KNV23" s="407"/>
      <c r="KNW23" s="407"/>
      <c r="KNX23" s="407"/>
      <c r="KNY23" s="407"/>
      <c r="KNZ23" s="407"/>
      <c r="KOA23" s="407"/>
      <c r="KOB23" s="407"/>
      <c r="KOC23" s="407"/>
      <c r="KOD23" s="407"/>
      <c r="KOE23" s="407"/>
      <c r="KOF23" s="407"/>
      <c r="KOG23" s="407"/>
      <c r="KOH23" s="407"/>
      <c r="KOI23" s="407"/>
      <c r="KOJ23" s="407"/>
      <c r="KOK23" s="407"/>
      <c r="KOL23" s="407"/>
      <c r="KOM23" s="407"/>
      <c r="KON23" s="407"/>
      <c r="KOO23" s="407"/>
      <c r="KOP23" s="407"/>
      <c r="KOQ23" s="407"/>
      <c r="KOR23" s="407"/>
      <c r="KOS23" s="407"/>
      <c r="KOT23" s="407"/>
      <c r="KOU23" s="407"/>
      <c r="KOV23" s="407"/>
      <c r="KOW23" s="407"/>
      <c r="KOX23" s="407"/>
      <c r="KOY23" s="407"/>
      <c r="KOZ23" s="407"/>
      <c r="KPA23" s="407"/>
      <c r="KPB23" s="407"/>
      <c r="KPC23" s="407"/>
      <c r="KPD23" s="407"/>
      <c r="KPE23" s="407"/>
      <c r="KPF23" s="407"/>
      <c r="KPG23" s="407"/>
      <c r="KPH23" s="407"/>
      <c r="KPI23" s="407"/>
      <c r="KPJ23" s="407"/>
      <c r="KPK23" s="407"/>
      <c r="KPL23" s="407"/>
      <c r="KPM23" s="407"/>
      <c r="KPN23" s="407"/>
      <c r="KPO23" s="407"/>
      <c r="KPP23" s="407"/>
      <c r="KPQ23" s="407"/>
      <c r="KPR23" s="407"/>
      <c r="KPS23" s="407"/>
      <c r="KPT23" s="407"/>
      <c r="KPU23" s="407"/>
      <c r="KPV23" s="407"/>
      <c r="KPW23" s="407"/>
      <c r="KPX23" s="407"/>
      <c r="KPY23" s="407"/>
      <c r="KPZ23" s="407"/>
      <c r="KQA23" s="407"/>
      <c r="KQB23" s="407"/>
      <c r="KQC23" s="407"/>
      <c r="KQD23" s="407"/>
      <c r="KQE23" s="407"/>
      <c r="KQF23" s="407"/>
      <c r="KQG23" s="407"/>
      <c r="KQH23" s="407"/>
      <c r="KQI23" s="407"/>
      <c r="KQJ23" s="407"/>
      <c r="KQK23" s="407"/>
      <c r="KQL23" s="407"/>
      <c r="KQM23" s="407"/>
      <c r="KQN23" s="407"/>
      <c r="KQO23" s="407"/>
      <c r="KQP23" s="407"/>
      <c r="KQQ23" s="407"/>
      <c r="KQR23" s="407"/>
      <c r="KQS23" s="407"/>
      <c r="KQT23" s="407"/>
      <c r="KQU23" s="407"/>
      <c r="KQV23" s="407"/>
      <c r="KQW23" s="407"/>
      <c r="KQX23" s="407"/>
      <c r="KQY23" s="407"/>
      <c r="KQZ23" s="407"/>
      <c r="KRA23" s="407"/>
      <c r="KRB23" s="407"/>
      <c r="KRC23" s="407"/>
      <c r="KRD23" s="407"/>
      <c r="KRE23" s="407"/>
      <c r="KRF23" s="407"/>
      <c r="KRG23" s="407"/>
      <c r="KRH23" s="407"/>
      <c r="KRI23" s="407"/>
      <c r="KRJ23" s="407"/>
      <c r="KRK23" s="407"/>
      <c r="KRL23" s="407"/>
      <c r="KRM23" s="407"/>
      <c r="KRN23" s="407"/>
      <c r="KRO23" s="407"/>
      <c r="KRP23" s="407"/>
      <c r="KRQ23" s="407"/>
      <c r="KRR23" s="407"/>
      <c r="KRS23" s="407"/>
      <c r="KRT23" s="407"/>
      <c r="KRU23" s="407"/>
      <c r="KRV23" s="407"/>
      <c r="KRW23" s="407"/>
      <c r="KRX23" s="407"/>
      <c r="KRY23" s="407"/>
      <c r="KRZ23" s="407"/>
      <c r="KSA23" s="407"/>
      <c r="KSB23" s="407"/>
      <c r="KSC23" s="407"/>
      <c r="KSD23" s="407"/>
      <c r="KSE23" s="407"/>
      <c r="KSF23" s="407"/>
      <c r="KSG23" s="407"/>
      <c r="KSH23" s="407"/>
      <c r="KSI23" s="407"/>
      <c r="KSJ23" s="407"/>
      <c r="KSK23" s="407"/>
      <c r="KSL23" s="407"/>
      <c r="KSM23" s="407"/>
      <c r="KSN23" s="407"/>
      <c r="KSO23" s="407"/>
      <c r="KSP23" s="407"/>
      <c r="KSQ23" s="407"/>
      <c r="KSR23" s="407"/>
      <c r="KSS23" s="407"/>
      <c r="KST23" s="407"/>
      <c r="KSU23" s="407"/>
      <c r="KSV23" s="407"/>
      <c r="KSW23" s="407"/>
      <c r="KSX23" s="407"/>
      <c r="KSY23" s="407"/>
      <c r="KSZ23" s="407"/>
      <c r="KTA23" s="407"/>
      <c r="KTB23" s="407"/>
      <c r="KTC23" s="407"/>
      <c r="KTD23" s="407"/>
      <c r="KTE23" s="407"/>
      <c r="KTF23" s="407"/>
      <c r="KTG23" s="407"/>
      <c r="KTH23" s="407"/>
      <c r="KTI23" s="407"/>
      <c r="KTJ23" s="407"/>
      <c r="KTK23" s="407"/>
      <c r="KTL23" s="407"/>
      <c r="KTM23" s="407"/>
      <c r="KTN23" s="407"/>
      <c r="KTO23" s="407"/>
      <c r="KTP23" s="407"/>
      <c r="KTQ23" s="407"/>
      <c r="KTR23" s="407"/>
      <c r="KTS23" s="407"/>
      <c r="KTT23" s="407"/>
      <c r="KTU23" s="407"/>
      <c r="KTV23" s="407"/>
      <c r="KTW23" s="407"/>
      <c r="KTX23" s="407"/>
      <c r="KTY23" s="407"/>
      <c r="KTZ23" s="407"/>
      <c r="KUA23" s="407"/>
      <c r="KUB23" s="407"/>
      <c r="KUC23" s="407"/>
      <c r="KUD23" s="407"/>
      <c r="KUE23" s="407"/>
      <c r="KUF23" s="407"/>
      <c r="KUG23" s="407"/>
      <c r="KUH23" s="407"/>
      <c r="KUI23" s="407"/>
      <c r="KUJ23" s="407"/>
      <c r="KUK23" s="407"/>
      <c r="KUL23" s="407"/>
      <c r="KUM23" s="407"/>
      <c r="KUN23" s="407"/>
      <c r="KUO23" s="407"/>
      <c r="KUP23" s="407"/>
      <c r="KUQ23" s="407"/>
      <c r="KUR23" s="407"/>
      <c r="KUS23" s="407"/>
      <c r="KUT23" s="407"/>
      <c r="KUU23" s="407"/>
      <c r="KUV23" s="407"/>
      <c r="KUW23" s="407"/>
      <c r="KUX23" s="407"/>
      <c r="KUY23" s="407"/>
      <c r="KUZ23" s="407"/>
      <c r="KVA23" s="407"/>
      <c r="KVB23" s="407"/>
      <c r="KVC23" s="407"/>
      <c r="KVD23" s="407"/>
      <c r="KVE23" s="407"/>
      <c r="KVF23" s="407"/>
      <c r="KVG23" s="407"/>
      <c r="KVH23" s="407"/>
      <c r="KVI23" s="407"/>
      <c r="KVJ23" s="407"/>
      <c r="KVK23" s="407"/>
      <c r="KVL23" s="407"/>
      <c r="KVM23" s="407"/>
      <c r="KVN23" s="407"/>
      <c r="KVO23" s="407"/>
      <c r="KVP23" s="407"/>
      <c r="KVQ23" s="407"/>
      <c r="KVR23" s="407"/>
      <c r="KVS23" s="407"/>
      <c r="KVT23" s="407"/>
      <c r="KVU23" s="407"/>
      <c r="KVV23" s="407"/>
      <c r="KVW23" s="407"/>
      <c r="KVX23" s="407"/>
      <c r="KVY23" s="407"/>
      <c r="KVZ23" s="407"/>
      <c r="KWA23" s="407"/>
      <c r="KWB23" s="407"/>
      <c r="KWC23" s="407"/>
      <c r="KWD23" s="407"/>
      <c r="KWE23" s="407"/>
      <c r="KWF23" s="407"/>
      <c r="KWG23" s="407"/>
      <c r="KWH23" s="407"/>
      <c r="KWI23" s="407"/>
      <c r="KWJ23" s="407"/>
      <c r="KWK23" s="407"/>
      <c r="KWL23" s="407"/>
      <c r="KWM23" s="407"/>
      <c r="KWN23" s="407"/>
      <c r="KWO23" s="407"/>
      <c r="KWP23" s="407"/>
      <c r="KWQ23" s="407"/>
      <c r="KWR23" s="407"/>
      <c r="KWS23" s="407"/>
      <c r="KWT23" s="407"/>
      <c r="KWU23" s="407"/>
      <c r="KWV23" s="407"/>
      <c r="KWW23" s="407"/>
      <c r="KWX23" s="407"/>
      <c r="KWY23" s="407"/>
      <c r="KWZ23" s="407"/>
      <c r="KXA23" s="407"/>
      <c r="KXB23" s="407"/>
      <c r="KXC23" s="407"/>
      <c r="KXD23" s="407"/>
      <c r="KXE23" s="407"/>
      <c r="KXF23" s="407"/>
      <c r="KXG23" s="407"/>
      <c r="KXH23" s="407"/>
      <c r="KXI23" s="407"/>
      <c r="KXJ23" s="407"/>
      <c r="KXK23" s="407"/>
      <c r="KXL23" s="407"/>
      <c r="KXM23" s="407"/>
      <c r="KXN23" s="407"/>
      <c r="KXO23" s="407"/>
      <c r="KXP23" s="407"/>
      <c r="KXQ23" s="407"/>
      <c r="KXR23" s="407"/>
      <c r="KXS23" s="407"/>
      <c r="KXT23" s="407"/>
      <c r="KXU23" s="407"/>
      <c r="KXV23" s="407"/>
      <c r="KXW23" s="407"/>
      <c r="KXX23" s="407"/>
      <c r="KXY23" s="407"/>
      <c r="KXZ23" s="407"/>
      <c r="KYA23" s="407"/>
      <c r="KYB23" s="407"/>
      <c r="KYC23" s="407"/>
      <c r="KYD23" s="407"/>
      <c r="KYE23" s="407"/>
      <c r="KYF23" s="407"/>
      <c r="KYG23" s="407"/>
      <c r="KYH23" s="407"/>
      <c r="KYI23" s="407"/>
      <c r="KYJ23" s="407"/>
      <c r="KYK23" s="407"/>
      <c r="KYL23" s="407"/>
      <c r="KYM23" s="407"/>
      <c r="KYN23" s="407"/>
      <c r="KYO23" s="407"/>
      <c r="KYP23" s="407"/>
      <c r="KYQ23" s="407"/>
      <c r="KYR23" s="407"/>
      <c r="KYS23" s="407"/>
      <c r="KYT23" s="407"/>
      <c r="KYU23" s="407"/>
      <c r="KYV23" s="407"/>
      <c r="KYW23" s="407"/>
      <c r="KYX23" s="407"/>
      <c r="KYY23" s="407"/>
      <c r="KYZ23" s="407"/>
      <c r="KZA23" s="407"/>
      <c r="KZB23" s="407"/>
      <c r="KZC23" s="407"/>
      <c r="KZD23" s="407"/>
      <c r="KZE23" s="407"/>
      <c r="KZF23" s="407"/>
      <c r="KZG23" s="407"/>
      <c r="KZH23" s="407"/>
      <c r="KZI23" s="407"/>
      <c r="KZJ23" s="407"/>
      <c r="KZK23" s="407"/>
      <c r="KZL23" s="407"/>
      <c r="KZM23" s="407"/>
      <c r="KZN23" s="407"/>
      <c r="KZO23" s="407"/>
      <c r="KZP23" s="407"/>
      <c r="KZQ23" s="407"/>
      <c r="KZR23" s="407"/>
      <c r="KZS23" s="407"/>
      <c r="KZT23" s="407"/>
      <c r="KZU23" s="407"/>
      <c r="KZV23" s="407"/>
      <c r="KZW23" s="407"/>
      <c r="KZX23" s="407"/>
      <c r="KZY23" s="407"/>
      <c r="KZZ23" s="407"/>
      <c r="LAA23" s="407"/>
      <c r="LAB23" s="407"/>
      <c r="LAC23" s="407"/>
      <c r="LAD23" s="407"/>
      <c r="LAE23" s="407"/>
      <c r="LAF23" s="407"/>
      <c r="LAG23" s="407"/>
      <c r="LAH23" s="407"/>
      <c r="LAI23" s="407"/>
      <c r="LAJ23" s="407"/>
      <c r="LAK23" s="407"/>
      <c r="LAL23" s="407"/>
      <c r="LAM23" s="407"/>
      <c r="LAN23" s="407"/>
      <c r="LAO23" s="407"/>
      <c r="LAP23" s="407"/>
      <c r="LAQ23" s="407"/>
      <c r="LAR23" s="407"/>
      <c r="LAS23" s="407"/>
      <c r="LAT23" s="407"/>
      <c r="LAU23" s="407"/>
      <c r="LAV23" s="407"/>
      <c r="LAW23" s="407"/>
      <c r="LAX23" s="407"/>
      <c r="LAY23" s="407"/>
      <c r="LAZ23" s="407"/>
      <c r="LBA23" s="407"/>
      <c r="LBB23" s="407"/>
      <c r="LBC23" s="407"/>
      <c r="LBD23" s="407"/>
      <c r="LBE23" s="407"/>
      <c r="LBF23" s="407"/>
      <c r="LBG23" s="407"/>
      <c r="LBH23" s="407"/>
      <c r="LBI23" s="407"/>
      <c r="LBJ23" s="407"/>
      <c r="LBK23" s="407"/>
      <c r="LBL23" s="407"/>
      <c r="LBM23" s="407"/>
      <c r="LBN23" s="407"/>
      <c r="LBO23" s="407"/>
      <c r="LBP23" s="407"/>
      <c r="LBQ23" s="407"/>
      <c r="LBR23" s="407"/>
      <c r="LBS23" s="407"/>
      <c r="LBT23" s="407"/>
      <c r="LBU23" s="407"/>
      <c r="LBV23" s="407"/>
      <c r="LBW23" s="407"/>
      <c r="LBX23" s="407"/>
      <c r="LBY23" s="407"/>
      <c r="LBZ23" s="407"/>
      <c r="LCA23" s="407"/>
      <c r="LCB23" s="407"/>
      <c r="LCC23" s="407"/>
      <c r="LCD23" s="407"/>
      <c r="LCE23" s="407"/>
      <c r="LCF23" s="407"/>
      <c r="LCG23" s="407"/>
      <c r="LCH23" s="407"/>
      <c r="LCI23" s="407"/>
      <c r="LCJ23" s="407"/>
      <c r="LCK23" s="407"/>
      <c r="LCL23" s="407"/>
      <c r="LCM23" s="407"/>
      <c r="LCN23" s="407"/>
      <c r="LCO23" s="407"/>
      <c r="LCP23" s="407"/>
      <c r="LCQ23" s="407"/>
      <c r="LCR23" s="407"/>
      <c r="LCS23" s="407"/>
      <c r="LCT23" s="407"/>
      <c r="LCU23" s="407"/>
      <c r="LCV23" s="407"/>
      <c r="LCW23" s="407"/>
      <c r="LCX23" s="407"/>
      <c r="LCY23" s="407"/>
      <c r="LCZ23" s="407"/>
      <c r="LDA23" s="407"/>
      <c r="LDB23" s="407"/>
      <c r="LDC23" s="407"/>
      <c r="LDD23" s="407"/>
      <c r="LDE23" s="407"/>
      <c r="LDF23" s="407"/>
      <c r="LDG23" s="407"/>
      <c r="LDH23" s="407"/>
      <c r="LDI23" s="407"/>
      <c r="LDJ23" s="407"/>
      <c r="LDK23" s="407"/>
      <c r="LDL23" s="407"/>
      <c r="LDM23" s="407"/>
      <c r="LDN23" s="407"/>
      <c r="LDO23" s="407"/>
      <c r="LDP23" s="407"/>
      <c r="LDQ23" s="407"/>
      <c r="LDR23" s="407"/>
      <c r="LDS23" s="407"/>
      <c r="LDT23" s="407"/>
      <c r="LDU23" s="407"/>
      <c r="LDV23" s="407"/>
      <c r="LDW23" s="407"/>
      <c r="LDX23" s="407"/>
      <c r="LDY23" s="407"/>
      <c r="LDZ23" s="407"/>
      <c r="LEA23" s="407"/>
      <c r="LEB23" s="407"/>
      <c r="LEC23" s="407"/>
      <c r="LED23" s="407"/>
      <c r="LEE23" s="407"/>
      <c r="LEF23" s="407"/>
      <c r="LEG23" s="407"/>
      <c r="LEH23" s="407"/>
      <c r="LEI23" s="407"/>
      <c r="LEJ23" s="407"/>
      <c r="LEK23" s="407"/>
      <c r="LEL23" s="407"/>
      <c r="LEM23" s="407"/>
      <c r="LEN23" s="407"/>
      <c r="LEO23" s="407"/>
      <c r="LEP23" s="407"/>
      <c r="LEQ23" s="407"/>
      <c r="LER23" s="407"/>
      <c r="LES23" s="407"/>
      <c r="LET23" s="407"/>
      <c r="LEU23" s="407"/>
      <c r="LEV23" s="407"/>
      <c r="LEW23" s="407"/>
      <c r="LEX23" s="407"/>
      <c r="LEY23" s="407"/>
      <c r="LEZ23" s="407"/>
      <c r="LFA23" s="407"/>
      <c r="LFB23" s="407"/>
      <c r="LFC23" s="407"/>
      <c r="LFD23" s="407"/>
      <c r="LFE23" s="407"/>
      <c r="LFF23" s="407"/>
      <c r="LFG23" s="407"/>
      <c r="LFH23" s="407"/>
      <c r="LFI23" s="407"/>
      <c r="LFJ23" s="407"/>
      <c r="LFK23" s="407"/>
      <c r="LFL23" s="407"/>
      <c r="LFM23" s="407"/>
      <c r="LFN23" s="407"/>
      <c r="LFO23" s="407"/>
      <c r="LFP23" s="407"/>
      <c r="LFQ23" s="407"/>
      <c r="LFR23" s="407"/>
      <c r="LFS23" s="407"/>
      <c r="LFT23" s="407"/>
      <c r="LFU23" s="407"/>
      <c r="LFV23" s="407"/>
      <c r="LFW23" s="407"/>
      <c r="LFX23" s="407"/>
      <c r="LFY23" s="407"/>
      <c r="LFZ23" s="407"/>
      <c r="LGA23" s="407"/>
      <c r="LGB23" s="407"/>
      <c r="LGC23" s="407"/>
      <c r="LGD23" s="407"/>
      <c r="LGE23" s="407"/>
      <c r="LGF23" s="407"/>
      <c r="LGG23" s="407"/>
      <c r="LGH23" s="407"/>
      <c r="LGI23" s="407"/>
      <c r="LGJ23" s="407"/>
      <c r="LGK23" s="407"/>
      <c r="LGL23" s="407"/>
      <c r="LGM23" s="407"/>
      <c r="LGN23" s="407"/>
      <c r="LGO23" s="407"/>
      <c r="LGP23" s="407"/>
      <c r="LGQ23" s="407"/>
      <c r="LGR23" s="407"/>
      <c r="LGS23" s="407"/>
      <c r="LGT23" s="407"/>
      <c r="LGU23" s="407"/>
      <c r="LGV23" s="407"/>
      <c r="LGW23" s="407"/>
      <c r="LGX23" s="407"/>
      <c r="LGY23" s="407"/>
      <c r="LGZ23" s="407"/>
      <c r="LHA23" s="407"/>
      <c r="LHB23" s="407"/>
      <c r="LHC23" s="407"/>
      <c r="LHD23" s="407"/>
      <c r="LHE23" s="407"/>
      <c r="LHF23" s="407"/>
      <c r="LHG23" s="407"/>
      <c r="LHH23" s="407"/>
      <c r="LHI23" s="407"/>
      <c r="LHJ23" s="407"/>
      <c r="LHK23" s="407"/>
      <c r="LHL23" s="407"/>
      <c r="LHM23" s="407"/>
      <c r="LHN23" s="407"/>
      <c r="LHO23" s="407"/>
      <c r="LHP23" s="407"/>
      <c r="LHQ23" s="407"/>
      <c r="LHR23" s="407"/>
      <c r="LHS23" s="407"/>
      <c r="LHT23" s="407"/>
      <c r="LHU23" s="407"/>
      <c r="LHV23" s="407"/>
      <c r="LHW23" s="407"/>
      <c r="LHX23" s="407"/>
      <c r="LHY23" s="407"/>
      <c r="LHZ23" s="407"/>
      <c r="LIA23" s="407"/>
      <c r="LIB23" s="407"/>
      <c r="LIC23" s="407"/>
      <c r="LID23" s="407"/>
      <c r="LIE23" s="407"/>
      <c r="LIF23" s="407"/>
      <c r="LIG23" s="407"/>
      <c r="LIH23" s="407"/>
      <c r="LII23" s="407"/>
      <c r="LIJ23" s="407"/>
      <c r="LIK23" s="407"/>
      <c r="LIL23" s="407"/>
      <c r="LIM23" s="407"/>
      <c r="LIN23" s="407"/>
      <c r="LIO23" s="407"/>
      <c r="LIP23" s="407"/>
      <c r="LIQ23" s="407"/>
      <c r="LIR23" s="407"/>
      <c r="LIS23" s="407"/>
      <c r="LIT23" s="407"/>
      <c r="LIU23" s="407"/>
      <c r="LIV23" s="407"/>
      <c r="LIW23" s="407"/>
      <c r="LIX23" s="407"/>
      <c r="LIY23" s="407"/>
      <c r="LIZ23" s="407"/>
      <c r="LJA23" s="407"/>
      <c r="LJB23" s="407"/>
      <c r="LJC23" s="407"/>
      <c r="LJD23" s="407"/>
      <c r="LJE23" s="407"/>
      <c r="LJF23" s="407"/>
      <c r="LJG23" s="407"/>
      <c r="LJH23" s="407"/>
      <c r="LJI23" s="407"/>
      <c r="LJJ23" s="407"/>
      <c r="LJK23" s="407"/>
      <c r="LJL23" s="407"/>
      <c r="LJM23" s="407"/>
      <c r="LJN23" s="407"/>
      <c r="LJO23" s="407"/>
      <c r="LJP23" s="407"/>
      <c r="LJQ23" s="407"/>
      <c r="LJR23" s="407"/>
      <c r="LJS23" s="407"/>
      <c r="LJT23" s="407"/>
      <c r="LJU23" s="407"/>
      <c r="LJV23" s="407"/>
      <c r="LJW23" s="407"/>
      <c r="LJX23" s="407"/>
      <c r="LJY23" s="407"/>
      <c r="LJZ23" s="407"/>
      <c r="LKA23" s="407"/>
      <c r="LKB23" s="407"/>
      <c r="LKC23" s="407"/>
      <c r="LKD23" s="407"/>
      <c r="LKE23" s="407"/>
      <c r="LKF23" s="407"/>
      <c r="LKG23" s="407"/>
      <c r="LKH23" s="407"/>
      <c r="LKI23" s="407"/>
      <c r="LKJ23" s="407"/>
      <c r="LKK23" s="407"/>
      <c r="LKL23" s="407"/>
      <c r="LKM23" s="407"/>
      <c r="LKN23" s="407"/>
      <c r="LKO23" s="407"/>
      <c r="LKP23" s="407"/>
      <c r="LKQ23" s="407"/>
      <c r="LKR23" s="407"/>
      <c r="LKS23" s="407"/>
      <c r="LKT23" s="407"/>
      <c r="LKU23" s="407"/>
      <c r="LKV23" s="407"/>
      <c r="LKW23" s="407"/>
      <c r="LKX23" s="407"/>
      <c r="LKY23" s="407"/>
      <c r="LKZ23" s="407"/>
      <c r="LLA23" s="407"/>
      <c r="LLB23" s="407"/>
      <c r="LLC23" s="407"/>
      <c r="LLD23" s="407"/>
      <c r="LLE23" s="407"/>
      <c r="LLF23" s="407"/>
      <c r="LLG23" s="407"/>
      <c r="LLH23" s="407"/>
      <c r="LLI23" s="407"/>
      <c r="LLJ23" s="407"/>
      <c r="LLK23" s="407"/>
      <c r="LLL23" s="407"/>
      <c r="LLM23" s="407"/>
      <c r="LLN23" s="407"/>
      <c r="LLO23" s="407"/>
      <c r="LLP23" s="407"/>
      <c r="LLQ23" s="407"/>
      <c r="LLR23" s="407"/>
      <c r="LLS23" s="407"/>
      <c r="LLT23" s="407"/>
      <c r="LLU23" s="407"/>
      <c r="LLV23" s="407"/>
      <c r="LLW23" s="407"/>
      <c r="LLX23" s="407"/>
      <c r="LLY23" s="407"/>
      <c r="LLZ23" s="407"/>
      <c r="LMA23" s="407"/>
      <c r="LMB23" s="407"/>
      <c r="LMC23" s="407"/>
      <c r="LMD23" s="407"/>
      <c r="LME23" s="407"/>
      <c r="LMF23" s="407"/>
      <c r="LMG23" s="407"/>
      <c r="LMH23" s="407"/>
      <c r="LMI23" s="407"/>
      <c r="LMJ23" s="407"/>
      <c r="LMK23" s="407"/>
      <c r="LML23" s="407"/>
      <c r="LMM23" s="407"/>
      <c r="LMN23" s="407"/>
      <c r="LMO23" s="407"/>
      <c r="LMP23" s="407"/>
      <c r="LMQ23" s="407"/>
      <c r="LMR23" s="407"/>
      <c r="LMS23" s="407"/>
      <c r="LMT23" s="407"/>
      <c r="LMU23" s="407"/>
      <c r="LMV23" s="407"/>
      <c r="LMW23" s="407"/>
      <c r="LMX23" s="407"/>
      <c r="LMY23" s="407"/>
      <c r="LMZ23" s="407"/>
      <c r="LNA23" s="407"/>
      <c r="LNB23" s="407"/>
      <c r="LNC23" s="407"/>
      <c r="LND23" s="407"/>
      <c r="LNE23" s="407"/>
      <c r="LNF23" s="407"/>
      <c r="LNG23" s="407"/>
      <c r="LNH23" s="407"/>
      <c r="LNI23" s="407"/>
      <c r="LNJ23" s="407"/>
      <c r="LNK23" s="407"/>
      <c r="LNL23" s="407"/>
      <c r="LNM23" s="407"/>
      <c r="LNN23" s="407"/>
      <c r="LNO23" s="407"/>
      <c r="LNP23" s="407"/>
      <c r="LNQ23" s="407"/>
      <c r="LNR23" s="407"/>
      <c r="LNS23" s="407"/>
      <c r="LNT23" s="407"/>
      <c r="LNU23" s="407"/>
      <c r="LNV23" s="407"/>
      <c r="LNW23" s="407"/>
      <c r="LNX23" s="407"/>
      <c r="LNY23" s="407"/>
      <c r="LNZ23" s="407"/>
      <c r="LOA23" s="407"/>
      <c r="LOB23" s="407"/>
      <c r="LOC23" s="407"/>
      <c r="LOD23" s="407"/>
      <c r="LOE23" s="407"/>
      <c r="LOF23" s="407"/>
      <c r="LOG23" s="407"/>
      <c r="LOH23" s="407"/>
      <c r="LOI23" s="407"/>
      <c r="LOJ23" s="407"/>
      <c r="LOK23" s="407"/>
      <c r="LOL23" s="407"/>
      <c r="LOM23" s="407"/>
      <c r="LON23" s="407"/>
      <c r="LOO23" s="407"/>
      <c r="LOP23" s="407"/>
      <c r="LOQ23" s="407"/>
      <c r="LOR23" s="407"/>
      <c r="LOS23" s="407"/>
      <c r="LOT23" s="407"/>
      <c r="LOU23" s="407"/>
      <c r="LOV23" s="407"/>
      <c r="LOW23" s="407"/>
      <c r="LOX23" s="407"/>
      <c r="LOY23" s="407"/>
      <c r="LOZ23" s="407"/>
      <c r="LPA23" s="407"/>
      <c r="LPB23" s="407"/>
      <c r="LPC23" s="407"/>
      <c r="LPD23" s="407"/>
      <c r="LPE23" s="407"/>
      <c r="LPF23" s="407"/>
      <c r="LPG23" s="407"/>
      <c r="LPH23" s="407"/>
      <c r="LPI23" s="407"/>
      <c r="LPJ23" s="407"/>
      <c r="LPK23" s="407"/>
      <c r="LPL23" s="407"/>
      <c r="LPM23" s="407"/>
      <c r="LPN23" s="407"/>
      <c r="LPO23" s="407"/>
      <c r="LPP23" s="407"/>
      <c r="LPQ23" s="407"/>
      <c r="LPR23" s="407"/>
      <c r="LPS23" s="407"/>
      <c r="LPT23" s="407"/>
      <c r="LPU23" s="407"/>
      <c r="LPV23" s="407"/>
      <c r="LPW23" s="407"/>
      <c r="LPX23" s="407"/>
      <c r="LPY23" s="407"/>
      <c r="LPZ23" s="407"/>
      <c r="LQA23" s="407"/>
      <c r="LQB23" s="407"/>
      <c r="LQC23" s="407"/>
      <c r="LQD23" s="407"/>
      <c r="LQE23" s="407"/>
      <c r="LQF23" s="407"/>
      <c r="LQG23" s="407"/>
      <c r="LQH23" s="407"/>
      <c r="LQI23" s="407"/>
      <c r="LQJ23" s="407"/>
      <c r="LQK23" s="407"/>
      <c r="LQL23" s="407"/>
      <c r="LQM23" s="407"/>
      <c r="LQN23" s="407"/>
      <c r="LQO23" s="407"/>
      <c r="LQP23" s="407"/>
      <c r="LQQ23" s="407"/>
      <c r="LQR23" s="407"/>
      <c r="LQS23" s="407"/>
      <c r="LQT23" s="407"/>
      <c r="LQU23" s="407"/>
      <c r="LQV23" s="407"/>
      <c r="LQW23" s="407"/>
      <c r="LQX23" s="407"/>
      <c r="LQY23" s="407"/>
      <c r="LQZ23" s="407"/>
      <c r="LRA23" s="407"/>
      <c r="LRB23" s="407"/>
      <c r="LRC23" s="407"/>
      <c r="LRD23" s="407"/>
      <c r="LRE23" s="407"/>
      <c r="LRF23" s="407"/>
      <c r="LRG23" s="407"/>
      <c r="LRH23" s="407"/>
      <c r="LRI23" s="407"/>
      <c r="LRJ23" s="407"/>
      <c r="LRK23" s="407"/>
      <c r="LRL23" s="407"/>
      <c r="LRM23" s="407"/>
      <c r="LRN23" s="407"/>
      <c r="LRO23" s="407"/>
      <c r="LRP23" s="407"/>
      <c r="LRQ23" s="407"/>
      <c r="LRR23" s="407"/>
      <c r="LRS23" s="407"/>
      <c r="LRT23" s="407"/>
      <c r="LRU23" s="407"/>
      <c r="LRV23" s="407"/>
      <c r="LRW23" s="407"/>
      <c r="LRX23" s="407"/>
      <c r="LRY23" s="407"/>
      <c r="LRZ23" s="407"/>
      <c r="LSA23" s="407"/>
      <c r="LSB23" s="407"/>
      <c r="LSC23" s="407"/>
      <c r="LSD23" s="407"/>
      <c r="LSE23" s="407"/>
      <c r="LSF23" s="407"/>
      <c r="LSG23" s="407"/>
      <c r="LSH23" s="407"/>
      <c r="LSI23" s="407"/>
      <c r="LSJ23" s="407"/>
      <c r="LSK23" s="407"/>
      <c r="LSL23" s="407"/>
      <c r="LSM23" s="407"/>
      <c r="LSN23" s="407"/>
      <c r="LSO23" s="407"/>
      <c r="LSP23" s="407"/>
      <c r="LSQ23" s="407"/>
      <c r="LSR23" s="407"/>
      <c r="LSS23" s="407"/>
      <c r="LST23" s="407"/>
      <c r="LSU23" s="407"/>
      <c r="LSV23" s="407"/>
      <c r="LSW23" s="407"/>
      <c r="LSX23" s="407"/>
      <c r="LSY23" s="407"/>
      <c r="LSZ23" s="407"/>
      <c r="LTA23" s="407"/>
      <c r="LTB23" s="407"/>
      <c r="LTC23" s="407"/>
      <c r="LTD23" s="407"/>
      <c r="LTE23" s="407"/>
      <c r="LTF23" s="407"/>
      <c r="LTG23" s="407"/>
      <c r="LTH23" s="407"/>
      <c r="LTI23" s="407"/>
      <c r="LTJ23" s="407"/>
      <c r="LTK23" s="407"/>
      <c r="LTL23" s="407"/>
      <c r="LTM23" s="407"/>
      <c r="LTN23" s="407"/>
      <c r="LTO23" s="407"/>
      <c r="LTP23" s="407"/>
      <c r="LTQ23" s="407"/>
      <c r="LTR23" s="407"/>
      <c r="LTS23" s="407"/>
      <c r="LTT23" s="407"/>
      <c r="LTU23" s="407"/>
      <c r="LTV23" s="407"/>
      <c r="LTW23" s="407"/>
      <c r="LTX23" s="407"/>
      <c r="LTY23" s="407"/>
      <c r="LTZ23" s="407"/>
      <c r="LUA23" s="407"/>
      <c r="LUB23" s="407"/>
      <c r="LUC23" s="407"/>
      <c r="LUD23" s="407"/>
      <c r="LUE23" s="407"/>
      <c r="LUF23" s="407"/>
      <c r="LUG23" s="407"/>
      <c r="LUH23" s="407"/>
      <c r="LUI23" s="407"/>
      <c r="LUJ23" s="407"/>
      <c r="LUK23" s="407"/>
      <c r="LUL23" s="407"/>
      <c r="LUM23" s="407"/>
      <c r="LUN23" s="407"/>
      <c r="LUO23" s="407"/>
      <c r="LUP23" s="407"/>
      <c r="LUQ23" s="407"/>
      <c r="LUR23" s="407"/>
      <c r="LUS23" s="407"/>
      <c r="LUT23" s="407"/>
      <c r="LUU23" s="407"/>
      <c r="LUV23" s="407"/>
      <c r="LUW23" s="407"/>
      <c r="LUX23" s="407"/>
      <c r="LUY23" s="407"/>
      <c r="LUZ23" s="407"/>
      <c r="LVA23" s="407"/>
      <c r="LVB23" s="407"/>
      <c r="LVC23" s="407"/>
      <c r="LVD23" s="407"/>
      <c r="LVE23" s="407"/>
      <c r="LVF23" s="407"/>
      <c r="LVG23" s="407"/>
      <c r="LVH23" s="407"/>
      <c r="LVI23" s="407"/>
      <c r="LVJ23" s="407"/>
      <c r="LVK23" s="407"/>
      <c r="LVL23" s="407"/>
      <c r="LVM23" s="407"/>
      <c r="LVN23" s="407"/>
      <c r="LVO23" s="407"/>
      <c r="LVP23" s="407"/>
      <c r="LVQ23" s="407"/>
      <c r="LVR23" s="407"/>
      <c r="LVS23" s="407"/>
      <c r="LVT23" s="407"/>
      <c r="LVU23" s="407"/>
      <c r="LVV23" s="407"/>
      <c r="LVW23" s="407"/>
      <c r="LVX23" s="407"/>
      <c r="LVY23" s="407"/>
      <c r="LVZ23" s="407"/>
      <c r="LWA23" s="407"/>
      <c r="LWB23" s="407"/>
      <c r="LWC23" s="407"/>
      <c r="LWD23" s="407"/>
      <c r="LWE23" s="407"/>
      <c r="LWF23" s="407"/>
      <c r="LWG23" s="407"/>
      <c r="LWH23" s="407"/>
      <c r="LWI23" s="407"/>
      <c r="LWJ23" s="407"/>
      <c r="LWK23" s="407"/>
      <c r="LWL23" s="407"/>
      <c r="LWM23" s="407"/>
      <c r="LWN23" s="407"/>
      <c r="LWO23" s="407"/>
      <c r="LWP23" s="407"/>
      <c r="LWQ23" s="407"/>
      <c r="LWR23" s="407"/>
      <c r="LWS23" s="407"/>
      <c r="LWT23" s="407"/>
      <c r="LWU23" s="407"/>
      <c r="LWV23" s="407"/>
      <c r="LWW23" s="407"/>
      <c r="LWX23" s="407"/>
      <c r="LWY23" s="407"/>
      <c r="LWZ23" s="407"/>
      <c r="LXA23" s="407"/>
      <c r="LXB23" s="407"/>
      <c r="LXC23" s="407"/>
      <c r="LXD23" s="407"/>
      <c r="LXE23" s="407"/>
      <c r="LXF23" s="407"/>
      <c r="LXG23" s="407"/>
      <c r="LXH23" s="407"/>
      <c r="LXI23" s="407"/>
      <c r="LXJ23" s="407"/>
      <c r="LXK23" s="407"/>
      <c r="LXL23" s="407"/>
      <c r="LXM23" s="407"/>
      <c r="LXN23" s="407"/>
      <c r="LXO23" s="407"/>
      <c r="LXP23" s="407"/>
      <c r="LXQ23" s="407"/>
      <c r="LXR23" s="407"/>
      <c r="LXS23" s="407"/>
      <c r="LXT23" s="407"/>
      <c r="LXU23" s="407"/>
      <c r="LXV23" s="407"/>
      <c r="LXW23" s="407"/>
      <c r="LXX23" s="407"/>
      <c r="LXY23" s="407"/>
      <c r="LXZ23" s="407"/>
      <c r="LYA23" s="407"/>
      <c r="LYB23" s="407"/>
      <c r="LYC23" s="407"/>
      <c r="LYD23" s="407"/>
      <c r="LYE23" s="407"/>
      <c r="LYF23" s="407"/>
      <c r="LYG23" s="407"/>
      <c r="LYH23" s="407"/>
      <c r="LYI23" s="407"/>
      <c r="LYJ23" s="407"/>
      <c r="LYK23" s="407"/>
      <c r="LYL23" s="407"/>
      <c r="LYM23" s="407"/>
      <c r="LYN23" s="407"/>
      <c r="LYO23" s="407"/>
      <c r="LYP23" s="407"/>
      <c r="LYQ23" s="407"/>
      <c r="LYR23" s="407"/>
      <c r="LYS23" s="407"/>
      <c r="LYT23" s="407"/>
      <c r="LYU23" s="407"/>
      <c r="LYV23" s="407"/>
      <c r="LYW23" s="407"/>
      <c r="LYX23" s="407"/>
      <c r="LYY23" s="407"/>
      <c r="LYZ23" s="407"/>
      <c r="LZA23" s="407"/>
      <c r="LZB23" s="407"/>
      <c r="LZC23" s="407"/>
      <c r="LZD23" s="407"/>
      <c r="LZE23" s="407"/>
      <c r="LZF23" s="407"/>
      <c r="LZG23" s="407"/>
      <c r="LZH23" s="407"/>
      <c r="LZI23" s="407"/>
      <c r="LZJ23" s="407"/>
      <c r="LZK23" s="407"/>
      <c r="LZL23" s="407"/>
      <c r="LZM23" s="407"/>
      <c r="LZN23" s="407"/>
      <c r="LZO23" s="407"/>
      <c r="LZP23" s="407"/>
      <c r="LZQ23" s="407"/>
      <c r="LZR23" s="407"/>
      <c r="LZS23" s="407"/>
      <c r="LZT23" s="407"/>
      <c r="LZU23" s="407"/>
      <c r="LZV23" s="407"/>
      <c r="LZW23" s="407"/>
      <c r="LZX23" s="407"/>
      <c r="LZY23" s="407"/>
      <c r="LZZ23" s="407"/>
      <c r="MAA23" s="407"/>
      <c r="MAB23" s="407"/>
      <c r="MAC23" s="407"/>
      <c r="MAD23" s="407"/>
      <c r="MAE23" s="407"/>
      <c r="MAF23" s="407"/>
      <c r="MAG23" s="407"/>
      <c r="MAH23" s="407"/>
      <c r="MAI23" s="407"/>
      <c r="MAJ23" s="407"/>
      <c r="MAK23" s="407"/>
      <c r="MAL23" s="407"/>
      <c r="MAM23" s="407"/>
      <c r="MAN23" s="407"/>
      <c r="MAO23" s="407"/>
      <c r="MAP23" s="407"/>
      <c r="MAQ23" s="407"/>
      <c r="MAR23" s="407"/>
      <c r="MAS23" s="407"/>
      <c r="MAT23" s="407"/>
      <c r="MAU23" s="407"/>
      <c r="MAV23" s="407"/>
      <c r="MAW23" s="407"/>
      <c r="MAX23" s="407"/>
      <c r="MAY23" s="407"/>
      <c r="MAZ23" s="407"/>
      <c r="MBA23" s="407"/>
      <c r="MBB23" s="407"/>
      <c r="MBC23" s="407"/>
      <c r="MBD23" s="407"/>
      <c r="MBE23" s="407"/>
      <c r="MBF23" s="407"/>
      <c r="MBG23" s="407"/>
      <c r="MBH23" s="407"/>
      <c r="MBI23" s="407"/>
      <c r="MBJ23" s="407"/>
      <c r="MBK23" s="407"/>
      <c r="MBL23" s="407"/>
      <c r="MBM23" s="407"/>
      <c r="MBN23" s="407"/>
      <c r="MBO23" s="407"/>
      <c r="MBP23" s="407"/>
      <c r="MBQ23" s="407"/>
      <c r="MBR23" s="407"/>
      <c r="MBS23" s="407"/>
      <c r="MBT23" s="407"/>
      <c r="MBU23" s="407"/>
      <c r="MBV23" s="407"/>
      <c r="MBW23" s="407"/>
      <c r="MBX23" s="407"/>
      <c r="MBY23" s="407"/>
      <c r="MBZ23" s="407"/>
      <c r="MCA23" s="407"/>
      <c r="MCB23" s="407"/>
      <c r="MCC23" s="407"/>
      <c r="MCD23" s="407"/>
      <c r="MCE23" s="407"/>
      <c r="MCF23" s="407"/>
      <c r="MCG23" s="407"/>
      <c r="MCH23" s="407"/>
      <c r="MCI23" s="407"/>
      <c r="MCJ23" s="407"/>
      <c r="MCK23" s="407"/>
      <c r="MCL23" s="407"/>
      <c r="MCM23" s="407"/>
      <c r="MCN23" s="407"/>
      <c r="MCO23" s="407"/>
      <c r="MCP23" s="407"/>
      <c r="MCQ23" s="407"/>
      <c r="MCR23" s="407"/>
      <c r="MCS23" s="407"/>
      <c r="MCT23" s="407"/>
      <c r="MCU23" s="407"/>
      <c r="MCV23" s="407"/>
      <c r="MCW23" s="407"/>
      <c r="MCX23" s="407"/>
      <c r="MCY23" s="407"/>
      <c r="MCZ23" s="407"/>
      <c r="MDA23" s="407"/>
      <c r="MDB23" s="407"/>
      <c r="MDC23" s="407"/>
      <c r="MDD23" s="407"/>
      <c r="MDE23" s="407"/>
      <c r="MDF23" s="407"/>
      <c r="MDG23" s="407"/>
      <c r="MDH23" s="407"/>
      <c r="MDI23" s="407"/>
      <c r="MDJ23" s="407"/>
      <c r="MDK23" s="407"/>
      <c r="MDL23" s="407"/>
      <c r="MDM23" s="407"/>
      <c r="MDN23" s="407"/>
      <c r="MDO23" s="407"/>
      <c r="MDP23" s="407"/>
      <c r="MDQ23" s="407"/>
      <c r="MDR23" s="407"/>
      <c r="MDS23" s="407"/>
      <c r="MDT23" s="407"/>
      <c r="MDU23" s="407"/>
      <c r="MDV23" s="407"/>
      <c r="MDW23" s="407"/>
      <c r="MDX23" s="407"/>
      <c r="MDY23" s="407"/>
      <c r="MDZ23" s="407"/>
      <c r="MEA23" s="407"/>
      <c r="MEB23" s="407"/>
      <c r="MEC23" s="407"/>
      <c r="MED23" s="407"/>
      <c r="MEE23" s="407"/>
      <c r="MEF23" s="407"/>
      <c r="MEG23" s="407"/>
      <c r="MEH23" s="407"/>
      <c r="MEI23" s="407"/>
      <c r="MEJ23" s="407"/>
      <c r="MEK23" s="407"/>
      <c r="MEL23" s="407"/>
      <c r="MEM23" s="407"/>
      <c r="MEN23" s="407"/>
      <c r="MEO23" s="407"/>
      <c r="MEP23" s="407"/>
      <c r="MEQ23" s="407"/>
      <c r="MER23" s="407"/>
      <c r="MES23" s="407"/>
      <c r="MET23" s="407"/>
      <c r="MEU23" s="407"/>
      <c r="MEV23" s="407"/>
      <c r="MEW23" s="407"/>
      <c r="MEX23" s="407"/>
      <c r="MEY23" s="407"/>
      <c r="MEZ23" s="407"/>
      <c r="MFA23" s="407"/>
      <c r="MFB23" s="407"/>
      <c r="MFC23" s="407"/>
      <c r="MFD23" s="407"/>
      <c r="MFE23" s="407"/>
      <c r="MFF23" s="407"/>
      <c r="MFG23" s="407"/>
      <c r="MFH23" s="407"/>
      <c r="MFI23" s="407"/>
      <c r="MFJ23" s="407"/>
      <c r="MFK23" s="407"/>
      <c r="MFL23" s="407"/>
      <c r="MFM23" s="407"/>
      <c r="MFN23" s="407"/>
      <c r="MFO23" s="407"/>
      <c r="MFP23" s="407"/>
      <c r="MFQ23" s="407"/>
      <c r="MFR23" s="407"/>
      <c r="MFS23" s="407"/>
      <c r="MFT23" s="407"/>
      <c r="MFU23" s="407"/>
      <c r="MFV23" s="407"/>
      <c r="MFW23" s="407"/>
      <c r="MFX23" s="407"/>
      <c r="MFY23" s="407"/>
      <c r="MFZ23" s="407"/>
      <c r="MGA23" s="407"/>
      <c r="MGB23" s="407"/>
      <c r="MGC23" s="407"/>
      <c r="MGD23" s="407"/>
      <c r="MGE23" s="407"/>
      <c r="MGF23" s="407"/>
      <c r="MGG23" s="407"/>
      <c r="MGH23" s="407"/>
      <c r="MGI23" s="407"/>
      <c r="MGJ23" s="407"/>
      <c r="MGK23" s="407"/>
      <c r="MGL23" s="407"/>
      <c r="MGM23" s="407"/>
      <c r="MGN23" s="407"/>
      <c r="MGO23" s="407"/>
      <c r="MGP23" s="407"/>
      <c r="MGQ23" s="407"/>
      <c r="MGR23" s="407"/>
      <c r="MGS23" s="407"/>
      <c r="MGT23" s="407"/>
      <c r="MGU23" s="407"/>
      <c r="MGV23" s="407"/>
      <c r="MGW23" s="407"/>
      <c r="MGX23" s="407"/>
      <c r="MGY23" s="407"/>
      <c r="MGZ23" s="407"/>
      <c r="MHA23" s="407"/>
      <c r="MHB23" s="407"/>
      <c r="MHC23" s="407"/>
      <c r="MHD23" s="407"/>
      <c r="MHE23" s="407"/>
      <c r="MHF23" s="407"/>
      <c r="MHG23" s="407"/>
      <c r="MHH23" s="407"/>
      <c r="MHI23" s="407"/>
      <c r="MHJ23" s="407"/>
      <c r="MHK23" s="407"/>
      <c r="MHL23" s="407"/>
      <c r="MHM23" s="407"/>
      <c r="MHN23" s="407"/>
      <c r="MHO23" s="407"/>
      <c r="MHP23" s="407"/>
      <c r="MHQ23" s="407"/>
      <c r="MHR23" s="407"/>
      <c r="MHS23" s="407"/>
      <c r="MHT23" s="407"/>
      <c r="MHU23" s="407"/>
      <c r="MHV23" s="407"/>
      <c r="MHW23" s="407"/>
      <c r="MHX23" s="407"/>
      <c r="MHY23" s="407"/>
      <c r="MHZ23" s="407"/>
      <c r="MIA23" s="407"/>
      <c r="MIB23" s="407"/>
      <c r="MIC23" s="407"/>
      <c r="MID23" s="407"/>
      <c r="MIE23" s="407"/>
      <c r="MIF23" s="407"/>
      <c r="MIG23" s="407"/>
      <c r="MIH23" s="407"/>
      <c r="MII23" s="407"/>
      <c r="MIJ23" s="407"/>
      <c r="MIK23" s="407"/>
      <c r="MIL23" s="407"/>
      <c r="MIM23" s="407"/>
      <c r="MIN23" s="407"/>
      <c r="MIO23" s="407"/>
      <c r="MIP23" s="407"/>
      <c r="MIQ23" s="407"/>
      <c r="MIR23" s="407"/>
      <c r="MIS23" s="407"/>
      <c r="MIT23" s="407"/>
      <c r="MIU23" s="407"/>
      <c r="MIV23" s="407"/>
      <c r="MIW23" s="407"/>
      <c r="MIX23" s="407"/>
      <c r="MIY23" s="407"/>
      <c r="MIZ23" s="407"/>
      <c r="MJA23" s="407"/>
      <c r="MJB23" s="407"/>
      <c r="MJC23" s="407"/>
      <c r="MJD23" s="407"/>
      <c r="MJE23" s="407"/>
      <c r="MJF23" s="407"/>
      <c r="MJG23" s="407"/>
      <c r="MJH23" s="407"/>
      <c r="MJI23" s="407"/>
      <c r="MJJ23" s="407"/>
      <c r="MJK23" s="407"/>
      <c r="MJL23" s="407"/>
      <c r="MJM23" s="407"/>
      <c r="MJN23" s="407"/>
      <c r="MJO23" s="407"/>
      <c r="MJP23" s="407"/>
      <c r="MJQ23" s="407"/>
      <c r="MJR23" s="407"/>
      <c r="MJS23" s="407"/>
      <c r="MJT23" s="407"/>
      <c r="MJU23" s="407"/>
      <c r="MJV23" s="407"/>
      <c r="MJW23" s="407"/>
      <c r="MJX23" s="407"/>
      <c r="MJY23" s="407"/>
      <c r="MJZ23" s="407"/>
      <c r="MKA23" s="407"/>
      <c r="MKB23" s="407"/>
      <c r="MKC23" s="407"/>
      <c r="MKD23" s="407"/>
      <c r="MKE23" s="407"/>
      <c r="MKF23" s="407"/>
      <c r="MKG23" s="407"/>
      <c r="MKH23" s="407"/>
      <c r="MKI23" s="407"/>
      <c r="MKJ23" s="407"/>
      <c r="MKK23" s="407"/>
      <c r="MKL23" s="407"/>
      <c r="MKM23" s="407"/>
      <c r="MKN23" s="407"/>
      <c r="MKO23" s="407"/>
      <c r="MKP23" s="407"/>
      <c r="MKQ23" s="407"/>
      <c r="MKR23" s="407"/>
      <c r="MKS23" s="407"/>
      <c r="MKT23" s="407"/>
      <c r="MKU23" s="407"/>
      <c r="MKV23" s="407"/>
      <c r="MKW23" s="407"/>
      <c r="MKX23" s="407"/>
      <c r="MKY23" s="407"/>
      <c r="MKZ23" s="407"/>
      <c r="MLA23" s="407"/>
      <c r="MLB23" s="407"/>
      <c r="MLC23" s="407"/>
      <c r="MLD23" s="407"/>
      <c r="MLE23" s="407"/>
      <c r="MLF23" s="407"/>
      <c r="MLG23" s="407"/>
      <c r="MLH23" s="407"/>
      <c r="MLI23" s="407"/>
      <c r="MLJ23" s="407"/>
      <c r="MLK23" s="407"/>
      <c r="MLL23" s="407"/>
      <c r="MLM23" s="407"/>
      <c r="MLN23" s="407"/>
      <c r="MLO23" s="407"/>
      <c r="MLP23" s="407"/>
      <c r="MLQ23" s="407"/>
      <c r="MLR23" s="407"/>
      <c r="MLS23" s="407"/>
      <c r="MLT23" s="407"/>
      <c r="MLU23" s="407"/>
      <c r="MLV23" s="407"/>
      <c r="MLW23" s="407"/>
      <c r="MLX23" s="407"/>
      <c r="MLY23" s="407"/>
      <c r="MLZ23" s="407"/>
      <c r="MMA23" s="407"/>
      <c r="MMB23" s="407"/>
      <c r="MMC23" s="407"/>
      <c r="MMD23" s="407"/>
      <c r="MME23" s="407"/>
      <c r="MMF23" s="407"/>
      <c r="MMG23" s="407"/>
      <c r="MMH23" s="407"/>
      <c r="MMI23" s="407"/>
      <c r="MMJ23" s="407"/>
      <c r="MMK23" s="407"/>
      <c r="MML23" s="407"/>
      <c r="MMM23" s="407"/>
      <c r="MMN23" s="407"/>
      <c r="MMO23" s="407"/>
      <c r="MMP23" s="407"/>
      <c r="MMQ23" s="407"/>
      <c r="MMR23" s="407"/>
      <c r="MMS23" s="407"/>
      <c r="MMT23" s="407"/>
      <c r="MMU23" s="407"/>
      <c r="MMV23" s="407"/>
      <c r="MMW23" s="407"/>
      <c r="MMX23" s="407"/>
      <c r="MMY23" s="407"/>
      <c r="MMZ23" s="407"/>
      <c r="MNA23" s="407"/>
      <c r="MNB23" s="407"/>
      <c r="MNC23" s="407"/>
      <c r="MND23" s="407"/>
      <c r="MNE23" s="407"/>
      <c r="MNF23" s="407"/>
      <c r="MNG23" s="407"/>
      <c r="MNH23" s="407"/>
      <c r="MNI23" s="407"/>
      <c r="MNJ23" s="407"/>
      <c r="MNK23" s="407"/>
      <c r="MNL23" s="407"/>
      <c r="MNM23" s="407"/>
      <c r="MNN23" s="407"/>
      <c r="MNO23" s="407"/>
      <c r="MNP23" s="407"/>
      <c r="MNQ23" s="407"/>
      <c r="MNR23" s="407"/>
      <c r="MNS23" s="407"/>
      <c r="MNT23" s="407"/>
      <c r="MNU23" s="407"/>
      <c r="MNV23" s="407"/>
      <c r="MNW23" s="407"/>
      <c r="MNX23" s="407"/>
      <c r="MNY23" s="407"/>
      <c r="MNZ23" s="407"/>
      <c r="MOA23" s="407"/>
      <c r="MOB23" s="407"/>
      <c r="MOC23" s="407"/>
      <c r="MOD23" s="407"/>
      <c r="MOE23" s="407"/>
      <c r="MOF23" s="407"/>
      <c r="MOG23" s="407"/>
      <c r="MOH23" s="407"/>
      <c r="MOI23" s="407"/>
      <c r="MOJ23" s="407"/>
      <c r="MOK23" s="407"/>
      <c r="MOL23" s="407"/>
      <c r="MOM23" s="407"/>
      <c r="MON23" s="407"/>
      <c r="MOO23" s="407"/>
      <c r="MOP23" s="407"/>
      <c r="MOQ23" s="407"/>
      <c r="MOR23" s="407"/>
      <c r="MOS23" s="407"/>
      <c r="MOT23" s="407"/>
      <c r="MOU23" s="407"/>
      <c r="MOV23" s="407"/>
      <c r="MOW23" s="407"/>
      <c r="MOX23" s="407"/>
      <c r="MOY23" s="407"/>
      <c r="MOZ23" s="407"/>
      <c r="MPA23" s="407"/>
      <c r="MPB23" s="407"/>
      <c r="MPC23" s="407"/>
      <c r="MPD23" s="407"/>
      <c r="MPE23" s="407"/>
      <c r="MPF23" s="407"/>
      <c r="MPG23" s="407"/>
      <c r="MPH23" s="407"/>
      <c r="MPI23" s="407"/>
      <c r="MPJ23" s="407"/>
      <c r="MPK23" s="407"/>
      <c r="MPL23" s="407"/>
      <c r="MPM23" s="407"/>
      <c r="MPN23" s="407"/>
      <c r="MPO23" s="407"/>
      <c r="MPP23" s="407"/>
      <c r="MPQ23" s="407"/>
      <c r="MPR23" s="407"/>
      <c r="MPS23" s="407"/>
      <c r="MPT23" s="407"/>
      <c r="MPU23" s="407"/>
      <c r="MPV23" s="407"/>
      <c r="MPW23" s="407"/>
      <c r="MPX23" s="407"/>
      <c r="MPY23" s="407"/>
      <c r="MPZ23" s="407"/>
      <c r="MQA23" s="407"/>
      <c r="MQB23" s="407"/>
      <c r="MQC23" s="407"/>
      <c r="MQD23" s="407"/>
      <c r="MQE23" s="407"/>
      <c r="MQF23" s="407"/>
      <c r="MQG23" s="407"/>
      <c r="MQH23" s="407"/>
      <c r="MQI23" s="407"/>
      <c r="MQJ23" s="407"/>
      <c r="MQK23" s="407"/>
      <c r="MQL23" s="407"/>
      <c r="MQM23" s="407"/>
      <c r="MQN23" s="407"/>
      <c r="MQO23" s="407"/>
      <c r="MQP23" s="407"/>
      <c r="MQQ23" s="407"/>
      <c r="MQR23" s="407"/>
      <c r="MQS23" s="407"/>
      <c r="MQT23" s="407"/>
      <c r="MQU23" s="407"/>
      <c r="MQV23" s="407"/>
      <c r="MQW23" s="407"/>
      <c r="MQX23" s="407"/>
      <c r="MQY23" s="407"/>
      <c r="MQZ23" s="407"/>
      <c r="MRA23" s="407"/>
      <c r="MRB23" s="407"/>
      <c r="MRC23" s="407"/>
      <c r="MRD23" s="407"/>
      <c r="MRE23" s="407"/>
      <c r="MRF23" s="407"/>
      <c r="MRG23" s="407"/>
      <c r="MRH23" s="407"/>
      <c r="MRI23" s="407"/>
      <c r="MRJ23" s="407"/>
      <c r="MRK23" s="407"/>
      <c r="MRL23" s="407"/>
      <c r="MRM23" s="407"/>
      <c r="MRN23" s="407"/>
      <c r="MRO23" s="407"/>
      <c r="MRP23" s="407"/>
      <c r="MRQ23" s="407"/>
      <c r="MRR23" s="407"/>
      <c r="MRS23" s="407"/>
      <c r="MRT23" s="407"/>
      <c r="MRU23" s="407"/>
      <c r="MRV23" s="407"/>
      <c r="MRW23" s="407"/>
      <c r="MRX23" s="407"/>
      <c r="MRY23" s="407"/>
      <c r="MRZ23" s="407"/>
      <c r="MSA23" s="407"/>
      <c r="MSB23" s="407"/>
      <c r="MSC23" s="407"/>
      <c r="MSD23" s="407"/>
      <c r="MSE23" s="407"/>
      <c r="MSF23" s="407"/>
      <c r="MSG23" s="407"/>
      <c r="MSH23" s="407"/>
      <c r="MSI23" s="407"/>
      <c r="MSJ23" s="407"/>
      <c r="MSK23" s="407"/>
      <c r="MSL23" s="407"/>
      <c r="MSM23" s="407"/>
      <c r="MSN23" s="407"/>
      <c r="MSO23" s="407"/>
      <c r="MSP23" s="407"/>
      <c r="MSQ23" s="407"/>
      <c r="MSR23" s="407"/>
      <c r="MSS23" s="407"/>
      <c r="MST23" s="407"/>
      <c r="MSU23" s="407"/>
      <c r="MSV23" s="407"/>
      <c r="MSW23" s="407"/>
      <c r="MSX23" s="407"/>
      <c r="MSY23" s="407"/>
      <c r="MSZ23" s="407"/>
      <c r="MTA23" s="407"/>
      <c r="MTB23" s="407"/>
      <c r="MTC23" s="407"/>
      <c r="MTD23" s="407"/>
      <c r="MTE23" s="407"/>
      <c r="MTF23" s="407"/>
      <c r="MTG23" s="407"/>
      <c r="MTH23" s="407"/>
      <c r="MTI23" s="407"/>
      <c r="MTJ23" s="407"/>
      <c r="MTK23" s="407"/>
      <c r="MTL23" s="407"/>
      <c r="MTM23" s="407"/>
      <c r="MTN23" s="407"/>
      <c r="MTO23" s="407"/>
      <c r="MTP23" s="407"/>
      <c r="MTQ23" s="407"/>
      <c r="MTR23" s="407"/>
      <c r="MTS23" s="407"/>
      <c r="MTT23" s="407"/>
      <c r="MTU23" s="407"/>
      <c r="MTV23" s="407"/>
      <c r="MTW23" s="407"/>
      <c r="MTX23" s="407"/>
      <c r="MTY23" s="407"/>
      <c r="MTZ23" s="407"/>
      <c r="MUA23" s="407"/>
      <c r="MUB23" s="407"/>
      <c r="MUC23" s="407"/>
      <c r="MUD23" s="407"/>
      <c r="MUE23" s="407"/>
      <c r="MUF23" s="407"/>
      <c r="MUG23" s="407"/>
      <c r="MUH23" s="407"/>
      <c r="MUI23" s="407"/>
      <c r="MUJ23" s="407"/>
      <c r="MUK23" s="407"/>
      <c r="MUL23" s="407"/>
      <c r="MUM23" s="407"/>
      <c r="MUN23" s="407"/>
      <c r="MUO23" s="407"/>
      <c r="MUP23" s="407"/>
      <c r="MUQ23" s="407"/>
      <c r="MUR23" s="407"/>
      <c r="MUS23" s="407"/>
      <c r="MUT23" s="407"/>
      <c r="MUU23" s="407"/>
      <c r="MUV23" s="407"/>
      <c r="MUW23" s="407"/>
      <c r="MUX23" s="407"/>
      <c r="MUY23" s="407"/>
      <c r="MUZ23" s="407"/>
      <c r="MVA23" s="407"/>
      <c r="MVB23" s="407"/>
      <c r="MVC23" s="407"/>
      <c r="MVD23" s="407"/>
      <c r="MVE23" s="407"/>
      <c r="MVF23" s="407"/>
      <c r="MVG23" s="407"/>
      <c r="MVH23" s="407"/>
      <c r="MVI23" s="407"/>
      <c r="MVJ23" s="407"/>
      <c r="MVK23" s="407"/>
      <c r="MVL23" s="407"/>
      <c r="MVM23" s="407"/>
      <c r="MVN23" s="407"/>
      <c r="MVO23" s="407"/>
      <c r="MVP23" s="407"/>
      <c r="MVQ23" s="407"/>
      <c r="MVR23" s="407"/>
      <c r="MVS23" s="407"/>
      <c r="MVT23" s="407"/>
      <c r="MVU23" s="407"/>
      <c r="MVV23" s="407"/>
      <c r="MVW23" s="407"/>
      <c r="MVX23" s="407"/>
      <c r="MVY23" s="407"/>
      <c r="MVZ23" s="407"/>
      <c r="MWA23" s="407"/>
      <c r="MWB23" s="407"/>
      <c r="MWC23" s="407"/>
      <c r="MWD23" s="407"/>
      <c r="MWE23" s="407"/>
      <c r="MWF23" s="407"/>
      <c r="MWG23" s="407"/>
      <c r="MWH23" s="407"/>
      <c r="MWI23" s="407"/>
      <c r="MWJ23" s="407"/>
      <c r="MWK23" s="407"/>
      <c r="MWL23" s="407"/>
      <c r="MWM23" s="407"/>
      <c r="MWN23" s="407"/>
      <c r="MWO23" s="407"/>
      <c r="MWP23" s="407"/>
      <c r="MWQ23" s="407"/>
      <c r="MWR23" s="407"/>
      <c r="MWS23" s="407"/>
      <c r="MWT23" s="407"/>
      <c r="MWU23" s="407"/>
      <c r="MWV23" s="407"/>
      <c r="MWW23" s="407"/>
      <c r="MWX23" s="407"/>
      <c r="MWY23" s="407"/>
      <c r="MWZ23" s="407"/>
      <c r="MXA23" s="407"/>
      <c r="MXB23" s="407"/>
      <c r="MXC23" s="407"/>
      <c r="MXD23" s="407"/>
      <c r="MXE23" s="407"/>
      <c r="MXF23" s="407"/>
      <c r="MXG23" s="407"/>
      <c r="MXH23" s="407"/>
      <c r="MXI23" s="407"/>
      <c r="MXJ23" s="407"/>
      <c r="MXK23" s="407"/>
      <c r="MXL23" s="407"/>
      <c r="MXM23" s="407"/>
      <c r="MXN23" s="407"/>
      <c r="MXO23" s="407"/>
      <c r="MXP23" s="407"/>
      <c r="MXQ23" s="407"/>
      <c r="MXR23" s="407"/>
      <c r="MXS23" s="407"/>
      <c r="MXT23" s="407"/>
      <c r="MXU23" s="407"/>
      <c r="MXV23" s="407"/>
      <c r="MXW23" s="407"/>
      <c r="MXX23" s="407"/>
      <c r="MXY23" s="407"/>
      <c r="MXZ23" s="407"/>
      <c r="MYA23" s="407"/>
      <c r="MYB23" s="407"/>
      <c r="MYC23" s="407"/>
      <c r="MYD23" s="407"/>
      <c r="MYE23" s="407"/>
      <c r="MYF23" s="407"/>
      <c r="MYG23" s="407"/>
      <c r="MYH23" s="407"/>
      <c r="MYI23" s="407"/>
      <c r="MYJ23" s="407"/>
      <c r="MYK23" s="407"/>
      <c r="MYL23" s="407"/>
      <c r="MYM23" s="407"/>
      <c r="MYN23" s="407"/>
      <c r="MYO23" s="407"/>
      <c r="MYP23" s="407"/>
      <c r="MYQ23" s="407"/>
      <c r="MYR23" s="407"/>
      <c r="MYS23" s="407"/>
      <c r="MYT23" s="407"/>
      <c r="MYU23" s="407"/>
      <c r="MYV23" s="407"/>
      <c r="MYW23" s="407"/>
      <c r="MYX23" s="407"/>
      <c r="MYY23" s="407"/>
      <c r="MYZ23" s="407"/>
      <c r="MZA23" s="407"/>
      <c r="MZB23" s="407"/>
      <c r="MZC23" s="407"/>
      <c r="MZD23" s="407"/>
      <c r="MZE23" s="407"/>
      <c r="MZF23" s="407"/>
      <c r="MZG23" s="407"/>
      <c r="MZH23" s="407"/>
      <c r="MZI23" s="407"/>
      <c r="MZJ23" s="407"/>
      <c r="MZK23" s="407"/>
      <c r="MZL23" s="407"/>
      <c r="MZM23" s="407"/>
      <c r="MZN23" s="407"/>
      <c r="MZO23" s="407"/>
      <c r="MZP23" s="407"/>
      <c r="MZQ23" s="407"/>
      <c r="MZR23" s="407"/>
      <c r="MZS23" s="407"/>
      <c r="MZT23" s="407"/>
      <c r="MZU23" s="407"/>
      <c r="MZV23" s="407"/>
      <c r="MZW23" s="407"/>
      <c r="MZX23" s="407"/>
      <c r="MZY23" s="407"/>
      <c r="MZZ23" s="407"/>
      <c r="NAA23" s="407"/>
      <c r="NAB23" s="407"/>
      <c r="NAC23" s="407"/>
      <c r="NAD23" s="407"/>
      <c r="NAE23" s="407"/>
      <c r="NAF23" s="407"/>
      <c r="NAG23" s="407"/>
      <c r="NAH23" s="407"/>
      <c r="NAI23" s="407"/>
      <c r="NAJ23" s="407"/>
      <c r="NAK23" s="407"/>
      <c r="NAL23" s="407"/>
      <c r="NAM23" s="407"/>
      <c r="NAN23" s="407"/>
      <c r="NAO23" s="407"/>
      <c r="NAP23" s="407"/>
      <c r="NAQ23" s="407"/>
      <c r="NAR23" s="407"/>
      <c r="NAS23" s="407"/>
      <c r="NAT23" s="407"/>
      <c r="NAU23" s="407"/>
      <c r="NAV23" s="407"/>
      <c r="NAW23" s="407"/>
      <c r="NAX23" s="407"/>
      <c r="NAY23" s="407"/>
      <c r="NAZ23" s="407"/>
      <c r="NBA23" s="407"/>
      <c r="NBB23" s="407"/>
      <c r="NBC23" s="407"/>
      <c r="NBD23" s="407"/>
      <c r="NBE23" s="407"/>
      <c r="NBF23" s="407"/>
      <c r="NBG23" s="407"/>
      <c r="NBH23" s="407"/>
      <c r="NBI23" s="407"/>
      <c r="NBJ23" s="407"/>
      <c r="NBK23" s="407"/>
      <c r="NBL23" s="407"/>
      <c r="NBM23" s="407"/>
      <c r="NBN23" s="407"/>
      <c r="NBO23" s="407"/>
      <c r="NBP23" s="407"/>
      <c r="NBQ23" s="407"/>
      <c r="NBR23" s="407"/>
      <c r="NBS23" s="407"/>
      <c r="NBT23" s="407"/>
      <c r="NBU23" s="407"/>
      <c r="NBV23" s="407"/>
      <c r="NBW23" s="407"/>
      <c r="NBX23" s="407"/>
      <c r="NBY23" s="407"/>
      <c r="NBZ23" s="407"/>
      <c r="NCA23" s="407"/>
      <c r="NCB23" s="407"/>
      <c r="NCC23" s="407"/>
      <c r="NCD23" s="407"/>
      <c r="NCE23" s="407"/>
      <c r="NCF23" s="407"/>
      <c r="NCG23" s="407"/>
      <c r="NCH23" s="407"/>
      <c r="NCI23" s="407"/>
      <c r="NCJ23" s="407"/>
      <c r="NCK23" s="407"/>
      <c r="NCL23" s="407"/>
      <c r="NCM23" s="407"/>
      <c r="NCN23" s="407"/>
      <c r="NCO23" s="407"/>
      <c r="NCP23" s="407"/>
      <c r="NCQ23" s="407"/>
      <c r="NCR23" s="407"/>
      <c r="NCS23" s="407"/>
      <c r="NCT23" s="407"/>
      <c r="NCU23" s="407"/>
      <c r="NCV23" s="407"/>
      <c r="NCW23" s="407"/>
      <c r="NCX23" s="407"/>
      <c r="NCY23" s="407"/>
      <c r="NCZ23" s="407"/>
      <c r="NDA23" s="407"/>
      <c r="NDB23" s="407"/>
      <c r="NDC23" s="407"/>
      <c r="NDD23" s="407"/>
      <c r="NDE23" s="407"/>
      <c r="NDF23" s="407"/>
      <c r="NDG23" s="407"/>
      <c r="NDH23" s="407"/>
      <c r="NDI23" s="407"/>
      <c r="NDJ23" s="407"/>
      <c r="NDK23" s="407"/>
      <c r="NDL23" s="407"/>
      <c r="NDM23" s="407"/>
      <c r="NDN23" s="407"/>
      <c r="NDO23" s="407"/>
      <c r="NDP23" s="407"/>
      <c r="NDQ23" s="407"/>
      <c r="NDR23" s="407"/>
      <c r="NDS23" s="407"/>
      <c r="NDT23" s="407"/>
      <c r="NDU23" s="407"/>
      <c r="NDV23" s="407"/>
      <c r="NDW23" s="407"/>
      <c r="NDX23" s="407"/>
      <c r="NDY23" s="407"/>
      <c r="NDZ23" s="407"/>
      <c r="NEA23" s="407"/>
      <c r="NEB23" s="407"/>
      <c r="NEC23" s="407"/>
      <c r="NED23" s="407"/>
      <c r="NEE23" s="407"/>
      <c r="NEF23" s="407"/>
      <c r="NEG23" s="407"/>
      <c r="NEH23" s="407"/>
      <c r="NEI23" s="407"/>
      <c r="NEJ23" s="407"/>
      <c r="NEK23" s="407"/>
      <c r="NEL23" s="407"/>
      <c r="NEM23" s="407"/>
      <c r="NEN23" s="407"/>
      <c r="NEO23" s="407"/>
      <c r="NEP23" s="407"/>
      <c r="NEQ23" s="407"/>
      <c r="NER23" s="407"/>
      <c r="NES23" s="407"/>
      <c r="NET23" s="407"/>
      <c r="NEU23" s="407"/>
      <c r="NEV23" s="407"/>
      <c r="NEW23" s="407"/>
      <c r="NEX23" s="407"/>
      <c r="NEY23" s="407"/>
      <c r="NEZ23" s="407"/>
      <c r="NFA23" s="407"/>
      <c r="NFB23" s="407"/>
      <c r="NFC23" s="407"/>
      <c r="NFD23" s="407"/>
      <c r="NFE23" s="407"/>
      <c r="NFF23" s="407"/>
      <c r="NFG23" s="407"/>
      <c r="NFH23" s="407"/>
      <c r="NFI23" s="407"/>
      <c r="NFJ23" s="407"/>
      <c r="NFK23" s="407"/>
      <c r="NFL23" s="407"/>
      <c r="NFM23" s="407"/>
      <c r="NFN23" s="407"/>
      <c r="NFO23" s="407"/>
      <c r="NFP23" s="407"/>
      <c r="NFQ23" s="407"/>
      <c r="NFR23" s="407"/>
      <c r="NFS23" s="407"/>
      <c r="NFT23" s="407"/>
      <c r="NFU23" s="407"/>
      <c r="NFV23" s="407"/>
      <c r="NFW23" s="407"/>
      <c r="NFX23" s="407"/>
      <c r="NFY23" s="407"/>
      <c r="NFZ23" s="407"/>
      <c r="NGA23" s="407"/>
      <c r="NGB23" s="407"/>
      <c r="NGC23" s="407"/>
      <c r="NGD23" s="407"/>
      <c r="NGE23" s="407"/>
      <c r="NGF23" s="407"/>
      <c r="NGG23" s="407"/>
      <c r="NGH23" s="407"/>
      <c r="NGI23" s="407"/>
      <c r="NGJ23" s="407"/>
      <c r="NGK23" s="407"/>
      <c r="NGL23" s="407"/>
      <c r="NGM23" s="407"/>
      <c r="NGN23" s="407"/>
      <c r="NGO23" s="407"/>
      <c r="NGP23" s="407"/>
      <c r="NGQ23" s="407"/>
      <c r="NGR23" s="407"/>
      <c r="NGS23" s="407"/>
      <c r="NGT23" s="407"/>
      <c r="NGU23" s="407"/>
      <c r="NGV23" s="407"/>
      <c r="NGW23" s="407"/>
      <c r="NGX23" s="407"/>
      <c r="NGY23" s="407"/>
      <c r="NGZ23" s="407"/>
      <c r="NHA23" s="407"/>
      <c r="NHB23" s="407"/>
      <c r="NHC23" s="407"/>
      <c r="NHD23" s="407"/>
      <c r="NHE23" s="407"/>
      <c r="NHF23" s="407"/>
      <c r="NHG23" s="407"/>
      <c r="NHH23" s="407"/>
      <c r="NHI23" s="407"/>
      <c r="NHJ23" s="407"/>
      <c r="NHK23" s="407"/>
      <c r="NHL23" s="407"/>
      <c r="NHM23" s="407"/>
      <c r="NHN23" s="407"/>
      <c r="NHO23" s="407"/>
      <c r="NHP23" s="407"/>
      <c r="NHQ23" s="407"/>
      <c r="NHR23" s="407"/>
      <c r="NHS23" s="407"/>
      <c r="NHT23" s="407"/>
      <c r="NHU23" s="407"/>
      <c r="NHV23" s="407"/>
      <c r="NHW23" s="407"/>
      <c r="NHX23" s="407"/>
      <c r="NHY23" s="407"/>
      <c r="NHZ23" s="407"/>
      <c r="NIA23" s="407"/>
      <c r="NIB23" s="407"/>
      <c r="NIC23" s="407"/>
      <c r="NID23" s="407"/>
      <c r="NIE23" s="407"/>
      <c r="NIF23" s="407"/>
      <c r="NIG23" s="407"/>
      <c r="NIH23" s="407"/>
      <c r="NII23" s="407"/>
      <c r="NIJ23" s="407"/>
      <c r="NIK23" s="407"/>
      <c r="NIL23" s="407"/>
      <c r="NIM23" s="407"/>
      <c r="NIN23" s="407"/>
      <c r="NIO23" s="407"/>
      <c r="NIP23" s="407"/>
      <c r="NIQ23" s="407"/>
      <c r="NIR23" s="407"/>
      <c r="NIS23" s="407"/>
      <c r="NIT23" s="407"/>
      <c r="NIU23" s="407"/>
      <c r="NIV23" s="407"/>
      <c r="NIW23" s="407"/>
      <c r="NIX23" s="407"/>
      <c r="NIY23" s="407"/>
      <c r="NIZ23" s="407"/>
      <c r="NJA23" s="407"/>
      <c r="NJB23" s="407"/>
      <c r="NJC23" s="407"/>
      <c r="NJD23" s="407"/>
      <c r="NJE23" s="407"/>
      <c r="NJF23" s="407"/>
      <c r="NJG23" s="407"/>
      <c r="NJH23" s="407"/>
      <c r="NJI23" s="407"/>
      <c r="NJJ23" s="407"/>
      <c r="NJK23" s="407"/>
      <c r="NJL23" s="407"/>
      <c r="NJM23" s="407"/>
      <c r="NJN23" s="407"/>
      <c r="NJO23" s="407"/>
      <c r="NJP23" s="407"/>
      <c r="NJQ23" s="407"/>
      <c r="NJR23" s="407"/>
      <c r="NJS23" s="407"/>
      <c r="NJT23" s="407"/>
      <c r="NJU23" s="407"/>
      <c r="NJV23" s="407"/>
      <c r="NJW23" s="407"/>
      <c r="NJX23" s="407"/>
      <c r="NJY23" s="407"/>
      <c r="NJZ23" s="407"/>
      <c r="NKA23" s="407"/>
      <c r="NKB23" s="407"/>
      <c r="NKC23" s="407"/>
      <c r="NKD23" s="407"/>
      <c r="NKE23" s="407"/>
      <c r="NKF23" s="407"/>
      <c r="NKG23" s="407"/>
      <c r="NKH23" s="407"/>
      <c r="NKI23" s="407"/>
      <c r="NKJ23" s="407"/>
      <c r="NKK23" s="407"/>
      <c r="NKL23" s="407"/>
      <c r="NKM23" s="407"/>
      <c r="NKN23" s="407"/>
      <c r="NKO23" s="407"/>
      <c r="NKP23" s="407"/>
      <c r="NKQ23" s="407"/>
      <c r="NKR23" s="407"/>
      <c r="NKS23" s="407"/>
      <c r="NKT23" s="407"/>
      <c r="NKU23" s="407"/>
      <c r="NKV23" s="407"/>
      <c r="NKW23" s="407"/>
      <c r="NKX23" s="407"/>
      <c r="NKY23" s="407"/>
      <c r="NKZ23" s="407"/>
      <c r="NLA23" s="407"/>
      <c r="NLB23" s="407"/>
      <c r="NLC23" s="407"/>
      <c r="NLD23" s="407"/>
      <c r="NLE23" s="407"/>
      <c r="NLF23" s="407"/>
      <c r="NLG23" s="407"/>
      <c r="NLH23" s="407"/>
      <c r="NLI23" s="407"/>
      <c r="NLJ23" s="407"/>
      <c r="NLK23" s="407"/>
      <c r="NLL23" s="407"/>
      <c r="NLM23" s="407"/>
      <c r="NLN23" s="407"/>
      <c r="NLO23" s="407"/>
      <c r="NLP23" s="407"/>
      <c r="NLQ23" s="407"/>
      <c r="NLR23" s="407"/>
      <c r="NLS23" s="407"/>
      <c r="NLT23" s="407"/>
      <c r="NLU23" s="407"/>
      <c r="NLV23" s="407"/>
      <c r="NLW23" s="407"/>
      <c r="NLX23" s="407"/>
      <c r="NLY23" s="407"/>
      <c r="NLZ23" s="407"/>
      <c r="NMA23" s="407"/>
      <c r="NMB23" s="407"/>
      <c r="NMC23" s="407"/>
      <c r="NMD23" s="407"/>
      <c r="NME23" s="407"/>
      <c r="NMF23" s="407"/>
      <c r="NMG23" s="407"/>
      <c r="NMH23" s="407"/>
      <c r="NMI23" s="407"/>
      <c r="NMJ23" s="407"/>
      <c r="NMK23" s="407"/>
      <c r="NML23" s="407"/>
      <c r="NMM23" s="407"/>
      <c r="NMN23" s="407"/>
      <c r="NMO23" s="407"/>
      <c r="NMP23" s="407"/>
      <c r="NMQ23" s="407"/>
      <c r="NMR23" s="407"/>
      <c r="NMS23" s="407"/>
      <c r="NMT23" s="407"/>
      <c r="NMU23" s="407"/>
      <c r="NMV23" s="407"/>
      <c r="NMW23" s="407"/>
      <c r="NMX23" s="407"/>
      <c r="NMY23" s="407"/>
      <c r="NMZ23" s="407"/>
      <c r="NNA23" s="407"/>
      <c r="NNB23" s="407"/>
      <c r="NNC23" s="407"/>
      <c r="NND23" s="407"/>
      <c r="NNE23" s="407"/>
      <c r="NNF23" s="407"/>
      <c r="NNG23" s="407"/>
      <c r="NNH23" s="407"/>
      <c r="NNI23" s="407"/>
      <c r="NNJ23" s="407"/>
      <c r="NNK23" s="407"/>
      <c r="NNL23" s="407"/>
      <c r="NNM23" s="407"/>
      <c r="NNN23" s="407"/>
      <c r="NNO23" s="407"/>
      <c r="NNP23" s="407"/>
      <c r="NNQ23" s="407"/>
      <c r="NNR23" s="407"/>
      <c r="NNS23" s="407"/>
      <c r="NNT23" s="407"/>
      <c r="NNU23" s="407"/>
      <c r="NNV23" s="407"/>
      <c r="NNW23" s="407"/>
      <c r="NNX23" s="407"/>
      <c r="NNY23" s="407"/>
      <c r="NNZ23" s="407"/>
      <c r="NOA23" s="407"/>
      <c r="NOB23" s="407"/>
      <c r="NOC23" s="407"/>
      <c r="NOD23" s="407"/>
      <c r="NOE23" s="407"/>
      <c r="NOF23" s="407"/>
      <c r="NOG23" s="407"/>
      <c r="NOH23" s="407"/>
      <c r="NOI23" s="407"/>
      <c r="NOJ23" s="407"/>
      <c r="NOK23" s="407"/>
      <c r="NOL23" s="407"/>
      <c r="NOM23" s="407"/>
      <c r="NON23" s="407"/>
      <c r="NOO23" s="407"/>
      <c r="NOP23" s="407"/>
      <c r="NOQ23" s="407"/>
      <c r="NOR23" s="407"/>
      <c r="NOS23" s="407"/>
      <c r="NOT23" s="407"/>
      <c r="NOU23" s="407"/>
      <c r="NOV23" s="407"/>
      <c r="NOW23" s="407"/>
      <c r="NOX23" s="407"/>
      <c r="NOY23" s="407"/>
      <c r="NOZ23" s="407"/>
      <c r="NPA23" s="407"/>
      <c r="NPB23" s="407"/>
      <c r="NPC23" s="407"/>
      <c r="NPD23" s="407"/>
      <c r="NPE23" s="407"/>
      <c r="NPF23" s="407"/>
      <c r="NPG23" s="407"/>
      <c r="NPH23" s="407"/>
      <c r="NPI23" s="407"/>
      <c r="NPJ23" s="407"/>
      <c r="NPK23" s="407"/>
      <c r="NPL23" s="407"/>
      <c r="NPM23" s="407"/>
      <c r="NPN23" s="407"/>
      <c r="NPO23" s="407"/>
      <c r="NPP23" s="407"/>
      <c r="NPQ23" s="407"/>
      <c r="NPR23" s="407"/>
      <c r="NPS23" s="407"/>
      <c r="NPT23" s="407"/>
      <c r="NPU23" s="407"/>
      <c r="NPV23" s="407"/>
      <c r="NPW23" s="407"/>
      <c r="NPX23" s="407"/>
      <c r="NPY23" s="407"/>
      <c r="NPZ23" s="407"/>
      <c r="NQA23" s="407"/>
      <c r="NQB23" s="407"/>
      <c r="NQC23" s="407"/>
      <c r="NQD23" s="407"/>
      <c r="NQE23" s="407"/>
      <c r="NQF23" s="407"/>
      <c r="NQG23" s="407"/>
      <c r="NQH23" s="407"/>
      <c r="NQI23" s="407"/>
      <c r="NQJ23" s="407"/>
      <c r="NQK23" s="407"/>
      <c r="NQL23" s="407"/>
      <c r="NQM23" s="407"/>
      <c r="NQN23" s="407"/>
      <c r="NQO23" s="407"/>
      <c r="NQP23" s="407"/>
      <c r="NQQ23" s="407"/>
      <c r="NQR23" s="407"/>
      <c r="NQS23" s="407"/>
      <c r="NQT23" s="407"/>
      <c r="NQU23" s="407"/>
      <c r="NQV23" s="407"/>
      <c r="NQW23" s="407"/>
      <c r="NQX23" s="407"/>
      <c r="NQY23" s="407"/>
      <c r="NQZ23" s="407"/>
      <c r="NRA23" s="407"/>
      <c r="NRB23" s="407"/>
      <c r="NRC23" s="407"/>
      <c r="NRD23" s="407"/>
      <c r="NRE23" s="407"/>
      <c r="NRF23" s="407"/>
      <c r="NRG23" s="407"/>
      <c r="NRH23" s="407"/>
      <c r="NRI23" s="407"/>
      <c r="NRJ23" s="407"/>
      <c r="NRK23" s="407"/>
      <c r="NRL23" s="407"/>
      <c r="NRM23" s="407"/>
      <c r="NRN23" s="407"/>
      <c r="NRO23" s="407"/>
      <c r="NRP23" s="407"/>
      <c r="NRQ23" s="407"/>
      <c r="NRR23" s="407"/>
      <c r="NRS23" s="407"/>
      <c r="NRT23" s="407"/>
      <c r="NRU23" s="407"/>
      <c r="NRV23" s="407"/>
      <c r="NRW23" s="407"/>
      <c r="NRX23" s="407"/>
      <c r="NRY23" s="407"/>
      <c r="NRZ23" s="407"/>
      <c r="NSA23" s="407"/>
      <c r="NSB23" s="407"/>
      <c r="NSC23" s="407"/>
      <c r="NSD23" s="407"/>
      <c r="NSE23" s="407"/>
      <c r="NSF23" s="407"/>
      <c r="NSG23" s="407"/>
      <c r="NSH23" s="407"/>
      <c r="NSI23" s="407"/>
      <c r="NSJ23" s="407"/>
      <c r="NSK23" s="407"/>
      <c r="NSL23" s="407"/>
      <c r="NSM23" s="407"/>
      <c r="NSN23" s="407"/>
      <c r="NSO23" s="407"/>
      <c r="NSP23" s="407"/>
      <c r="NSQ23" s="407"/>
      <c r="NSR23" s="407"/>
      <c r="NSS23" s="407"/>
      <c r="NST23" s="407"/>
      <c r="NSU23" s="407"/>
      <c r="NSV23" s="407"/>
      <c r="NSW23" s="407"/>
      <c r="NSX23" s="407"/>
      <c r="NSY23" s="407"/>
      <c r="NSZ23" s="407"/>
      <c r="NTA23" s="407"/>
      <c r="NTB23" s="407"/>
      <c r="NTC23" s="407"/>
      <c r="NTD23" s="407"/>
      <c r="NTE23" s="407"/>
      <c r="NTF23" s="407"/>
      <c r="NTG23" s="407"/>
      <c r="NTH23" s="407"/>
      <c r="NTI23" s="407"/>
      <c r="NTJ23" s="407"/>
      <c r="NTK23" s="407"/>
      <c r="NTL23" s="407"/>
      <c r="NTM23" s="407"/>
      <c r="NTN23" s="407"/>
      <c r="NTO23" s="407"/>
      <c r="NTP23" s="407"/>
      <c r="NTQ23" s="407"/>
      <c r="NTR23" s="407"/>
      <c r="NTS23" s="407"/>
      <c r="NTT23" s="407"/>
      <c r="NTU23" s="407"/>
      <c r="NTV23" s="407"/>
      <c r="NTW23" s="407"/>
      <c r="NTX23" s="407"/>
      <c r="NTY23" s="407"/>
      <c r="NTZ23" s="407"/>
      <c r="NUA23" s="407"/>
      <c r="NUB23" s="407"/>
      <c r="NUC23" s="407"/>
      <c r="NUD23" s="407"/>
      <c r="NUE23" s="407"/>
      <c r="NUF23" s="407"/>
      <c r="NUG23" s="407"/>
      <c r="NUH23" s="407"/>
      <c r="NUI23" s="407"/>
      <c r="NUJ23" s="407"/>
      <c r="NUK23" s="407"/>
      <c r="NUL23" s="407"/>
      <c r="NUM23" s="407"/>
      <c r="NUN23" s="407"/>
      <c r="NUO23" s="407"/>
      <c r="NUP23" s="407"/>
      <c r="NUQ23" s="407"/>
      <c r="NUR23" s="407"/>
      <c r="NUS23" s="407"/>
      <c r="NUT23" s="407"/>
      <c r="NUU23" s="407"/>
      <c r="NUV23" s="407"/>
      <c r="NUW23" s="407"/>
      <c r="NUX23" s="407"/>
      <c r="NUY23" s="407"/>
      <c r="NUZ23" s="407"/>
      <c r="NVA23" s="407"/>
      <c r="NVB23" s="407"/>
      <c r="NVC23" s="407"/>
      <c r="NVD23" s="407"/>
      <c r="NVE23" s="407"/>
      <c r="NVF23" s="407"/>
      <c r="NVG23" s="407"/>
      <c r="NVH23" s="407"/>
      <c r="NVI23" s="407"/>
      <c r="NVJ23" s="407"/>
      <c r="NVK23" s="407"/>
      <c r="NVL23" s="407"/>
      <c r="NVM23" s="407"/>
      <c r="NVN23" s="407"/>
      <c r="NVO23" s="407"/>
      <c r="NVP23" s="407"/>
      <c r="NVQ23" s="407"/>
      <c r="NVR23" s="407"/>
      <c r="NVS23" s="407"/>
      <c r="NVT23" s="407"/>
      <c r="NVU23" s="407"/>
      <c r="NVV23" s="407"/>
      <c r="NVW23" s="407"/>
      <c r="NVX23" s="407"/>
      <c r="NVY23" s="407"/>
      <c r="NVZ23" s="407"/>
      <c r="NWA23" s="407"/>
      <c r="NWB23" s="407"/>
      <c r="NWC23" s="407"/>
      <c r="NWD23" s="407"/>
      <c r="NWE23" s="407"/>
      <c r="NWF23" s="407"/>
      <c r="NWG23" s="407"/>
      <c r="NWH23" s="407"/>
      <c r="NWI23" s="407"/>
      <c r="NWJ23" s="407"/>
      <c r="NWK23" s="407"/>
      <c r="NWL23" s="407"/>
      <c r="NWM23" s="407"/>
      <c r="NWN23" s="407"/>
      <c r="NWO23" s="407"/>
      <c r="NWP23" s="407"/>
      <c r="NWQ23" s="407"/>
      <c r="NWR23" s="407"/>
      <c r="NWS23" s="407"/>
      <c r="NWT23" s="407"/>
      <c r="NWU23" s="407"/>
      <c r="NWV23" s="407"/>
      <c r="NWW23" s="407"/>
      <c r="NWX23" s="407"/>
      <c r="NWY23" s="407"/>
      <c r="NWZ23" s="407"/>
      <c r="NXA23" s="407"/>
      <c r="NXB23" s="407"/>
      <c r="NXC23" s="407"/>
      <c r="NXD23" s="407"/>
      <c r="NXE23" s="407"/>
      <c r="NXF23" s="407"/>
      <c r="NXG23" s="407"/>
      <c r="NXH23" s="407"/>
      <c r="NXI23" s="407"/>
      <c r="NXJ23" s="407"/>
      <c r="NXK23" s="407"/>
      <c r="NXL23" s="407"/>
      <c r="NXM23" s="407"/>
      <c r="NXN23" s="407"/>
      <c r="NXO23" s="407"/>
      <c r="NXP23" s="407"/>
      <c r="NXQ23" s="407"/>
      <c r="NXR23" s="407"/>
      <c r="NXS23" s="407"/>
      <c r="NXT23" s="407"/>
      <c r="NXU23" s="407"/>
      <c r="NXV23" s="407"/>
      <c r="NXW23" s="407"/>
      <c r="NXX23" s="407"/>
      <c r="NXY23" s="407"/>
      <c r="NXZ23" s="407"/>
      <c r="NYA23" s="407"/>
      <c r="NYB23" s="407"/>
      <c r="NYC23" s="407"/>
      <c r="NYD23" s="407"/>
      <c r="NYE23" s="407"/>
      <c r="NYF23" s="407"/>
      <c r="NYG23" s="407"/>
      <c r="NYH23" s="407"/>
      <c r="NYI23" s="407"/>
      <c r="NYJ23" s="407"/>
      <c r="NYK23" s="407"/>
      <c r="NYL23" s="407"/>
      <c r="NYM23" s="407"/>
      <c r="NYN23" s="407"/>
      <c r="NYO23" s="407"/>
      <c r="NYP23" s="407"/>
      <c r="NYQ23" s="407"/>
      <c r="NYR23" s="407"/>
      <c r="NYS23" s="407"/>
      <c r="NYT23" s="407"/>
      <c r="NYU23" s="407"/>
      <c r="NYV23" s="407"/>
      <c r="NYW23" s="407"/>
      <c r="NYX23" s="407"/>
      <c r="NYY23" s="407"/>
      <c r="NYZ23" s="407"/>
      <c r="NZA23" s="407"/>
      <c r="NZB23" s="407"/>
      <c r="NZC23" s="407"/>
      <c r="NZD23" s="407"/>
      <c r="NZE23" s="407"/>
      <c r="NZF23" s="407"/>
      <c r="NZG23" s="407"/>
      <c r="NZH23" s="407"/>
      <c r="NZI23" s="407"/>
      <c r="NZJ23" s="407"/>
      <c r="NZK23" s="407"/>
      <c r="NZL23" s="407"/>
      <c r="NZM23" s="407"/>
      <c r="NZN23" s="407"/>
      <c r="NZO23" s="407"/>
      <c r="NZP23" s="407"/>
      <c r="NZQ23" s="407"/>
      <c r="NZR23" s="407"/>
      <c r="NZS23" s="407"/>
      <c r="NZT23" s="407"/>
      <c r="NZU23" s="407"/>
      <c r="NZV23" s="407"/>
      <c r="NZW23" s="407"/>
      <c r="NZX23" s="407"/>
      <c r="NZY23" s="407"/>
      <c r="NZZ23" s="407"/>
      <c r="OAA23" s="407"/>
      <c r="OAB23" s="407"/>
      <c r="OAC23" s="407"/>
      <c r="OAD23" s="407"/>
      <c r="OAE23" s="407"/>
      <c r="OAF23" s="407"/>
      <c r="OAG23" s="407"/>
      <c r="OAH23" s="407"/>
      <c r="OAI23" s="407"/>
      <c r="OAJ23" s="407"/>
      <c r="OAK23" s="407"/>
      <c r="OAL23" s="407"/>
      <c r="OAM23" s="407"/>
      <c r="OAN23" s="407"/>
      <c r="OAO23" s="407"/>
      <c r="OAP23" s="407"/>
      <c r="OAQ23" s="407"/>
      <c r="OAR23" s="407"/>
      <c r="OAS23" s="407"/>
      <c r="OAT23" s="407"/>
      <c r="OAU23" s="407"/>
      <c r="OAV23" s="407"/>
      <c r="OAW23" s="407"/>
      <c r="OAX23" s="407"/>
      <c r="OAY23" s="407"/>
      <c r="OAZ23" s="407"/>
      <c r="OBA23" s="407"/>
      <c r="OBB23" s="407"/>
      <c r="OBC23" s="407"/>
      <c r="OBD23" s="407"/>
      <c r="OBE23" s="407"/>
      <c r="OBF23" s="407"/>
      <c r="OBG23" s="407"/>
      <c r="OBH23" s="407"/>
      <c r="OBI23" s="407"/>
      <c r="OBJ23" s="407"/>
      <c r="OBK23" s="407"/>
      <c r="OBL23" s="407"/>
      <c r="OBM23" s="407"/>
      <c r="OBN23" s="407"/>
      <c r="OBO23" s="407"/>
      <c r="OBP23" s="407"/>
      <c r="OBQ23" s="407"/>
      <c r="OBR23" s="407"/>
      <c r="OBS23" s="407"/>
      <c r="OBT23" s="407"/>
      <c r="OBU23" s="407"/>
      <c r="OBV23" s="407"/>
      <c r="OBW23" s="407"/>
      <c r="OBX23" s="407"/>
      <c r="OBY23" s="407"/>
      <c r="OBZ23" s="407"/>
      <c r="OCA23" s="407"/>
      <c r="OCB23" s="407"/>
      <c r="OCC23" s="407"/>
      <c r="OCD23" s="407"/>
      <c r="OCE23" s="407"/>
      <c r="OCF23" s="407"/>
      <c r="OCG23" s="407"/>
      <c r="OCH23" s="407"/>
      <c r="OCI23" s="407"/>
      <c r="OCJ23" s="407"/>
      <c r="OCK23" s="407"/>
      <c r="OCL23" s="407"/>
      <c r="OCM23" s="407"/>
      <c r="OCN23" s="407"/>
      <c r="OCO23" s="407"/>
      <c r="OCP23" s="407"/>
      <c r="OCQ23" s="407"/>
      <c r="OCR23" s="407"/>
      <c r="OCS23" s="407"/>
      <c r="OCT23" s="407"/>
      <c r="OCU23" s="407"/>
      <c r="OCV23" s="407"/>
      <c r="OCW23" s="407"/>
      <c r="OCX23" s="407"/>
      <c r="OCY23" s="407"/>
      <c r="OCZ23" s="407"/>
      <c r="ODA23" s="407"/>
      <c r="ODB23" s="407"/>
      <c r="ODC23" s="407"/>
      <c r="ODD23" s="407"/>
      <c r="ODE23" s="407"/>
      <c r="ODF23" s="407"/>
      <c r="ODG23" s="407"/>
      <c r="ODH23" s="407"/>
      <c r="ODI23" s="407"/>
      <c r="ODJ23" s="407"/>
      <c r="ODK23" s="407"/>
      <c r="ODL23" s="407"/>
      <c r="ODM23" s="407"/>
      <c r="ODN23" s="407"/>
      <c r="ODO23" s="407"/>
      <c r="ODP23" s="407"/>
      <c r="ODQ23" s="407"/>
      <c r="ODR23" s="407"/>
      <c r="ODS23" s="407"/>
      <c r="ODT23" s="407"/>
      <c r="ODU23" s="407"/>
      <c r="ODV23" s="407"/>
      <c r="ODW23" s="407"/>
      <c r="ODX23" s="407"/>
      <c r="ODY23" s="407"/>
      <c r="ODZ23" s="407"/>
      <c r="OEA23" s="407"/>
      <c r="OEB23" s="407"/>
      <c r="OEC23" s="407"/>
      <c r="OED23" s="407"/>
      <c r="OEE23" s="407"/>
      <c r="OEF23" s="407"/>
      <c r="OEG23" s="407"/>
      <c r="OEH23" s="407"/>
      <c r="OEI23" s="407"/>
      <c r="OEJ23" s="407"/>
      <c r="OEK23" s="407"/>
      <c r="OEL23" s="407"/>
      <c r="OEM23" s="407"/>
      <c r="OEN23" s="407"/>
      <c r="OEO23" s="407"/>
      <c r="OEP23" s="407"/>
      <c r="OEQ23" s="407"/>
      <c r="OER23" s="407"/>
      <c r="OES23" s="407"/>
      <c r="OET23" s="407"/>
      <c r="OEU23" s="407"/>
      <c r="OEV23" s="407"/>
      <c r="OEW23" s="407"/>
      <c r="OEX23" s="407"/>
      <c r="OEY23" s="407"/>
      <c r="OEZ23" s="407"/>
      <c r="OFA23" s="407"/>
      <c r="OFB23" s="407"/>
      <c r="OFC23" s="407"/>
      <c r="OFD23" s="407"/>
      <c r="OFE23" s="407"/>
      <c r="OFF23" s="407"/>
      <c r="OFG23" s="407"/>
      <c r="OFH23" s="407"/>
      <c r="OFI23" s="407"/>
      <c r="OFJ23" s="407"/>
      <c r="OFK23" s="407"/>
      <c r="OFL23" s="407"/>
      <c r="OFM23" s="407"/>
      <c r="OFN23" s="407"/>
      <c r="OFO23" s="407"/>
      <c r="OFP23" s="407"/>
      <c r="OFQ23" s="407"/>
      <c r="OFR23" s="407"/>
      <c r="OFS23" s="407"/>
      <c r="OFT23" s="407"/>
      <c r="OFU23" s="407"/>
      <c r="OFV23" s="407"/>
      <c r="OFW23" s="407"/>
      <c r="OFX23" s="407"/>
      <c r="OFY23" s="407"/>
      <c r="OFZ23" s="407"/>
      <c r="OGA23" s="407"/>
      <c r="OGB23" s="407"/>
      <c r="OGC23" s="407"/>
      <c r="OGD23" s="407"/>
      <c r="OGE23" s="407"/>
      <c r="OGF23" s="407"/>
      <c r="OGG23" s="407"/>
      <c r="OGH23" s="407"/>
      <c r="OGI23" s="407"/>
      <c r="OGJ23" s="407"/>
      <c r="OGK23" s="407"/>
      <c r="OGL23" s="407"/>
      <c r="OGM23" s="407"/>
      <c r="OGN23" s="407"/>
      <c r="OGO23" s="407"/>
      <c r="OGP23" s="407"/>
      <c r="OGQ23" s="407"/>
      <c r="OGR23" s="407"/>
      <c r="OGS23" s="407"/>
      <c r="OGT23" s="407"/>
      <c r="OGU23" s="407"/>
      <c r="OGV23" s="407"/>
      <c r="OGW23" s="407"/>
      <c r="OGX23" s="407"/>
      <c r="OGY23" s="407"/>
      <c r="OGZ23" s="407"/>
      <c r="OHA23" s="407"/>
      <c r="OHB23" s="407"/>
      <c r="OHC23" s="407"/>
      <c r="OHD23" s="407"/>
      <c r="OHE23" s="407"/>
      <c r="OHF23" s="407"/>
      <c r="OHG23" s="407"/>
      <c r="OHH23" s="407"/>
      <c r="OHI23" s="407"/>
      <c r="OHJ23" s="407"/>
      <c r="OHK23" s="407"/>
      <c r="OHL23" s="407"/>
      <c r="OHM23" s="407"/>
      <c r="OHN23" s="407"/>
      <c r="OHO23" s="407"/>
      <c r="OHP23" s="407"/>
      <c r="OHQ23" s="407"/>
      <c r="OHR23" s="407"/>
      <c r="OHS23" s="407"/>
      <c r="OHT23" s="407"/>
      <c r="OHU23" s="407"/>
      <c r="OHV23" s="407"/>
      <c r="OHW23" s="407"/>
      <c r="OHX23" s="407"/>
      <c r="OHY23" s="407"/>
      <c r="OHZ23" s="407"/>
      <c r="OIA23" s="407"/>
      <c r="OIB23" s="407"/>
      <c r="OIC23" s="407"/>
      <c r="OID23" s="407"/>
      <c r="OIE23" s="407"/>
      <c r="OIF23" s="407"/>
      <c r="OIG23" s="407"/>
      <c r="OIH23" s="407"/>
      <c r="OII23" s="407"/>
      <c r="OIJ23" s="407"/>
      <c r="OIK23" s="407"/>
      <c r="OIL23" s="407"/>
      <c r="OIM23" s="407"/>
      <c r="OIN23" s="407"/>
      <c r="OIO23" s="407"/>
      <c r="OIP23" s="407"/>
      <c r="OIQ23" s="407"/>
      <c r="OIR23" s="407"/>
      <c r="OIS23" s="407"/>
      <c r="OIT23" s="407"/>
      <c r="OIU23" s="407"/>
      <c r="OIV23" s="407"/>
      <c r="OIW23" s="407"/>
      <c r="OIX23" s="407"/>
      <c r="OIY23" s="407"/>
      <c r="OIZ23" s="407"/>
      <c r="OJA23" s="407"/>
      <c r="OJB23" s="407"/>
      <c r="OJC23" s="407"/>
      <c r="OJD23" s="407"/>
      <c r="OJE23" s="407"/>
      <c r="OJF23" s="407"/>
      <c r="OJG23" s="407"/>
      <c r="OJH23" s="407"/>
      <c r="OJI23" s="407"/>
      <c r="OJJ23" s="407"/>
      <c r="OJK23" s="407"/>
      <c r="OJL23" s="407"/>
      <c r="OJM23" s="407"/>
      <c r="OJN23" s="407"/>
      <c r="OJO23" s="407"/>
      <c r="OJP23" s="407"/>
      <c r="OJQ23" s="407"/>
      <c r="OJR23" s="407"/>
      <c r="OJS23" s="407"/>
      <c r="OJT23" s="407"/>
      <c r="OJU23" s="407"/>
      <c r="OJV23" s="407"/>
      <c r="OJW23" s="407"/>
      <c r="OJX23" s="407"/>
      <c r="OJY23" s="407"/>
      <c r="OJZ23" s="407"/>
      <c r="OKA23" s="407"/>
      <c r="OKB23" s="407"/>
      <c r="OKC23" s="407"/>
      <c r="OKD23" s="407"/>
      <c r="OKE23" s="407"/>
      <c r="OKF23" s="407"/>
      <c r="OKG23" s="407"/>
      <c r="OKH23" s="407"/>
      <c r="OKI23" s="407"/>
      <c r="OKJ23" s="407"/>
      <c r="OKK23" s="407"/>
      <c r="OKL23" s="407"/>
      <c r="OKM23" s="407"/>
      <c r="OKN23" s="407"/>
      <c r="OKO23" s="407"/>
      <c r="OKP23" s="407"/>
      <c r="OKQ23" s="407"/>
      <c r="OKR23" s="407"/>
      <c r="OKS23" s="407"/>
      <c r="OKT23" s="407"/>
      <c r="OKU23" s="407"/>
      <c r="OKV23" s="407"/>
      <c r="OKW23" s="407"/>
      <c r="OKX23" s="407"/>
      <c r="OKY23" s="407"/>
      <c r="OKZ23" s="407"/>
      <c r="OLA23" s="407"/>
      <c r="OLB23" s="407"/>
      <c r="OLC23" s="407"/>
      <c r="OLD23" s="407"/>
      <c r="OLE23" s="407"/>
      <c r="OLF23" s="407"/>
      <c r="OLG23" s="407"/>
      <c r="OLH23" s="407"/>
      <c r="OLI23" s="407"/>
      <c r="OLJ23" s="407"/>
      <c r="OLK23" s="407"/>
      <c r="OLL23" s="407"/>
      <c r="OLM23" s="407"/>
      <c r="OLN23" s="407"/>
      <c r="OLO23" s="407"/>
      <c r="OLP23" s="407"/>
      <c r="OLQ23" s="407"/>
      <c r="OLR23" s="407"/>
      <c r="OLS23" s="407"/>
      <c r="OLT23" s="407"/>
      <c r="OLU23" s="407"/>
      <c r="OLV23" s="407"/>
      <c r="OLW23" s="407"/>
      <c r="OLX23" s="407"/>
      <c r="OLY23" s="407"/>
      <c r="OLZ23" s="407"/>
      <c r="OMA23" s="407"/>
      <c r="OMB23" s="407"/>
      <c r="OMC23" s="407"/>
      <c r="OMD23" s="407"/>
      <c r="OME23" s="407"/>
      <c r="OMF23" s="407"/>
      <c r="OMG23" s="407"/>
      <c r="OMH23" s="407"/>
      <c r="OMI23" s="407"/>
      <c r="OMJ23" s="407"/>
      <c r="OMK23" s="407"/>
      <c r="OML23" s="407"/>
      <c r="OMM23" s="407"/>
      <c r="OMN23" s="407"/>
      <c r="OMO23" s="407"/>
      <c r="OMP23" s="407"/>
      <c r="OMQ23" s="407"/>
      <c r="OMR23" s="407"/>
      <c r="OMS23" s="407"/>
      <c r="OMT23" s="407"/>
      <c r="OMU23" s="407"/>
      <c r="OMV23" s="407"/>
      <c r="OMW23" s="407"/>
      <c r="OMX23" s="407"/>
      <c r="OMY23" s="407"/>
      <c r="OMZ23" s="407"/>
      <c r="ONA23" s="407"/>
      <c r="ONB23" s="407"/>
      <c r="ONC23" s="407"/>
      <c r="OND23" s="407"/>
      <c r="ONE23" s="407"/>
      <c r="ONF23" s="407"/>
      <c r="ONG23" s="407"/>
      <c r="ONH23" s="407"/>
      <c r="ONI23" s="407"/>
      <c r="ONJ23" s="407"/>
      <c r="ONK23" s="407"/>
      <c r="ONL23" s="407"/>
      <c r="ONM23" s="407"/>
      <c r="ONN23" s="407"/>
      <c r="ONO23" s="407"/>
      <c r="ONP23" s="407"/>
      <c r="ONQ23" s="407"/>
      <c r="ONR23" s="407"/>
      <c r="ONS23" s="407"/>
      <c r="ONT23" s="407"/>
      <c r="ONU23" s="407"/>
      <c r="ONV23" s="407"/>
      <c r="ONW23" s="407"/>
      <c r="ONX23" s="407"/>
      <c r="ONY23" s="407"/>
      <c r="ONZ23" s="407"/>
      <c r="OOA23" s="407"/>
      <c r="OOB23" s="407"/>
      <c r="OOC23" s="407"/>
      <c r="OOD23" s="407"/>
      <c r="OOE23" s="407"/>
      <c r="OOF23" s="407"/>
      <c r="OOG23" s="407"/>
      <c r="OOH23" s="407"/>
      <c r="OOI23" s="407"/>
      <c r="OOJ23" s="407"/>
      <c r="OOK23" s="407"/>
      <c r="OOL23" s="407"/>
      <c r="OOM23" s="407"/>
      <c r="OON23" s="407"/>
      <c r="OOO23" s="407"/>
      <c r="OOP23" s="407"/>
      <c r="OOQ23" s="407"/>
      <c r="OOR23" s="407"/>
      <c r="OOS23" s="407"/>
      <c r="OOT23" s="407"/>
      <c r="OOU23" s="407"/>
      <c r="OOV23" s="407"/>
      <c r="OOW23" s="407"/>
      <c r="OOX23" s="407"/>
      <c r="OOY23" s="407"/>
      <c r="OOZ23" s="407"/>
      <c r="OPA23" s="407"/>
      <c r="OPB23" s="407"/>
      <c r="OPC23" s="407"/>
      <c r="OPD23" s="407"/>
      <c r="OPE23" s="407"/>
      <c r="OPF23" s="407"/>
      <c r="OPG23" s="407"/>
      <c r="OPH23" s="407"/>
      <c r="OPI23" s="407"/>
      <c r="OPJ23" s="407"/>
      <c r="OPK23" s="407"/>
      <c r="OPL23" s="407"/>
      <c r="OPM23" s="407"/>
      <c r="OPN23" s="407"/>
      <c r="OPO23" s="407"/>
      <c r="OPP23" s="407"/>
      <c r="OPQ23" s="407"/>
      <c r="OPR23" s="407"/>
      <c r="OPS23" s="407"/>
      <c r="OPT23" s="407"/>
      <c r="OPU23" s="407"/>
      <c r="OPV23" s="407"/>
      <c r="OPW23" s="407"/>
      <c r="OPX23" s="407"/>
      <c r="OPY23" s="407"/>
      <c r="OPZ23" s="407"/>
      <c r="OQA23" s="407"/>
      <c r="OQB23" s="407"/>
      <c r="OQC23" s="407"/>
      <c r="OQD23" s="407"/>
      <c r="OQE23" s="407"/>
      <c r="OQF23" s="407"/>
      <c r="OQG23" s="407"/>
      <c r="OQH23" s="407"/>
      <c r="OQI23" s="407"/>
      <c r="OQJ23" s="407"/>
      <c r="OQK23" s="407"/>
      <c r="OQL23" s="407"/>
      <c r="OQM23" s="407"/>
      <c r="OQN23" s="407"/>
      <c r="OQO23" s="407"/>
      <c r="OQP23" s="407"/>
      <c r="OQQ23" s="407"/>
      <c r="OQR23" s="407"/>
      <c r="OQS23" s="407"/>
      <c r="OQT23" s="407"/>
      <c r="OQU23" s="407"/>
      <c r="OQV23" s="407"/>
      <c r="OQW23" s="407"/>
      <c r="OQX23" s="407"/>
      <c r="OQY23" s="407"/>
      <c r="OQZ23" s="407"/>
      <c r="ORA23" s="407"/>
      <c r="ORB23" s="407"/>
      <c r="ORC23" s="407"/>
      <c r="ORD23" s="407"/>
      <c r="ORE23" s="407"/>
      <c r="ORF23" s="407"/>
      <c r="ORG23" s="407"/>
      <c r="ORH23" s="407"/>
      <c r="ORI23" s="407"/>
      <c r="ORJ23" s="407"/>
      <c r="ORK23" s="407"/>
      <c r="ORL23" s="407"/>
      <c r="ORM23" s="407"/>
      <c r="ORN23" s="407"/>
      <c r="ORO23" s="407"/>
      <c r="ORP23" s="407"/>
      <c r="ORQ23" s="407"/>
      <c r="ORR23" s="407"/>
      <c r="ORS23" s="407"/>
      <c r="ORT23" s="407"/>
      <c r="ORU23" s="407"/>
      <c r="ORV23" s="407"/>
      <c r="ORW23" s="407"/>
      <c r="ORX23" s="407"/>
      <c r="ORY23" s="407"/>
      <c r="ORZ23" s="407"/>
      <c r="OSA23" s="407"/>
      <c r="OSB23" s="407"/>
      <c r="OSC23" s="407"/>
      <c r="OSD23" s="407"/>
      <c r="OSE23" s="407"/>
      <c r="OSF23" s="407"/>
      <c r="OSG23" s="407"/>
      <c r="OSH23" s="407"/>
      <c r="OSI23" s="407"/>
      <c r="OSJ23" s="407"/>
      <c r="OSK23" s="407"/>
      <c r="OSL23" s="407"/>
      <c r="OSM23" s="407"/>
      <c r="OSN23" s="407"/>
      <c r="OSO23" s="407"/>
      <c r="OSP23" s="407"/>
      <c r="OSQ23" s="407"/>
      <c r="OSR23" s="407"/>
      <c r="OSS23" s="407"/>
      <c r="OST23" s="407"/>
      <c r="OSU23" s="407"/>
      <c r="OSV23" s="407"/>
      <c r="OSW23" s="407"/>
      <c r="OSX23" s="407"/>
      <c r="OSY23" s="407"/>
      <c r="OSZ23" s="407"/>
      <c r="OTA23" s="407"/>
      <c r="OTB23" s="407"/>
      <c r="OTC23" s="407"/>
      <c r="OTD23" s="407"/>
      <c r="OTE23" s="407"/>
      <c r="OTF23" s="407"/>
      <c r="OTG23" s="407"/>
      <c r="OTH23" s="407"/>
      <c r="OTI23" s="407"/>
      <c r="OTJ23" s="407"/>
      <c r="OTK23" s="407"/>
      <c r="OTL23" s="407"/>
      <c r="OTM23" s="407"/>
      <c r="OTN23" s="407"/>
      <c r="OTO23" s="407"/>
      <c r="OTP23" s="407"/>
      <c r="OTQ23" s="407"/>
      <c r="OTR23" s="407"/>
      <c r="OTS23" s="407"/>
      <c r="OTT23" s="407"/>
      <c r="OTU23" s="407"/>
      <c r="OTV23" s="407"/>
      <c r="OTW23" s="407"/>
      <c r="OTX23" s="407"/>
      <c r="OTY23" s="407"/>
      <c r="OTZ23" s="407"/>
      <c r="OUA23" s="407"/>
      <c r="OUB23" s="407"/>
      <c r="OUC23" s="407"/>
      <c r="OUD23" s="407"/>
      <c r="OUE23" s="407"/>
      <c r="OUF23" s="407"/>
      <c r="OUG23" s="407"/>
      <c r="OUH23" s="407"/>
      <c r="OUI23" s="407"/>
      <c r="OUJ23" s="407"/>
      <c r="OUK23" s="407"/>
      <c r="OUL23" s="407"/>
      <c r="OUM23" s="407"/>
      <c r="OUN23" s="407"/>
      <c r="OUO23" s="407"/>
      <c r="OUP23" s="407"/>
      <c r="OUQ23" s="407"/>
      <c r="OUR23" s="407"/>
      <c r="OUS23" s="407"/>
      <c r="OUT23" s="407"/>
      <c r="OUU23" s="407"/>
      <c r="OUV23" s="407"/>
      <c r="OUW23" s="407"/>
      <c r="OUX23" s="407"/>
      <c r="OUY23" s="407"/>
      <c r="OUZ23" s="407"/>
      <c r="OVA23" s="407"/>
      <c r="OVB23" s="407"/>
      <c r="OVC23" s="407"/>
      <c r="OVD23" s="407"/>
      <c r="OVE23" s="407"/>
      <c r="OVF23" s="407"/>
      <c r="OVG23" s="407"/>
      <c r="OVH23" s="407"/>
      <c r="OVI23" s="407"/>
      <c r="OVJ23" s="407"/>
      <c r="OVK23" s="407"/>
      <c r="OVL23" s="407"/>
      <c r="OVM23" s="407"/>
      <c r="OVN23" s="407"/>
      <c r="OVO23" s="407"/>
      <c r="OVP23" s="407"/>
      <c r="OVQ23" s="407"/>
      <c r="OVR23" s="407"/>
      <c r="OVS23" s="407"/>
      <c r="OVT23" s="407"/>
      <c r="OVU23" s="407"/>
      <c r="OVV23" s="407"/>
      <c r="OVW23" s="407"/>
      <c r="OVX23" s="407"/>
      <c r="OVY23" s="407"/>
      <c r="OVZ23" s="407"/>
      <c r="OWA23" s="407"/>
      <c r="OWB23" s="407"/>
      <c r="OWC23" s="407"/>
      <c r="OWD23" s="407"/>
      <c r="OWE23" s="407"/>
      <c r="OWF23" s="407"/>
      <c r="OWG23" s="407"/>
      <c r="OWH23" s="407"/>
      <c r="OWI23" s="407"/>
      <c r="OWJ23" s="407"/>
      <c r="OWK23" s="407"/>
      <c r="OWL23" s="407"/>
      <c r="OWM23" s="407"/>
      <c r="OWN23" s="407"/>
      <c r="OWO23" s="407"/>
      <c r="OWP23" s="407"/>
      <c r="OWQ23" s="407"/>
      <c r="OWR23" s="407"/>
      <c r="OWS23" s="407"/>
      <c r="OWT23" s="407"/>
      <c r="OWU23" s="407"/>
      <c r="OWV23" s="407"/>
      <c r="OWW23" s="407"/>
      <c r="OWX23" s="407"/>
      <c r="OWY23" s="407"/>
      <c r="OWZ23" s="407"/>
      <c r="OXA23" s="407"/>
      <c r="OXB23" s="407"/>
      <c r="OXC23" s="407"/>
      <c r="OXD23" s="407"/>
      <c r="OXE23" s="407"/>
      <c r="OXF23" s="407"/>
      <c r="OXG23" s="407"/>
      <c r="OXH23" s="407"/>
      <c r="OXI23" s="407"/>
      <c r="OXJ23" s="407"/>
      <c r="OXK23" s="407"/>
      <c r="OXL23" s="407"/>
      <c r="OXM23" s="407"/>
      <c r="OXN23" s="407"/>
      <c r="OXO23" s="407"/>
      <c r="OXP23" s="407"/>
      <c r="OXQ23" s="407"/>
      <c r="OXR23" s="407"/>
      <c r="OXS23" s="407"/>
      <c r="OXT23" s="407"/>
      <c r="OXU23" s="407"/>
      <c r="OXV23" s="407"/>
      <c r="OXW23" s="407"/>
      <c r="OXX23" s="407"/>
      <c r="OXY23" s="407"/>
      <c r="OXZ23" s="407"/>
      <c r="OYA23" s="407"/>
      <c r="OYB23" s="407"/>
      <c r="OYC23" s="407"/>
      <c r="OYD23" s="407"/>
      <c r="OYE23" s="407"/>
      <c r="OYF23" s="407"/>
      <c r="OYG23" s="407"/>
      <c r="OYH23" s="407"/>
      <c r="OYI23" s="407"/>
      <c r="OYJ23" s="407"/>
      <c r="OYK23" s="407"/>
      <c r="OYL23" s="407"/>
      <c r="OYM23" s="407"/>
      <c r="OYN23" s="407"/>
      <c r="OYO23" s="407"/>
      <c r="OYP23" s="407"/>
      <c r="OYQ23" s="407"/>
      <c r="OYR23" s="407"/>
      <c r="OYS23" s="407"/>
      <c r="OYT23" s="407"/>
      <c r="OYU23" s="407"/>
      <c r="OYV23" s="407"/>
      <c r="OYW23" s="407"/>
      <c r="OYX23" s="407"/>
      <c r="OYY23" s="407"/>
      <c r="OYZ23" s="407"/>
      <c r="OZA23" s="407"/>
      <c r="OZB23" s="407"/>
      <c r="OZC23" s="407"/>
      <c r="OZD23" s="407"/>
      <c r="OZE23" s="407"/>
      <c r="OZF23" s="407"/>
      <c r="OZG23" s="407"/>
      <c r="OZH23" s="407"/>
      <c r="OZI23" s="407"/>
      <c r="OZJ23" s="407"/>
      <c r="OZK23" s="407"/>
      <c r="OZL23" s="407"/>
      <c r="OZM23" s="407"/>
      <c r="OZN23" s="407"/>
      <c r="OZO23" s="407"/>
      <c r="OZP23" s="407"/>
      <c r="OZQ23" s="407"/>
      <c r="OZR23" s="407"/>
      <c r="OZS23" s="407"/>
      <c r="OZT23" s="407"/>
      <c r="OZU23" s="407"/>
      <c r="OZV23" s="407"/>
      <c r="OZW23" s="407"/>
      <c r="OZX23" s="407"/>
      <c r="OZY23" s="407"/>
      <c r="OZZ23" s="407"/>
      <c r="PAA23" s="407"/>
      <c r="PAB23" s="407"/>
      <c r="PAC23" s="407"/>
      <c r="PAD23" s="407"/>
      <c r="PAE23" s="407"/>
      <c r="PAF23" s="407"/>
      <c r="PAG23" s="407"/>
      <c r="PAH23" s="407"/>
      <c r="PAI23" s="407"/>
      <c r="PAJ23" s="407"/>
      <c r="PAK23" s="407"/>
      <c r="PAL23" s="407"/>
      <c r="PAM23" s="407"/>
      <c r="PAN23" s="407"/>
      <c r="PAO23" s="407"/>
      <c r="PAP23" s="407"/>
      <c r="PAQ23" s="407"/>
      <c r="PAR23" s="407"/>
      <c r="PAS23" s="407"/>
      <c r="PAT23" s="407"/>
      <c r="PAU23" s="407"/>
      <c r="PAV23" s="407"/>
      <c r="PAW23" s="407"/>
      <c r="PAX23" s="407"/>
      <c r="PAY23" s="407"/>
      <c r="PAZ23" s="407"/>
      <c r="PBA23" s="407"/>
      <c r="PBB23" s="407"/>
      <c r="PBC23" s="407"/>
      <c r="PBD23" s="407"/>
      <c r="PBE23" s="407"/>
      <c r="PBF23" s="407"/>
      <c r="PBG23" s="407"/>
      <c r="PBH23" s="407"/>
      <c r="PBI23" s="407"/>
      <c r="PBJ23" s="407"/>
      <c r="PBK23" s="407"/>
      <c r="PBL23" s="407"/>
      <c r="PBM23" s="407"/>
      <c r="PBN23" s="407"/>
      <c r="PBO23" s="407"/>
      <c r="PBP23" s="407"/>
      <c r="PBQ23" s="407"/>
      <c r="PBR23" s="407"/>
      <c r="PBS23" s="407"/>
      <c r="PBT23" s="407"/>
      <c r="PBU23" s="407"/>
      <c r="PBV23" s="407"/>
      <c r="PBW23" s="407"/>
      <c r="PBX23" s="407"/>
      <c r="PBY23" s="407"/>
      <c r="PBZ23" s="407"/>
      <c r="PCA23" s="407"/>
      <c r="PCB23" s="407"/>
      <c r="PCC23" s="407"/>
      <c r="PCD23" s="407"/>
      <c r="PCE23" s="407"/>
      <c r="PCF23" s="407"/>
      <c r="PCG23" s="407"/>
      <c r="PCH23" s="407"/>
      <c r="PCI23" s="407"/>
      <c r="PCJ23" s="407"/>
      <c r="PCK23" s="407"/>
      <c r="PCL23" s="407"/>
      <c r="PCM23" s="407"/>
      <c r="PCN23" s="407"/>
      <c r="PCO23" s="407"/>
      <c r="PCP23" s="407"/>
      <c r="PCQ23" s="407"/>
      <c r="PCR23" s="407"/>
      <c r="PCS23" s="407"/>
      <c r="PCT23" s="407"/>
      <c r="PCU23" s="407"/>
      <c r="PCV23" s="407"/>
      <c r="PCW23" s="407"/>
      <c r="PCX23" s="407"/>
      <c r="PCY23" s="407"/>
      <c r="PCZ23" s="407"/>
      <c r="PDA23" s="407"/>
      <c r="PDB23" s="407"/>
      <c r="PDC23" s="407"/>
      <c r="PDD23" s="407"/>
      <c r="PDE23" s="407"/>
      <c r="PDF23" s="407"/>
      <c r="PDG23" s="407"/>
      <c r="PDH23" s="407"/>
      <c r="PDI23" s="407"/>
      <c r="PDJ23" s="407"/>
      <c r="PDK23" s="407"/>
      <c r="PDL23" s="407"/>
      <c r="PDM23" s="407"/>
      <c r="PDN23" s="407"/>
      <c r="PDO23" s="407"/>
      <c r="PDP23" s="407"/>
      <c r="PDQ23" s="407"/>
      <c r="PDR23" s="407"/>
      <c r="PDS23" s="407"/>
      <c r="PDT23" s="407"/>
      <c r="PDU23" s="407"/>
      <c r="PDV23" s="407"/>
      <c r="PDW23" s="407"/>
      <c r="PDX23" s="407"/>
      <c r="PDY23" s="407"/>
      <c r="PDZ23" s="407"/>
      <c r="PEA23" s="407"/>
      <c r="PEB23" s="407"/>
      <c r="PEC23" s="407"/>
      <c r="PED23" s="407"/>
      <c r="PEE23" s="407"/>
      <c r="PEF23" s="407"/>
      <c r="PEG23" s="407"/>
      <c r="PEH23" s="407"/>
      <c r="PEI23" s="407"/>
      <c r="PEJ23" s="407"/>
      <c r="PEK23" s="407"/>
      <c r="PEL23" s="407"/>
      <c r="PEM23" s="407"/>
      <c r="PEN23" s="407"/>
      <c r="PEO23" s="407"/>
      <c r="PEP23" s="407"/>
      <c r="PEQ23" s="407"/>
      <c r="PER23" s="407"/>
      <c r="PES23" s="407"/>
      <c r="PET23" s="407"/>
      <c r="PEU23" s="407"/>
      <c r="PEV23" s="407"/>
      <c r="PEW23" s="407"/>
      <c r="PEX23" s="407"/>
      <c r="PEY23" s="407"/>
      <c r="PEZ23" s="407"/>
      <c r="PFA23" s="407"/>
      <c r="PFB23" s="407"/>
      <c r="PFC23" s="407"/>
      <c r="PFD23" s="407"/>
      <c r="PFE23" s="407"/>
      <c r="PFF23" s="407"/>
      <c r="PFG23" s="407"/>
      <c r="PFH23" s="407"/>
      <c r="PFI23" s="407"/>
      <c r="PFJ23" s="407"/>
      <c r="PFK23" s="407"/>
      <c r="PFL23" s="407"/>
      <c r="PFM23" s="407"/>
      <c r="PFN23" s="407"/>
      <c r="PFO23" s="407"/>
      <c r="PFP23" s="407"/>
      <c r="PFQ23" s="407"/>
      <c r="PFR23" s="407"/>
      <c r="PFS23" s="407"/>
      <c r="PFT23" s="407"/>
      <c r="PFU23" s="407"/>
      <c r="PFV23" s="407"/>
      <c r="PFW23" s="407"/>
      <c r="PFX23" s="407"/>
      <c r="PFY23" s="407"/>
      <c r="PFZ23" s="407"/>
      <c r="PGA23" s="407"/>
      <c r="PGB23" s="407"/>
      <c r="PGC23" s="407"/>
      <c r="PGD23" s="407"/>
      <c r="PGE23" s="407"/>
      <c r="PGF23" s="407"/>
      <c r="PGG23" s="407"/>
      <c r="PGH23" s="407"/>
      <c r="PGI23" s="407"/>
      <c r="PGJ23" s="407"/>
      <c r="PGK23" s="407"/>
      <c r="PGL23" s="407"/>
      <c r="PGM23" s="407"/>
      <c r="PGN23" s="407"/>
      <c r="PGO23" s="407"/>
      <c r="PGP23" s="407"/>
      <c r="PGQ23" s="407"/>
      <c r="PGR23" s="407"/>
      <c r="PGS23" s="407"/>
      <c r="PGT23" s="407"/>
      <c r="PGU23" s="407"/>
      <c r="PGV23" s="407"/>
      <c r="PGW23" s="407"/>
      <c r="PGX23" s="407"/>
      <c r="PGY23" s="407"/>
      <c r="PGZ23" s="407"/>
      <c r="PHA23" s="407"/>
      <c r="PHB23" s="407"/>
      <c r="PHC23" s="407"/>
      <c r="PHD23" s="407"/>
      <c r="PHE23" s="407"/>
      <c r="PHF23" s="407"/>
      <c r="PHG23" s="407"/>
      <c r="PHH23" s="407"/>
      <c r="PHI23" s="407"/>
      <c r="PHJ23" s="407"/>
      <c r="PHK23" s="407"/>
      <c r="PHL23" s="407"/>
      <c r="PHM23" s="407"/>
      <c r="PHN23" s="407"/>
      <c r="PHO23" s="407"/>
      <c r="PHP23" s="407"/>
      <c r="PHQ23" s="407"/>
      <c r="PHR23" s="407"/>
      <c r="PHS23" s="407"/>
      <c r="PHT23" s="407"/>
      <c r="PHU23" s="407"/>
      <c r="PHV23" s="407"/>
      <c r="PHW23" s="407"/>
      <c r="PHX23" s="407"/>
      <c r="PHY23" s="407"/>
      <c r="PHZ23" s="407"/>
      <c r="PIA23" s="407"/>
      <c r="PIB23" s="407"/>
      <c r="PIC23" s="407"/>
      <c r="PID23" s="407"/>
      <c r="PIE23" s="407"/>
      <c r="PIF23" s="407"/>
      <c r="PIG23" s="407"/>
      <c r="PIH23" s="407"/>
      <c r="PII23" s="407"/>
      <c r="PIJ23" s="407"/>
      <c r="PIK23" s="407"/>
      <c r="PIL23" s="407"/>
      <c r="PIM23" s="407"/>
      <c r="PIN23" s="407"/>
      <c r="PIO23" s="407"/>
      <c r="PIP23" s="407"/>
      <c r="PIQ23" s="407"/>
      <c r="PIR23" s="407"/>
      <c r="PIS23" s="407"/>
      <c r="PIT23" s="407"/>
      <c r="PIU23" s="407"/>
      <c r="PIV23" s="407"/>
      <c r="PIW23" s="407"/>
      <c r="PIX23" s="407"/>
      <c r="PIY23" s="407"/>
      <c r="PIZ23" s="407"/>
      <c r="PJA23" s="407"/>
      <c r="PJB23" s="407"/>
      <c r="PJC23" s="407"/>
      <c r="PJD23" s="407"/>
      <c r="PJE23" s="407"/>
      <c r="PJF23" s="407"/>
      <c r="PJG23" s="407"/>
      <c r="PJH23" s="407"/>
      <c r="PJI23" s="407"/>
      <c r="PJJ23" s="407"/>
      <c r="PJK23" s="407"/>
      <c r="PJL23" s="407"/>
      <c r="PJM23" s="407"/>
      <c r="PJN23" s="407"/>
      <c r="PJO23" s="407"/>
      <c r="PJP23" s="407"/>
      <c r="PJQ23" s="407"/>
      <c r="PJR23" s="407"/>
      <c r="PJS23" s="407"/>
      <c r="PJT23" s="407"/>
      <c r="PJU23" s="407"/>
      <c r="PJV23" s="407"/>
      <c r="PJW23" s="407"/>
      <c r="PJX23" s="407"/>
      <c r="PJY23" s="407"/>
      <c r="PJZ23" s="407"/>
      <c r="PKA23" s="407"/>
      <c r="PKB23" s="407"/>
      <c r="PKC23" s="407"/>
      <c r="PKD23" s="407"/>
      <c r="PKE23" s="407"/>
      <c r="PKF23" s="407"/>
      <c r="PKG23" s="407"/>
      <c r="PKH23" s="407"/>
      <c r="PKI23" s="407"/>
      <c r="PKJ23" s="407"/>
      <c r="PKK23" s="407"/>
      <c r="PKL23" s="407"/>
      <c r="PKM23" s="407"/>
      <c r="PKN23" s="407"/>
      <c r="PKO23" s="407"/>
      <c r="PKP23" s="407"/>
      <c r="PKQ23" s="407"/>
      <c r="PKR23" s="407"/>
      <c r="PKS23" s="407"/>
      <c r="PKT23" s="407"/>
      <c r="PKU23" s="407"/>
      <c r="PKV23" s="407"/>
      <c r="PKW23" s="407"/>
      <c r="PKX23" s="407"/>
      <c r="PKY23" s="407"/>
      <c r="PKZ23" s="407"/>
      <c r="PLA23" s="407"/>
      <c r="PLB23" s="407"/>
      <c r="PLC23" s="407"/>
      <c r="PLD23" s="407"/>
      <c r="PLE23" s="407"/>
      <c r="PLF23" s="407"/>
      <c r="PLG23" s="407"/>
      <c r="PLH23" s="407"/>
      <c r="PLI23" s="407"/>
      <c r="PLJ23" s="407"/>
      <c r="PLK23" s="407"/>
      <c r="PLL23" s="407"/>
      <c r="PLM23" s="407"/>
      <c r="PLN23" s="407"/>
      <c r="PLO23" s="407"/>
      <c r="PLP23" s="407"/>
      <c r="PLQ23" s="407"/>
      <c r="PLR23" s="407"/>
      <c r="PLS23" s="407"/>
      <c r="PLT23" s="407"/>
      <c r="PLU23" s="407"/>
      <c r="PLV23" s="407"/>
      <c r="PLW23" s="407"/>
      <c r="PLX23" s="407"/>
      <c r="PLY23" s="407"/>
      <c r="PLZ23" s="407"/>
      <c r="PMA23" s="407"/>
      <c r="PMB23" s="407"/>
      <c r="PMC23" s="407"/>
      <c r="PMD23" s="407"/>
      <c r="PME23" s="407"/>
      <c r="PMF23" s="407"/>
      <c r="PMG23" s="407"/>
      <c r="PMH23" s="407"/>
      <c r="PMI23" s="407"/>
      <c r="PMJ23" s="407"/>
      <c r="PMK23" s="407"/>
      <c r="PML23" s="407"/>
      <c r="PMM23" s="407"/>
      <c r="PMN23" s="407"/>
      <c r="PMO23" s="407"/>
      <c r="PMP23" s="407"/>
      <c r="PMQ23" s="407"/>
      <c r="PMR23" s="407"/>
      <c r="PMS23" s="407"/>
      <c r="PMT23" s="407"/>
      <c r="PMU23" s="407"/>
      <c r="PMV23" s="407"/>
      <c r="PMW23" s="407"/>
      <c r="PMX23" s="407"/>
      <c r="PMY23" s="407"/>
      <c r="PMZ23" s="407"/>
      <c r="PNA23" s="407"/>
      <c r="PNB23" s="407"/>
      <c r="PNC23" s="407"/>
      <c r="PND23" s="407"/>
      <c r="PNE23" s="407"/>
      <c r="PNF23" s="407"/>
      <c r="PNG23" s="407"/>
      <c r="PNH23" s="407"/>
      <c r="PNI23" s="407"/>
      <c r="PNJ23" s="407"/>
      <c r="PNK23" s="407"/>
      <c r="PNL23" s="407"/>
      <c r="PNM23" s="407"/>
      <c r="PNN23" s="407"/>
      <c r="PNO23" s="407"/>
      <c r="PNP23" s="407"/>
      <c r="PNQ23" s="407"/>
      <c r="PNR23" s="407"/>
      <c r="PNS23" s="407"/>
      <c r="PNT23" s="407"/>
      <c r="PNU23" s="407"/>
      <c r="PNV23" s="407"/>
      <c r="PNW23" s="407"/>
      <c r="PNX23" s="407"/>
      <c r="PNY23" s="407"/>
      <c r="PNZ23" s="407"/>
      <c r="POA23" s="407"/>
      <c r="POB23" s="407"/>
      <c r="POC23" s="407"/>
      <c r="POD23" s="407"/>
      <c r="POE23" s="407"/>
      <c r="POF23" s="407"/>
      <c r="POG23" s="407"/>
      <c r="POH23" s="407"/>
      <c r="POI23" s="407"/>
      <c r="POJ23" s="407"/>
      <c r="POK23" s="407"/>
      <c r="POL23" s="407"/>
      <c r="POM23" s="407"/>
      <c r="PON23" s="407"/>
      <c r="POO23" s="407"/>
      <c r="POP23" s="407"/>
      <c r="POQ23" s="407"/>
      <c r="POR23" s="407"/>
      <c r="POS23" s="407"/>
      <c r="POT23" s="407"/>
      <c r="POU23" s="407"/>
      <c r="POV23" s="407"/>
      <c r="POW23" s="407"/>
      <c r="POX23" s="407"/>
      <c r="POY23" s="407"/>
      <c r="POZ23" s="407"/>
      <c r="PPA23" s="407"/>
      <c r="PPB23" s="407"/>
      <c r="PPC23" s="407"/>
      <c r="PPD23" s="407"/>
      <c r="PPE23" s="407"/>
      <c r="PPF23" s="407"/>
      <c r="PPG23" s="407"/>
      <c r="PPH23" s="407"/>
      <c r="PPI23" s="407"/>
      <c r="PPJ23" s="407"/>
      <c r="PPK23" s="407"/>
      <c r="PPL23" s="407"/>
      <c r="PPM23" s="407"/>
      <c r="PPN23" s="407"/>
      <c r="PPO23" s="407"/>
      <c r="PPP23" s="407"/>
      <c r="PPQ23" s="407"/>
      <c r="PPR23" s="407"/>
      <c r="PPS23" s="407"/>
      <c r="PPT23" s="407"/>
      <c r="PPU23" s="407"/>
      <c r="PPV23" s="407"/>
      <c r="PPW23" s="407"/>
      <c r="PPX23" s="407"/>
      <c r="PPY23" s="407"/>
      <c r="PPZ23" s="407"/>
      <c r="PQA23" s="407"/>
      <c r="PQB23" s="407"/>
      <c r="PQC23" s="407"/>
      <c r="PQD23" s="407"/>
      <c r="PQE23" s="407"/>
      <c r="PQF23" s="407"/>
      <c r="PQG23" s="407"/>
      <c r="PQH23" s="407"/>
      <c r="PQI23" s="407"/>
      <c r="PQJ23" s="407"/>
      <c r="PQK23" s="407"/>
      <c r="PQL23" s="407"/>
      <c r="PQM23" s="407"/>
      <c r="PQN23" s="407"/>
      <c r="PQO23" s="407"/>
      <c r="PQP23" s="407"/>
      <c r="PQQ23" s="407"/>
      <c r="PQR23" s="407"/>
      <c r="PQS23" s="407"/>
      <c r="PQT23" s="407"/>
      <c r="PQU23" s="407"/>
      <c r="PQV23" s="407"/>
      <c r="PQW23" s="407"/>
      <c r="PQX23" s="407"/>
      <c r="PQY23" s="407"/>
      <c r="PQZ23" s="407"/>
      <c r="PRA23" s="407"/>
      <c r="PRB23" s="407"/>
      <c r="PRC23" s="407"/>
      <c r="PRD23" s="407"/>
      <c r="PRE23" s="407"/>
      <c r="PRF23" s="407"/>
      <c r="PRG23" s="407"/>
      <c r="PRH23" s="407"/>
      <c r="PRI23" s="407"/>
      <c r="PRJ23" s="407"/>
      <c r="PRK23" s="407"/>
      <c r="PRL23" s="407"/>
      <c r="PRM23" s="407"/>
      <c r="PRN23" s="407"/>
      <c r="PRO23" s="407"/>
      <c r="PRP23" s="407"/>
      <c r="PRQ23" s="407"/>
      <c r="PRR23" s="407"/>
      <c r="PRS23" s="407"/>
      <c r="PRT23" s="407"/>
      <c r="PRU23" s="407"/>
      <c r="PRV23" s="407"/>
      <c r="PRW23" s="407"/>
      <c r="PRX23" s="407"/>
      <c r="PRY23" s="407"/>
      <c r="PRZ23" s="407"/>
      <c r="PSA23" s="407"/>
      <c r="PSB23" s="407"/>
      <c r="PSC23" s="407"/>
      <c r="PSD23" s="407"/>
      <c r="PSE23" s="407"/>
      <c r="PSF23" s="407"/>
      <c r="PSG23" s="407"/>
      <c r="PSH23" s="407"/>
      <c r="PSI23" s="407"/>
      <c r="PSJ23" s="407"/>
      <c r="PSK23" s="407"/>
      <c r="PSL23" s="407"/>
      <c r="PSM23" s="407"/>
      <c r="PSN23" s="407"/>
      <c r="PSO23" s="407"/>
      <c r="PSP23" s="407"/>
      <c r="PSQ23" s="407"/>
      <c r="PSR23" s="407"/>
      <c r="PSS23" s="407"/>
      <c r="PST23" s="407"/>
      <c r="PSU23" s="407"/>
      <c r="PSV23" s="407"/>
      <c r="PSW23" s="407"/>
      <c r="PSX23" s="407"/>
      <c r="PSY23" s="407"/>
      <c r="PSZ23" s="407"/>
      <c r="PTA23" s="407"/>
      <c r="PTB23" s="407"/>
      <c r="PTC23" s="407"/>
      <c r="PTD23" s="407"/>
      <c r="PTE23" s="407"/>
      <c r="PTF23" s="407"/>
      <c r="PTG23" s="407"/>
      <c r="PTH23" s="407"/>
      <c r="PTI23" s="407"/>
      <c r="PTJ23" s="407"/>
      <c r="PTK23" s="407"/>
      <c r="PTL23" s="407"/>
      <c r="PTM23" s="407"/>
      <c r="PTN23" s="407"/>
      <c r="PTO23" s="407"/>
      <c r="PTP23" s="407"/>
      <c r="PTQ23" s="407"/>
      <c r="PTR23" s="407"/>
      <c r="PTS23" s="407"/>
      <c r="PTT23" s="407"/>
      <c r="PTU23" s="407"/>
      <c r="PTV23" s="407"/>
      <c r="PTW23" s="407"/>
      <c r="PTX23" s="407"/>
      <c r="PTY23" s="407"/>
      <c r="PTZ23" s="407"/>
      <c r="PUA23" s="407"/>
      <c r="PUB23" s="407"/>
      <c r="PUC23" s="407"/>
      <c r="PUD23" s="407"/>
      <c r="PUE23" s="407"/>
      <c r="PUF23" s="407"/>
      <c r="PUG23" s="407"/>
      <c r="PUH23" s="407"/>
      <c r="PUI23" s="407"/>
      <c r="PUJ23" s="407"/>
      <c r="PUK23" s="407"/>
      <c r="PUL23" s="407"/>
      <c r="PUM23" s="407"/>
      <c r="PUN23" s="407"/>
      <c r="PUO23" s="407"/>
      <c r="PUP23" s="407"/>
      <c r="PUQ23" s="407"/>
      <c r="PUR23" s="407"/>
      <c r="PUS23" s="407"/>
      <c r="PUT23" s="407"/>
      <c r="PUU23" s="407"/>
      <c r="PUV23" s="407"/>
      <c r="PUW23" s="407"/>
      <c r="PUX23" s="407"/>
      <c r="PUY23" s="407"/>
      <c r="PUZ23" s="407"/>
      <c r="PVA23" s="407"/>
      <c r="PVB23" s="407"/>
      <c r="PVC23" s="407"/>
      <c r="PVD23" s="407"/>
      <c r="PVE23" s="407"/>
      <c r="PVF23" s="407"/>
      <c r="PVG23" s="407"/>
      <c r="PVH23" s="407"/>
      <c r="PVI23" s="407"/>
      <c r="PVJ23" s="407"/>
      <c r="PVK23" s="407"/>
      <c r="PVL23" s="407"/>
      <c r="PVM23" s="407"/>
      <c r="PVN23" s="407"/>
      <c r="PVO23" s="407"/>
      <c r="PVP23" s="407"/>
      <c r="PVQ23" s="407"/>
      <c r="PVR23" s="407"/>
      <c r="PVS23" s="407"/>
      <c r="PVT23" s="407"/>
      <c r="PVU23" s="407"/>
      <c r="PVV23" s="407"/>
      <c r="PVW23" s="407"/>
      <c r="PVX23" s="407"/>
      <c r="PVY23" s="407"/>
      <c r="PVZ23" s="407"/>
      <c r="PWA23" s="407"/>
      <c r="PWB23" s="407"/>
      <c r="PWC23" s="407"/>
      <c r="PWD23" s="407"/>
      <c r="PWE23" s="407"/>
      <c r="PWF23" s="407"/>
      <c r="PWG23" s="407"/>
      <c r="PWH23" s="407"/>
      <c r="PWI23" s="407"/>
      <c r="PWJ23" s="407"/>
      <c r="PWK23" s="407"/>
      <c r="PWL23" s="407"/>
      <c r="PWM23" s="407"/>
      <c r="PWN23" s="407"/>
      <c r="PWO23" s="407"/>
      <c r="PWP23" s="407"/>
      <c r="PWQ23" s="407"/>
      <c r="PWR23" s="407"/>
      <c r="PWS23" s="407"/>
      <c r="PWT23" s="407"/>
      <c r="PWU23" s="407"/>
      <c r="PWV23" s="407"/>
      <c r="PWW23" s="407"/>
      <c r="PWX23" s="407"/>
      <c r="PWY23" s="407"/>
      <c r="PWZ23" s="407"/>
      <c r="PXA23" s="407"/>
      <c r="PXB23" s="407"/>
      <c r="PXC23" s="407"/>
      <c r="PXD23" s="407"/>
      <c r="PXE23" s="407"/>
      <c r="PXF23" s="407"/>
      <c r="PXG23" s="407"/>
      <c r="PXH23" s="407"/>
      <c r="PXI23" s="407"/>
      <c r="PXJ23" s="407"/>
      <c r="PXK23" s="407"/>
      <c r="PXL23" s="407"/>
      <c r="PXM23" s="407"/>
      <c r="PXN23" s="407"/>
      <c r="PXO23" s="407"/>
      <c r="PXP23" s="407"/>
      <c r="PXQ23" s="407"/>
      <c r="PXR23" s="407"/>
      <c r="PXS23" s="407"/>
      <c r="PXT23" s="407"/>
      <c r="PXU23" s="407"/>
      <c r="PXV23" s="407"/>
      <c r="PXW23" s="407"/>
      <c r="PXX23" s="407"/>
      <c r="PXY23" s="407"/>
      <c r="PXZ23" s="407"/>
      <c r="PYA23" s="407"/>
      <c r="PYB23" s="407"/>
      <c r="PYC23" s="407"/>
      <c r="PYD23" s="407"/>
      <c r="PYE23" s="407"/>
      <c r="PYF23" s="407"/>
      <c r="PYG23" s="407"/>
      <c r="PYH23" s="407"/>
      <c r="PYI23" s="407"/>
      <c r="PYJ23" s="407"/>
      <c r="PYK23" s="407"/>
      <c r="PYL23" s="407"/>
      <c r="PYM23" s="407"/>
      <c r="PYN23" s="407"/>
      <c r="PYO23" s="407"/>
      <c r="PYP23" s="407"/>
      <c r="PYQ23" s="407"/>
      <c r="PYR23" s="407"/>
      <c r="PYS23" s="407"/>
      <c r="PYT23" s="407"/>
      <c r="PYU23" s="407"/>
      <c r="PYV23" s="407"/>
      <c r="PYW23" s="407"/>
      <c r="PYX23" s="407"/>
      <c r="PYY23" s="407"/>
      <c r="PYZ23" s="407"/>
      <c r="PZA23" s="407"/>
      <c r="PZB23" s="407"/>
      <c r="PZC23" s="407"/>
      <c r="PZD23" s="407"/>
      <c r="PZE23" s="407"/>
      <c r="PZF23" s="407"/>
      <c r="PZG23" s="407"/>
      <c r="PZH23" s="407"/>
      <c r="PZI23" s="407"/>
      <c r="PZJ23" s="407"/>
      <c r="PZK23" s="407"/>
      <c r="PZL23" s="407"/>
      <c r="PZM23" s="407"/>
      <c r="PZN23" s="407"/>
      <c r="PZO23" s="407"/>
      <c r="PZP23" s="407"/>
      <c r="PZQ23" s="407"/>
      <c r="PZR23" s="407"/>
      <c r="PZS23" s="407"/>
      <c r="PZT23" s="407"/>
      <c r="PZU23" s="407"/>
      <c r="PZV23" s="407"/>
      <c r="PZW23" s="407"/>
      <c r="PZX23" s="407"/>
      <c r="PZY23" s="407"/>
      <c r="PZZ23" s="407"/>
      <c r="QAA23" s="407"/>
      <c r="QAB23" s="407"/>
      <c r="QAC23" s="407"/>
      <c r="QAD23" s="407"/>
      <c r="QAE23" s="407"/>
      <c r="QAF23" s="407"/>
      <c r="QAG23" s="407"/>
      <c r="QAH23" s="407"/>
      <c r="QAI23" s="407"/>
      <c r="QAJ23" s="407"/>
      <c r="QAK23" s="407"/>
      <c r="QAL23" s="407"/>
      <c r="QAM23" s="407"/>
      <c r="QAN23" s="407"/>
      <c r="QAO23" s="407"/>
      <c r="QAP23" s="407"/>
      <c r="QAQ23" s="407"/>
      <c r="QAR23" s="407"/>
      <c r="QAS23" s="407"/>
      <c r="QAT23" s="407"/>
      <c r="QAU23" s="407"/>
      <c r="QAV23" s="407"/>
      <c r="QAW23" s="407"/>
      <c r="QAX23" s="407"/>
      <c r="QAY23" s="407"/>
      <c r="QAZ23" s="407"/>
      <c r="QBA23" s="407"/>
      <c r="QBB23" s="407"/>
      <c r="QBC23" s="407"/>
      <c r="QBD23" s="407"/>
      <c r="QBE23" s="407"/>
      <c r="QBF23" s="407"/>
      <c r="QBG23" s="407"/>
      <c r="QBH23" s="407"/>
      <c r="QBI23" s="407"/>
      <c r="QBJ23" s="407"/>
      <c r="QBK23" s="407"/>
      <c r="QBL23" s="407"/>
      <c r="QBM23" s="407"/>
      <c r="QBN23" s="407"/>
      <c r="QBO23" s="407"/>
      <c r="QBP23" s="407"/>
      <c r="QBQ23" s="407"/>
      <c r="QBR23" s="407"/>
      <c r="QBS23" s="407"/>
      <c r="QBT23" s="407"/>
      <c r="QBU23" s="407"/>
      <c r="QBV23" s="407"/>
      <c r="QBW23" s="407"/>
      <c r="QBX23" s="407"/>
      <c r="QBY23" s="407"/>
      <c r="QBZ23" s="407"/>
      <c r="QCA23" s="407"/>
      <c r="QCB23" s="407"/>
      <c r="QCC23" s="407"/>
      <c r="QCD23" s="407"/>
      <c r="QCE23" s="407"/>
      <c r="QCF23" s="407"/>
      <c r="QCG23" s="407"/>
      <c r="QCH23" s="407"/>
      <c r="QCI23" s="407"/>
      <c r="QCJ23" s="407"/>
      <c r="QCK23" s="407"/>
      <c r="QCL23" s="407"/>
      <c r="QCM23" s="407"/>
      <c r="QCN23" s="407"/>
      <c r="QCO23" s="407"/>
      <c r="QCP23" s="407"/>
      <c r="QCQ23" s="407"/>
      <c r="QCR23" s="407"/>
      <c r="QCS23" s="407"/>
      <c r="QCT23" s="407"/>
      <c r="QCU23" s="407"/>
      <c r="QCV23" s="407"/>
      <c r="QCW23" s="407"/>
      <c r="QCX23" s="407"/>
      <c r="QCY23" s="407"/>
      <c r="QCZ23" s="407"/>
      <c r="QDA23" s="407"/>
      <c r="QDB23" s="407"/>
      <c r="QDC23" s="407"/>
      <c r="QDD23" s="407"/>
      <c r="QDE23" s="407"/>
      <c r="QDF23" s="407"/>
      <c r="QDG23" s="407"/>
      <c r="QDH23" s="407"/>
      <c r="QDI23" s="407"/>
      <c r="QDJ23" s="407"/>
      <c r="QDK23" s="407"/>
      <c r="QDL23" s="407"/>
      <c r="QDM23" s="407"/>
      <c r="QDN23" s="407"/>
      <c r="QDO23" s="407"/>
      <c r="QDP23" s="407"/>
      <c r="QDQ23" s="407"/>
      <c r="QDR23" s="407"/>
      <c r="QDS23" s="407"/>
      <c r="QDT23" s="407"/>
      <c r="QDU23" s="407"/>
      <c r="QDV23" s="407"/>
      <c r="QDW23" s="407"/>
      <c r="QDX23" s="407"/>
      <c r="QDY23" s="407"/>
      <c r="QDZ23" s="407"/>
      <c r="QEA23" s="407"/>
      <c r="QEB23" s="407"/>
      <c r="QEC23" s="407"/>
      <c r="QED23" s="407"/>
      <c r="QEE23" s="407"/>
      <c r="QEF23" s="407"/>
      <c r="QEG23" s="407"/>
      <c r="QEH23" s="407"/>
      <c r="QEI23" s="407"/>
      <c r="QEJ23" s="407"/>
      <c r="QEK23" s="407"/>
      <c r="QEL23" s="407"/>
      <c r="QEM23" s="407"/>
      <c r="QEN23" s="407"/>
      <c r="QEO23" s="407"/>
      <c r="QEP23" s="407"/>
      <c r="QEQ23" s="407"/>
      <c r="QER23" s="407"/>
      <c r="QES23" s="407"/>
      <c r="QET23" s="407"/>
      <c r="QEU23" s="407"/>
      <c r="QEV23" s="407"/>
      <c r="QEW23" s="407"/>
      <c r="QEX23" s="407"/>
      <c r="QEY23" s="407"/>
      <c r="QEZ23" s="407"/>
      <c r="QFA23" s="407"/>
      <c r="QFB23" s="407"/>
      <c r="QFC23" s="407"/>
      <c r="QFD23" s="407"/>
      <c r="QFE23" s="407"/>
      <c r="QFF23" s="407"/>
      <c r="QFG23" s="407"/>
      <c r="QFH23" s="407"/>
      <c r="QFI23" s="407"/>
      <c r="QFJ23" s="407"/>
      <c r="QFK23" s="407"/>
      <c r="QFL23" s="407"/>
      <c r="QFM23" s="407"/>
      <c r="QFN23" s="407"/>
      <c r="QFO23" s="407"/>
      <c r="QFP23" s="407"/>
      <c r="QFQ23" s="407"/>
      <c r="QFR23" s="407"/>
      <c r="QFS23" s="407"/>
      <c r="QFT23" s="407"/>
      <c r="QFU23" s="407"/>
      <c r="QFV23" s="407"/>
      <c r="QFW23" s="407"/>
      <c r="QFX23" s="407"/>
      <c r="QFY23" s="407"/>
      <c r="QFZ23" s="407"/>
      <c r="QGA23" s="407"/>
      <c r="QGB23" s="407"/>
      <c r="QGC23" s="407"/>
      <c r="QGD23" s="407"/>
      <c r="QGE23" s="407"/>
      <c r="QGF23" s="407"/>
      <c r="QGG23" s="407"/>
      <c r="QGH23" s="407"/>
      <c r="QGI23" s="407"/>
      <c r="QGJ23" s="407"/>
      <c r="QGK23" s="407"/>
      <c r="QGL23" s="407"/>
      <c r="QGM23" s="407"/>
      <c r="QGN23" s="407"/>
      <c r="QGO23" s="407"/>
      <c r="QGP23" s="407"/>
      <c r="QGQ23" s="407"/>
      <c r="QGR23" s="407"/>
      <c r="QGS23" s="407"/>
      <c r="QGT23" s="407"/>
      <c r="QGU23" s="407"/>
      <c r="QGV23" s="407"/>
      <c r="QGW23" s="407"/>
      <c r="QGX23" s="407"/>
      <c r="QGY23" s="407"/>
      <c r="QGZ23" s="407"/>
      <c r="QHA23" s="407"/>
      <c r="QHB23" s="407"/>
      <c r="QHC23" s="407"/>
      <c r="QHD23" s="407"/>
      <c r="QHE23" s="407"/>
      <c r="QHF23" s="407"/>
      <c r="QHG23" s="407"/>
      <c r="QHH23" s="407"/>
      <c r="QHI23" s="407"/>
      <c r="QHJ23" s="407"/>
      <c r="QHK23" s="407"/>
      <c r="QHL23" s="407"/>
      <c r="QHM23" s="407"/>
      <c r="QHN23" s="407"/>
      <c r="QHO23" s="407"/>
      <c r="QHP23" s="407"/>
      <c r="QHQ23" s="407"/>
      <c r="QHR23" s="407"/>
      <c r="QHS23" s="407"/>
      <c r="QHT23" s="407"/>
      <c r="QHU23" s="407"/>
      <c r="QHV23" s="407"/>
      <c r="QHW23" s="407"/>
      <c r="QHX23" s="407"/>
      <c r="QHY23" s="407"/>
      <c r="QHZ23" s="407"/>
      <c r="QIA23" s="407"/>
      <c r="QIB23" s="407"/>
      <c r="QIC23" s="407"/>
      <c r="QID23" s="407"/>
      <c r="QIE23" s="407"/>
      <c r="QIF23" s="407"/>
      <c r="QIG23" s="407"/>
      <c r="QIH23" s="407"/>
      <c r="QII23" s="407"/>
      <c r="QIJ23" s="407"/>
      <c r="QIK23" s="407"/>
      <c r="QIL23" s="407"/>
      <c r="QIM23" s="407"/>
      <c r="QIN23" s="407"/>
      <c r="QIO23" s="407"/>
      <c r="QIP23" s="407"/>
      <c r="QIQ23" s="407"/>
      <c r="QIR23" s="407"/>
      <c r="QIS23" s="407"/>
      <c r="QIT23" s="407"/>
      <c r="QIU23" s="407"/>
      <c r="QIV23" s="407"/>
      <c r="QIW23" s="407"/>
      <c r="QIX23" s="407"/>
      <c r="QIY23" s="407"/>
      <c r="QIZ23" s="407"/>
      <c r="QJA23" s="407"/>
      <c r="QJB23" s="407"/>
      <c r="QJC23" s="407"/>
      <c r="QJD23" s="407"/>
      <c r="QJE23" s="407"/>
      <c r="QJF23" s="407"/>
      <c r="QJG23" s="407"/>
      <c r="QJH23" s="407"/>
      <c r="QJI23" s="407"/>
      <c r="QJJ23" s="407"/>
      <c r="QJK23" s="407"/>
      <c r="QJL23" s="407"/>
      <c r="QJM23" s="407"/>
      <c r="QJN23" s="407"/>
      <c r="QJO23" s="407"/>
      <c r="QJP23" s="407"/>
      <c r="QJQ23" s="407"/>
      <c r="QJR23" s="407"/>
      <c r="QJS23" s="407"/>
      <c r="QJT23" s="407"/>
      <c r="QJU23" s="407"/>
      <c r="QJV23" s="407"/>
      <c r="QJW23" s="407"/>
      <c r="QJX23" s="407"/>
      <c r="QJY23" s="407"/>
      <c r="QJZ23" s="407"/>
      <c r="QKA23" s="407"/>
      <c r="QKB23" s="407"/>
      <c r="QKC23" s="407"/>
      <c r="QKD23" s="407"/>
      <c r="QKE23" s="407"/>
      <c r="QKF23" s="407"/>
      <c r="QKG23" s="407"/>
      <c r="QKH23" s="407"/>
      <c r="QKI23" s="407"/>
      <c r="QKJ23" s="407"/>
      <c r="QKK23" s="407"/>
      <c r="QKL23" s="407"/>
      <c r="QKM23" s="407"/>
      <c r="QKN23" s="407"/>
      <c r="QKO23" s="407"/>
      <c r="QKP23" s="407"/>
      <c r="QKQ23" s="407"/>
      <c r="QKR23" s="407"/>
      <c r="QKS23" s="407"/>
      <c r="QKT23" s="407"/>
      <c r="QKU23" s="407"/>
      <c r="QKV23" s="407"/>
      <c r="QKW23" s="407"/>
      <c r="QKX23" s="407"/>
      <c r="QKY23" s="407"/>
      <c r="QKZ23" s="407"/>
      <c r="QLA23" s="407"/>
      <c r="QLB23" s="407"/>
      <c r="QLC23" s="407"/>
      <c r="QLD23" s="407"/>
      <c r="QLE23" s="407"/>
      <c r="QLF23" s="407"/>
      <c r="QLG23" s="407"/>
      <c r="QLH23" s="407"/>
      <c r="QLI23" s="407"/>
      <c r="QLJ23" s="407"/>
      <c r="QLK23" s="407"/>
      <c r="QLL23" s="407"/>
      <c r="QLM23" s="407"/>
      <c r="QLN23" s="407"/>
      <c r="QLO23" s="407"/>
      <c r="QLP23" s="407"/>
      <c r="QLQ23" s="407"/>
      <c r="QLR23" s="407"/>
      <c r="QLS23" s="407"/>
      <c r="QLT23" s="407"/>
      <c r="QLU23" s="407"/>
      <c r="QLV23" s="407"/>
      <c r="QLW23" s="407"/>
      <c r="QLX23" s="407"/>
      <c r="QLY23" s="407"/>
      <c r="QLZ23" s="407"/>
      <c r="QMA23" s="407"/>
      <c r="QMB23" s="407"/>
      <c r="QMC23" s="407"/>
      <c r="QMD23" s="407"/>
      <c r="QME23" s="407"/>
      <c r="QMF23" s="407"/>
      <c r="QMG23" s="407"/>
      <c r="QMH23" s="407"/>
      <c r="QMI23" s="407"/>
      <c r="QMJ23" s="407"/>
      <c r="QMK23" s="407"/>
      <c r="QML23" s="407"/>
      <c r="QMM23" s="407"/>
      <c r="QMN23" s="407"/>
      <c r="QMO23" s="407"/>
      <c r="QMP23" s="407"/>
      <c r="QMQ23" s="407"/>
      <c r="QMR23" s="407"/>
      <c r="QMS23" s="407"/>
      <c r="QMT23" s="407"/>
      <c r="QMU23" s="407"/>
      <c r="QMV23" s="407"/>
      <c r="QMW23" s="407"/>
      <c r="QMX23" s="407"/>
      <c r="QMY23" s="407"/>
      <c r="QMZ23" s="407"/>
      <c r="QNA23" s="407"/>
      <c r="QNB23" s="407"/>
      <c r="QNC23" s="407"/>
      <c r="QND23" s="407"/>
      <c r="QNE23" s="407"/>
      <c r="QNF23" s="407"/>
      <c r="QNG23" s="407"/>
      <c r="QNH23" s="407"/>
      <c r="QNI23" s="407"/>
      <c r="QNJ23" s="407"/>
      <c r="QNK23" s="407"/>
      <c r="QNL23" s="407"/>
      <c r="QNM23" s="407"/>
      <c r="QNN23" s="407"/>
      <c r="QNO23" s="407"/>
      <c r="QNP23" s="407"/>
      <c r="QNQ23" s="407"/>
      <c r="QNR23" s="407"/>
      <c r="QNS23" s="407"/>
      <c r="QNT23" s="407"/>
      <c r="QNU23" s="407"/>
      <c r="QNV23" s="407"/>
      <c r="QNW23" s="407"/>
      <c r="QNX23" s="407"/>
      <c r="QNY23" s="407"/>
      <c r="QNZ23" s="407"/>
      <c r="QOA23" s="407"/>
      <c r="QOB23" s="407"/>
      <c r="QOC23" s="407"/>
      <c r="QOD23" s="407"/>
      <c r="QOE23" s="407"/>
      <c r="QOF23" s="407"/>
      <c r="QOG23" s="407"/>
      <c r="QOH23" s="407"/>
      <c r="QOI23" s="407"/>
      <c r="QOJ23" s="407"/>
      <c r="QOK23" s="407"/>
      <c r="QOL23" s="407"/>
      <c r="QOM23" s="407"/>
      <c r="QON23" s="407"/>
      <c r="QOO23" s="407"/>
      <c r="QOP23" s="407"/>
      <c r="QOQ23" s="407"/>
      <c r="QOR23" s="407"/>
      <c r="QOS23" s="407"/>
      <c r="QOT23" s="407"/>
      <c r="QOU23" s="407"/>
      <c r="QOV23" s="407"/>
      <c r="QOW23" s="407"/>
      <c r="QOX23" s="407"/>
      <c r="QOY23" s="407"/>
      <c r="QOZ23" s="407"/>
      <c r="QPA23" s="407"/>
      <c r="QPB23" s="407"/>
      <c r="QPC23" s="407"/>
      <c r="QPD23" s="407"/>
      <c r="QPE23" s="407"/>
      <c r="QPF23" s="407"/>
      <c r="QPG23" s="407"/>
      <c r="QPH23" s="407"/>
      <c r="QPI23" s="407"/>
      <c r="QPJ23" s="407"/>
      <c r="QPK23" s="407"/>
      <c r="QPL23" s="407"/>
      <c r="QPM23" s="407"/>
      <c r="QPN23" s="407"/>
      <c r="QPO23" s="407"/>
      <c r="QPP23" s="407"/>
      <c r="QPQ23" s="407"/>
      <c r="QPR23" s="407"/>
      <c r="QPS23" s="407"/>
      <c r="QPT23" s="407"/>
      <c r="QPU23" s="407"/>
      <c r="QPV23" s="407"/>
      <c r="QPW23" s="407"/>
      <c r="QPX23" s="407"/>
      <c r="QPY23" s="407"/>
      <c r="QPZ23" s="407"/>
      <c r="QQA23" s="407"/>
      <c r="QQB23" s="407"/>
      <c r="QQC23" s="407"/>
      <c r="QQD23" s="407"/>
      <c r="QQE23" s="407"/>
      <c r="QQF23" s="407"/>
      <c r="QQG23" s="407"/>
      <c r="QQH23" s="407"/>
      <c r="QQI23" s="407"/>
      <c r="QQJ23" s="407"/>
      <c r="QQK23" s="407"/>
      <c r="QQL23" s="407"/>
      <c r="QQM23" s="407"/>
      <c r="QQN23" s="407"/>
      <c r="QQO23" s="407"/>
      <c r="QQP23" s="407"/>
      <c r="QQQ23" s="407"/>
      <c r="QQR23" s="407"/>
      <c r="QQS23" s="407"/>
      <c r="QQT23" s="407"/>
      <c r="QQU23" s="407"/>
      <c r="QQV23" s="407"/>
      <c r="QQW23" s="407"/>
      <c r="QQX23" s="407"/>
      <c r="QQY23" s="407"/>
      <c r="QQZ23" s="407"/>
      <c r="QRA23" s="407"/>
      <c r="QRB23" s="407"/>
      <c r="QRC23" s="407"/>
      <c r="QRD23" s="407"/>
      <c r="QRE23" s="407"/>
      <c r="QRF23" s="407"/>
      <c r="QRG23" s="407"/>
      <c r="QRH23" s="407"/>
      <c r="QRI23" s="407"/>
      <c r="QRJ23" s="407"/>
      <c r="QRK23" s="407"/>
      <c r="QRL23" s="407"/>
      <c r="QRM23" s="407"/>
      <c r="QRN23" s="407"/>
      <c r="QRO23" s="407"/>
      <c r="QRP23" s="407"/>
      <c r="QRQ23" s="407"/>
      <c r="QRR23" s="407"/>
      <c r="QRS23" s="407"/>
      <c r="QRT23" s="407"/>
      <c r="QRU23" s="407"/>
      <c r="QRV23" s="407"/>
      <c r="QRW23" s="407"/>
      <c r="QRX23" s="407"/>
      <c r="QRY23" s="407"/>
      <c r="QRZ23" s="407"/>
      <c r="QSA23" s="407"/>
      <c r="QSB23" s="407"/>
      <c r="QSC23" s="407"/>
      <c r="QSD23" s="407"/>
      <c r="QSE23" s="407"/>
      <c r="QSF23" s="407"/>
      <c r="QSG23" s="407"/>
      <c r="QSH23" s="407"/>
      <c r="QSI23" s="407"/>
      <c r="QSJ23" s="407"/>
      <c r="QSK23" s="407"/>
      <c r="QSL23" s="407"/>
      <c r="QSM23" s="407"/>
      <c r="QSN23" s="407"/>
      <c r="QSO23" s="407"/>
      <c r="QSP23" s="407"/>
      <c r="QSQ23" s="407"/>
      <c r="QSR23" s="407"/>
      <c r="QSS23" s="407"/>
      <c r="QST23" s="407"/>
      <c r="QSU23" s="407"/>
      <c r="QSV23" s="407"/>
      <c r="QSW23" s="407"/>
      <c r="QSX23" s="407"/>
      <c r="QSY23" s="407"/>
      <c r="QSZ23" s="407"/>
      <c r="QTA23" s="407"/>
      <c r="QTB23" s="407"/>
      <c r="QTC23" s="407"/>
      <c r="QTD23" s="407"/>
      <c r="QTE23" s="407"/>
      <c r="QTF23" s="407"/>
      <c r="QTG23" s="407"/>
      <c r="QTH23" s="407"/>
      <c r="QTI23" s="407"/>
      <c r="QTJ23" s="407"/>
      <c r="QTK23" s="407"/>
      <c r="QTL23" s="407"/>
      <c r="QTM23" s="407"/>
      <c r="QTN23" s="407"/>
      <c r="QTO23" s="407"/>
      <c r="QTP23" s="407"/>
      <c r="QTQ23" s="407"/>
      <c r="QTR23" s="407"/>
      <c r="QTS23" s="407"/>
      <c r="QTT23" s="407"/>
      <c r="QTU23" s="407"/>
      <c r="QTV23" s="407"/>
      <c r="QTW23" s="407"/>
      <c r="QTX23" s="407"/>
      <c r="QTY23" s="407"/>
      <c r="QTZ23" s="407"/>
      <c r="QUA23" s="407"/>
      <c r="QUB23" s="407"/>
      <c r="QUC23" s="407"/>
      <c r="QUD23" s="407"/>
      <c r="QUE23" s="407"/>
      <c r="QUF23" s="407"/>
      <c r="QUG23" s="407"/>
      <c r="QUH23" s="407"/>
      <c r="QUI23" s="407"/>
      <c r="QUJ23" s="407"/>
      <c r="QUK23" s="407"/>
      <c r="QUL23" s="407"/>
      <c r="QUM23" s="407"/>
      <c r="QUN23" s="407"/>
      <c r="QUO23" s="407"/>
      <c r="QUP23" s="407"/>
      <c r="QUQ23" s="407"/>
      <c r="QUR23" s="407"/>
      <c r="QUS23" s="407"/>
      <c r="QUT23" s="407"/>
      <c r="QUU23" s="407"/>
      <c r="QUV23" s="407"/>
      <c r="QUW23" s="407"/>
      <c r="QUX23" s="407"/>
      <c r="QUY23" s="407"/>
      <c r="QUZ23" s="407"/>
      <c r="QVA23" s="407"/>
      <c r="QVB23" s="407"/>
      <c r="QVC23" s="407"/>
      <c r="QVD23" s="407"/>
      <c r="QVE23" s="407"/>
      <c r="QVF23" s="407"/>
      <c r="QVG23" s="407"/>
      <c r="QVH23" s="407"/>
      <c r="QVI23" s="407"/>
      <c r="QVJ23" s="407"/>
      <c r="QVK23" s="407"/>
      <c r="QVL23" s="407"/>
      <c r="QVM23" s="407"/>
      <c r="QVN23" s="407"/>
      <c r="QVO23" s="407"/>
      <c r="QVP23" s="407"/>
      <c r="QVQ23" s="407"/>
      <c r="QVR23" s="407"/>
      <c r="QVS23" s="407"/>
      <c r="QVT23" s="407"/>
      <c r="QVU23" s="407"/>
      <c r="QVV23" s="407"/>
      <c r="QVW23" s="407"/>
      <c r="QVX23" s="407"/>
      <c r="QVY23" s="407"/>
      <c r="QVZ23" s="407"/>
      <c r="QWA23" s="407"/>
      <c r="QWB23" s="407"/>
      <c r="QWC23" s="407"/>
      <c r="QWD23" s="407"/>
      <c r="QWE23" s="407"/>
      <c r="QWF23" s="407"/>
      <c r="QWG23" s="407"/>
      <c r="QWH23" s="407"/>
      <c r="QWI23" s="407"/>
      <c r="QWJ23" s="407"/>
      <c r="QWK23" s="407"/>
      <c r="QWL23" s="407"/>
      <c r="QWM23" s="407"/>
      <c r="QWN23" s="407"/>
      <c r="QWO23" s="407"/>
      <c r="QWP23" s="407"/>
      <c r="QWQ23" s="407"/>
      <c r="QWR23" s="407"/>
      <c r="QWS23" s="407"/>
      <c r="QWT23" s="407"/>
      <c r="QWU23" s="407"/>
      <c r="QWV23" s="407"/>
      <c r="QWW23" s="407"/>
      <c r="QWX23" s="407"/>
      <c r="QWY23" s="407"/>
      <c r="QWZ23" s="407"/>
      <c r="QXA23" s="407"/>
      <c r="QXB23" s="407"/>
      <c r="QXC23" s="407"/>
      <c r="QXD23" s="407"/>
      <c r="QXE23" s="407"/>
      <c r="QXF23" s="407"/>
      <c r="QXG23" s="407"/>
      <c r="QXH23" s="407"/>
      <c r="QXI23" s="407"/>
      <c r="QXJ23" s="407"/>
      <c r="QXK23" s="407"/>
      <c r="QXL23" s="407"/>
      <c r="QXM23" s="407"/>
      <c r="QXN23" s="407"/>
      <c r="QXO23" s="407"/>
      <c r="QXP23" s="407"/>
      <c r="QXQ23" s="407"/>
      <c r="QXR23" s="407"/>
      <c r="QXS23" s="407"/>
      <c r="QXT23" s="407"/>
      <c r="QXU23" s="407"/>
      <c r="QXV23" s="407"/>
      <c r="QXW23" s="407"/>
      <c r="QXX23" s="407"/>
      <c r="QXY23" s="407"/>
      <c r="QXZ23" s="407"/>
      <c r="QYA23" s="407"/>
      <c r="QYB23" s="407"/>
      <c r="QYC23" s="407"/>
      <c r="QYD23" s="407"/>
      <c r="QYE23" s="407"/>
      <c r="QYF23" s="407"/>
      <c r="QYG23" s="407"/>
      <c r="QYH23" s="407"/>
      <c r="QYI23" s="407"/>
      <c r="QYJ23" s="407"/>
      <c r="QYK23" s="407"/>
      <c r="QYL23" s="407"/>
      <c r="QYM23" s="407"/>
      <c r="QYN23" s="407"/>
      <c r="QYO23" s="407"/>
      <c r="QYP23" s="407"/>
      <c r="QYQ23" s="407"/>
      <c r="QYR23" s="407"/>
      <c r="QYS23" s="407"/>
      <c r="QYT23" s="407"/>
      <c r="QYU23" s="407"/>
      <c r="QYV23" s="407"/>
      <c r="QYW23" s="407"/>
      <c r="QYX23" s="407"/>
      <c r="QYY23" s="407"/>
      <c r="QYZ23" s="407"/>
      <c r="QZA23" s="407"/>
      <c r="QZB23" s="407"/>
      <c r="QZC23" s="407"/>
      <c r="QZD23" s="407"/>
      <c r="QZE23" s="407"/>
      <c r="QZF23" s="407"/>
      <c r="QZG23" s="407"/>
      <c r="QZH23" s="407"/>
      <c r="QZI23" s="407"/>
      <c r="QZJ23" s="407"/>
      <c r="QZK23" s="407"/>
      <c r="QZL23" s="407"/>
      <c r="QZM23" s="407"/>
      <c r="QZN23" s="407"/>
      <c r="QZO23" s="407"/>
      <c r="QZP23" s="407"/>
      <c r="QZQ23" s="407"/>
      <c r="QZR23" s="407"/>
      <c r="QZS23" s="407"/>
      <c r="QZT23" s="407"/>
      <c r="QZU23" s="407"/>
      <c r="QZV23" s="407"/>
      <c r="QZW23" s="407"/>
      <c r="QZX23" s="407"/>
      <c r="QZY23" s="407"/>
      <c r="QZZ23" s="407"/>
      <c r="RAA23" s="407"/>
      <c r="RAB23" s="407"/>
      <c r="RAC23" s="407"/>
      <c r="RAD23" s="407"/>
      <c r="RAE23" s="407"/>
      <c r="RAF23" s="407"/>
      <c r="RAG23" s="407"/>
      <c r="RAH23" s="407"/>
      <c r="RAI23" s="407"/>
      <c r="RAJ23" s="407"/>
      <c r="RAK23" s="407"/>
      <c r="RAL23" s="407"/>
      <c r="RAM23" s="407"/>
      <c r="RAN23" s="407"/>
      <c r="RAO23" s="407"/>
      <c r="RAP23" s="407"/>
      <c r="RAQ23" s="407"/>
      <c r="RAR23" s="407"/>
      <c r="RAS23" s="407"/>
      <c r="RAT23" s="407"/>
      <c r="RAU23" s="407"/>
      <c r="RAV23" s="407"/>
      <c r="RAW23" s="407"/>
      <c r="RAX23" s="407"/>
      <c r="RAY23" s="407"/>
      <c r="RAZ23" s="407"/>
      <c r="RBA23" s="407"/>
      <c r="RBB23" s="407"/>
      <c r="RBC23" s="407"/>
      <c r="RBD23" s="407"/>
      <c r="RBE23" s="407"/>
      <c r="RBF23" s="407"/>
      <c r="RBG23" s="407"/>
      <c r="RBH23" s="407"/>
      <c r="RBI23" s="407"/>
      <c r="RBJ23" s="407"/>
      <c r="RBK23" s="407"/>
      <c r="RBL23" s="407"/>
      <c r="RBM23" s="407"/>
      <c r="RBN23" s="407"/>
      <c r="RBO23" s="407"/>
      <c r="RBP23" s="407"/>
      <c r="RBQ23" s="407"/>
      <c r="RBR23" s="407"/>
      <c r="RBS23" s="407"/>
      <c r="RBT23" s="407"/>
      <c r="RBU23" s="407"/>
      <c r="RBV23" s="407"/>
      <c r="RBW23" s="407"/>
      <c r="RBX23" s="407"/>
      <c r="RBY23" s="407"/>
      <c r="RBZ23" s="407"/>
      <c r="RCA23" s="407"/>
      <c r="RCB23" s="407"/>
      <c r="RCC23" s="407"/>
      <c r="RCD23" s="407"/>
      <c r="RCE23" s="407"/>
      <c r="RCF23" s="407"/>
      <c r="RCG23" s="407"/>
      <c r="RCH23" s="407"/>
      <c r="RCI23" s="407"/>
      <c r="RCJ23" s="407"/>
      <c r="RCK23" s="407"/>
      <c r="RCL23" s="407"/>
      <c r="RCM23" s="407"/>
      <c r="RCN23" s="407"/>
      <c r="RCO23" s="407"/>
      <c r="RCP23" s="407"/>
      <c r="RCQ23" s="407"/>
      <c r="RCR23" s="407"/>
      <c r="RCS23" s="407"/>
      <c r="RCT23" s="407"/>
      <c r="RCU23" s="407"/>
      <c r="RCV23" s="407"/>
      <c r="RCW23" s="407"/>
      <c r="RCX23" s="407"/>
      <c r="RCY23" s="407"/>
      <c r="RCZ23" s="407"/>
      <c r="RDA23" s="407"/>
      <c r="RDB23" s="407"/>
      <c r="RDC23" s="407"/>
      <c r="RDD23" s="407"/>
      <c r="RDE23" s="407"/>
      <c r="RDF23" s="407"/>
      <c r="RDG23" s="407"/>
      <c r="RDH23" s="407"/>
      <c r="RDI23" s="407"/>
      <c r="RDJ23" s="407"/>
      <c r="RDK23" s="407"/>
      <c r="RDL23" s="407"/>
      <c r="RDM23" s="407"/>
      <c r="RDN23" s="407"/>
      <c r="RDO23" s="407"/>
      <c r="RDP23" s="407"/>
      <c r="RDQ23" s="407"/>
      <c r="RDR23" s="407"/>
      <c r="RDS23" s="407"/>
      <c r="RDT23" s="407"/>
      <c r="RDU23" s="407"/>
      <c r="RDV23" s="407"/>
      <c r="RDW23" s="407"/>
      <c r="RDX23" s="407"/>
      <c r="RDY23" s="407"/>
      <c r="RDZ23" s="407"/>
      <c r="REA23" s="407"/>
      <c r="REB23" s="407"/>
      <c r="REC23" s="407"/>
      <c r="RED23" s="407"/>
      <c r="REE23" s="407"/>
      <c r="REF23" s="407"/>
      <c r="REG23" s="407"/>
      <c r="REH23" s="407"/>
      <c r="REI23" s="407"/>
      <c r="REJ23" s="407"/>
      <c r="REK23" s="407"/>
      <c r="REL23" s="407"/>
      <c r="REM23" s="407"/>
      <c r="REN23" s="407"/>
      <c r="REO23" s="407"/>
      <c r="REP23" s="407"/>
      <c r="REQ23" s="407"/>
      <c r="RER23" s="407"/>
      <c r="RES23" s="407"/>
      <c r="RET23" s="407"/>
      <c r="REU23" s="407"/>
      <c r="REV23" s="407"/>
      <c r="REW23" s="407"/>
      <c r="REX23" s="407"/>
      <c r="REY23" s="407"/>
      <c r="REZ23" s="407"/>
      <c r="RFA23" s="407"/>
      <c r="RFB23" s="407"/>
      <c r="RFC23" s="407"/>
      <c r="RFD23" s="407"/>
      <c r="RFE23" s="407"/>
      <c r="RFF23" s="407"/>
      <c r="RFG23" s="407"/>
      <c r="RFH23" s="407"/>
      <c r="RFI23" s="407"/>
      <c r="RFJ23" s="407"/>
      <c r="RFK23" s="407"/>
      <c r="RFL23" s="407"/>
      <c r="RFM23" s="407"/>
      <c r="RFN23" s="407"/>
      <c r="RFO23" s="407"/>
      <c r="RFP23" s="407"/>
      <c r="RFQ23" s="407"/>
      <c r="RFR23" s="407"/>
      <c r="RFS23" s="407"/>
      <c r="RFT23" s="407"/>
      <c r="RFU23" s="407"/>
      <c r="RFV23" s="407"/>
      <c r="RFW23" s="407"/>
      <c r="RFX23" s="407"/>
      <c r="RFY23" s="407"/>
      <c r="RFZ23" s="407"/>
      <c r="RGA23" s="407"/>
      <c r="RGB23" s="407"/>
      <c r="RGC23" s="407"/>
      <c r="RGD23" s="407"/>
      <c r="RGE23" s="407"/>
      <c r="RGF23" s="407"/>
      <c r="RGG23" s="407"/>
      <c r="RGH23" s="407"/>
      <c r="RGI23" s="407"/>
      <c r="RGJ23" s="407"/>
      <c r="RGK23" s="407"/>
      <c r="RGL23" s="407"/>
      <c r="RGM23" s="407"/>
      <c r="RGN23" s="407"/>
      <c r="RGO23" s="407"/>
      <c r="RGP23" s="407"/>
      <c r="RGQ23" s="407"/>
      <c r="RGR23" s="407"/>
      <c r="RGS23" s="407"/>
      <c r="RGT23" s="407"/>
      <c r="RGU23" s="407"/>
      <c r="RGV23" s="407"/>
      <c r="RGW23" s="407"/>
      <c r="RGX23" s="407"/>
      <c r="RGY23" s="407"/>
      <c r="RGZ23" s="407"/>
      <c r="RHA23" s="407"/>
      <c r="RHB23" s="407"/>
      <c r="RHC23" s="407"/>
      <c r="RHD23" s="407"/>
      <c r="RHE23" s="407"/>
      <c r="RHF23" s="407"/>
      <c r="RHG23" s="407"/>
      <c r="RHH23" s="407"/>
      <c r="RHI23" s="407"/>
      <c r="RHJ23" s="407"/>
      <c r="RHK23" s="407"/>
      <c r="RHL23" s="407"/>
      <c r="RHM23" s="407"/>
      <c r="RHN23" s="407"/>
      <c r="RHO23" s="407"/>
      <c r="RHP23" s="407"/>
      <c r="RHQ23" s="407"/>
      <c r="RHR23" s="407"/>
      <c r="RHS23" s="407"/>
      <c r="RHT23" s="407"/>
      <c r="RHU23" s="407"/>
      <c r="RHV23" s="407"/>
      <c r="RHW23" s="407"/>
      <c r="RHX23" s="407"/>
      <c r="RHY23" s="407"/>
      <c r="RHZ23" s="407"/>
      <c r="RIA23" s="407"/>
      <c r="RIB23" s="407"/>
      <c r="RIC23" s="407"/>
      <c r="RID23" s="407"/>
      <c r="RIE23" s="407"/>
      <c r="RIF23" s="407"/>
      <c r="RIG23" s="407"/>
      <c r="RIH23" s="407"/>
      <c r="RII23" s="407"/>
      <c r="RIJ23" s="407"/>
      <c r="RIK23" s="407"/>
      <c r="RIL23" s="407"/>
      <c r="RIM23" s="407"/>
      <c r="RIN23" s="407"/>
      <c r="RIO23" s="407"/>
      <c r="RIP23" s="407"/>
      <c r="RIQ23" s="407"/>
      <c r="RIR23" s="407"/>
      <c r="RIS23" s="407"/>
      <c r="RIT23" s="407"/>
      <c r="RIU23" s="407"/>
      <c r="RIV23" s="407"/>
      <c r="RIW23" s="407"/>
      <c r="RIX23" s="407"/>
      <c r="RIY23" s="407"/>
      <c r="RIZ23" s="407"/>
      <c r="RJA23" s="407"/>
      <c r="RJB23" s="407"/>
      <c r="RJC23" s="407"/>
      <c r="RJD23" s="407"/>
      <c r="RJE23" s="407"/>
      <c r="RJF23" s="407"/>
      <c r="RJG23" s="407"/>
      <c r="RJH23" s="407"/>
      <c r="RJI23" s="407"/>
      <c r="RJJ23" s="407"/>
      <c r="RJK23" s="407"/>
      <c r="RJL23" s="407"/>
      <c r="RJM23" s="407"/>
      <c r="RJN23" s="407"/>
      <c r="RJO23" s="407"/>
      <c r="RJP23" s="407"/>
      <c r="RJQ23" s="407"/>
      <c r="RJR23" s="407"/>
      <c r="RJS23" s="407"/>
      <c r="RJT23" s="407"/>
      <c r="RJU23" s="407"/>
      <c r="RJV23" s="407"/>
      <c r="RJW23" s="407"/>
      <c r="RJX23" s="407"/>
      <c r="RJY23" s="407"/>
      <c r="RJZ23" s="407"/>
      <c r="RKA23" s="407"/>
      <c r="RKB23" s="407"/>
      <c r="RKC23" s="407"/>
      <c r="RKD23" s="407"/>
      <c r="RKE23" s="407"/>
      <c r="RKF23" s="407"/>
      <c r="RKG23" s="407"/>
      <c r="RKH23" s="407"/>
      <c r="RKI23" s="407"/>
      <c r="RKJ23" s="407"/>
      <c r="RKK23" s="407"/>
      <c r="RKL23" s="407"/>
      <c r="RKM23" s="407"/>
      <c r="RKN23" s="407"/>
      <c r="RKO23" s="407"/>
      <c r="RKP23" s="407"/>
      <c r="RKQ23" s="407"/>
      <c r="RKR23" s="407"/>
      <c r="RKS23" s="407"/>
      <c r="RKT23" s="407"/>
      <c r="RKU23" s="407"/>
      <c r="RKV23" s="407"/>
      <c r="RKW23" s="407"/>
      <c r="RKX23" s="407"/>
      <c r="RKY23" s="407"/>
      <c r="RKZ23" s="407"/>
      <c r="RLA23" s="407"/>
      <c r="RLB23" s="407"/>
      <c r="RLC23" s="407"/>
      <c r="RLD23" s="407"/>
      <c r="RLE23" s="407"/>
      <c r="RLF23" s="407"/>
      <c r="RLG23" s="407"/>
      <c r="RLH23" s="407"/>
      <c r="RLI23" s="407"/>
      <c r="RLJ23" s="407"/>
      <c r="RLK23" s="407"/>
      <c r="RLL23" s="407"/>
      <c r="RLM23" s="407"/>
      <c r="RLN23" s="407"/>
      <c r="RLO23" s="407"/>
      <c r="RLP23" s="407"/>
      <c r="RLQ23" s="407"/>
      <c r="RLR23" s="407"/>
      <c r="RLS23" s="407"/>
      <c r="RLT23" s="407"/>
      <c r="RLU23" s="407"/>
      <c r="RLV23" s="407"/>
      <c r="RLW23" s="407"/>
      <c r="RLX23" s="407"/>
      <c r="RLY23" s="407"/>
      <c r="RLZ23" s="407"/>
      <c r="RMA23" s="407"/>
      <c r="RMB23" s="407"/>
      <c r="RMC23" s="407"/>
      <c r="RMD23" s="407"/>
      <c r="RME23" s="407"/>
      <c r="RMF23" s="407"/>
      <c r="RMG23" s="407"/>
      <c r="RMH23" s="407"/>
      <c r="RMI23" s="407"/>
      <c r="RMJ23" s="407"/>
      <c r="RMK23" s="407"/>
      <c r="RML23" s="407"/>
      <c r="RMM23" s="407"/>
      <c r="RMN23" s="407"/>
      <c r="RMO23" s="407"/>
      <c r="RMP23" s="407"/>
      <c r="RMQ23" s="407"/>
      <c r="RMR23" s="407"/>
      <c r="RMS23" s="407"/>
      <c r="RMT23" s="407"/>
      <c r="RMU23" s="407"/>
      <c r="RMV23" s="407"/>
      <c r="RMW23" s="407"/>
      <c r="RMX23" s="407"/>
      <c r="RMY23" s="407"/>
      <c r="RMZ23" s="407"/>
      <c r="RNA23" s="407"/>
      <c r="RNB23" s="407"/>
      <c r="RNC23" s="407"/>
      <c r="RND23" s="407"/>
      <c r="RNE23" s="407"/>
      <c r="RNF23" s="407"/>
      <c r="RNG23" s="407"/>
      <c r="RNH23" s="407"/>
      <c r="RNI23" s="407"/>
      <c r="RNJ23" s="407"/>
      <c r="RNK23" s="407"/>
      <c r="RNL23" s="407"/>
      <c r="RNM23" s="407"/>
      <c r="RNN23" s="407"/>
      <c r="RNO23" s="407"/>
      <c r="RNP23" s="407"/>
      <c r="RNQ23" s="407"/>
      <c r="RNR23" s="407"/>
      <c r="RNS23" s="407"/>
      <c r="RNT23" s="407"/>
      <c r="RNU23" s="407"/>
      <c r="RNV23" s="407"/>
      <c r="RNW23" s="407"/>
      <c r="RNX23" s="407"/>
      <c r="RNY23" s="407"/>
      <c r="RNZ23" s="407"/>
      <c r="ROA23" s="407"/>
      <c r="ROB23" s="407"/>
      <c r="ROC23" s="407"/>
      <c r="ROD23" s="407"/>
      <c r="ROE23" s="407"/>
      <c r="ROF23" s="407"/>
      <c r="ROG23" s="407"/>
      <c r="ROH23" s="407"/>
      <c r="ROI23" s="407"/>
      <c r="ROJ23" s="407"/>
      <c r="ROK23" s="407"/>
      <c r="ROL23" s="407"/>
      <c r="ROM23" s="407"/>
      <c r="RON23" s="407"/>
      <c r="ROO23" s="407"/>
      <c r="ROP23" s="407"/>
      <c r="ROQ23" s="407"/>
      <c r="ROR23" s="407"/>
      <c r="ROS23" s="407"/>
      <c r="ROT23" s="407"/>
      <c r="ROU23" s="407"/>
      <c r="ROV23" s="407"/>
      <c r="ROW23" s="407"/>
      <c r="ROX23" s="407"/>
      <c r="ROY23" s="407"/>
      <c r="ROZ23" s="407"/>
      <c r="RPA23" s="407"/>
      <c r="RPB23" s="407"/>
      <c r="RPC23" s="407"/>
      <c r="RPD23" s="407"/>
      <c r="RPE23" s="407"/>
      <c r="RPF23" s="407"/>
      <c r="RPG23" s="407"/>
      <c r="RPH23" s="407"/>
      <c r="RPI23" s="407"/>
      <c r="RPJ23" s="407"/>
      <c r="RPK23" s="407"/>
      <c r="RPL23" s="407"/>
      <c r="RPM23" s="407"/>
      <c r="RPN23" s="407"/>
      <c r="RPO23" s="407"/>
      <c r="RPP23" s="407"/>
      <c r="RPQ23" s="407"/>
      <c r="RPR23" s="407"/>
      <c r="RPS23" s="407"/>
      <c r="RPT23" s="407"/>
      <c r="RPU23" s="407"/>
      <c r="RPV23" s="407"/>
      <c r="RPW23" s="407"/>
      <c r="RPX23" s="407"/>
      <c r="RPY23" s="407"/>
      <c r="RPZ23" s="407"/>
      <c r="RQA23" s="407"/>
      <c r="RQB23" s="407"/>
      <c r="RQC23" s="407"/>
      <c r="RQD23" s="407"/>
      <c r="RQE23" s="407"/>
      <c r="RQF23" s="407"/>
      <c r="RQG23" s="407"/>
      <c r="RQH23" s="407"/>
      <c r="RQI23" s="407"/>
      <c r="RQJ23" s="407"/>
      <c r="RQK23" s="407"/>
      <c r="RQL23" s="407"/>
      <c r="RQM23" s="407"/>
      <c r="RQN23" s="407"/>
      <c r="RQO23" s="407"/>
      <c r="RQP23" s="407"/>
      <c r="RQQ23" s="407"/>
      <c r="RQR23" s="407"/>
      <c r="RQS23" s="407"/>
      <c r="RQT23" s="407"/>
      <c r="RQU23" s="407"/>
      <c r="RQV23" s="407"/>
      <c r="RQW23" s="407"/>
      <c r="RQX23" s="407"/>
      <c r="RQY23" s="407"/>
      <c r="RQZ23" s="407"/>
      <c r="RRA23" s="407"/>
      <c r="RRB23" s="407"/>
      <c r="RRC23" s="407"/>
      <c r="RRD23" s="407"/>
      <c r="RRE23" s="407"/>
      <c r="RRF23" s="407"/>
      <c r="RRG23" s="407"/>
      <c r="RRH23" s="407"/>
      <c r="RRI23" s="407"/>
      <c r="RRJ23" s="407"/>
      <c r="RRK23" s="407"/>
      <c r="RRL23" s="407"/>
      <c r="RRM23" s="407"/>
      <c r="RRN23" s="407"/>
      <c r="RRO23" s="407"/>
      <c r="RRP23" s="407"/>
      <c r="RRQ23" s="407"/>
      <c r="RRR23" s="407"/>
      <c r="RRS23" s="407"/>
      <c r="RRT23" s="407"/>
      <c r="RRU23" s="407"/>
      <c r="RRV23" s="407"/>
      <c r="RRW23" s="407"/>
      <c r="RRX23" s="407"/>
      <c r="RRY23" s="407"/>
      <c r="RRZ23" s="407"/>
      <c r="RSA23" s="407"/>
      <c r="RSB23" s="407"/>
      <c r="RSC23" s="407"/>
      <c r="RSD23" s="407"/>
      <c r="RSE23" s="407"/>
      <c r="RSF23" s="407"/>
      <c r="RSG23" s="407"/>
      <c r="RSH23" s="407"/>
      <c r="RSI23" s="407"/>
      <c r="RSJ23" s="407"/>
      <c r="RSK23" s="407"/>
      <c r="RSL23" s="407"/>
      <c r="RSM23" s="407"/>
      <c r="RSN23" s="407"/>
      <c r="RSO23" s="407"/>
      <c r="RSP23" s="407"/>
      <c r="RSQ23" s="407"/>
      <c r="RSR23" s="407"/>
      <c r="RSS23" s="407"/>
      <c r="RST23" s="407"/>
      <c r="RSU23" s="407"/>
      <c r="RSV23" s="407"/>
      <c r="RSW23" s="407"/>
      <c r="RSX23" s="407"/>
      <c r="RSY23" s="407"/>
      <c r="RSZ23" s="407"/>
      <c r="RTA23" s="407"/>
      <c r="RTB23" s="407"/>
      <c r="RTC23" s="407"/>
      <c r="RTD23" s="407"/>
      <c r="RTE23" s="407"/>
      <c r="RTF23" s="407"/>
      <c r="RTG23" s="407"/>
      <c r="RTH23" s="407"/>
      <c r="RTI23" s="407"/>
      <c r="RTJ23" s="407"/>
      <c r="RTK23" s="407"/>
      <c r="RTL23" s="407"/>
      <c r="RTM23" s="407"/>
      <c r="RTN23" s="407"/>
      <c r="RTO23" s="407"/>
      <c r="RTP23" s="407"/>
      <c r="RTQ23" s="407"/>
      <c r="RTR23" s="407"/>
      <c r="RTS23" s="407"/>
      <c r="RTT23" s="407"/>
      <c r="RTU23" s="407"/>
      <c r="RTV23" s="407"/>
      <c r="RTW23" s="407"/>
      <c r="RTX23" s="407"/>
      <c r="RTY23" s="407"/>
      <c r="RTZ23" s="407"/>
      <c r="RUA23" s="407"/>
      <c r="RUB23" s="407"/>
      <c r="RUC23" s="407"/>
      <c r="RUD23" s="407"/>
      <c r="RUE23" s="407"/>
      <c r="RUF23" s="407"/>
      <c r="RUG23" s="407"/>
      <c r="RUH23" s="407"/>
      <c r="RUI23" s="407"/>
      <c r="RUJ23" s="407"/>
      <c r="RUK23" s="407"/>
      <c r="RUL23" s="407"/>
      <c r="RUM23" s="407"/>
      <c r="RUN23" s="407"/>
      <c r="RUO23" s="407"/>
      <c r="RUP23" s="407"/>
      <c r="RUQ23" s="407"/>
      <c r="RUR23" s="407"/>
      <c r="RUS23" s="407"/>
      <c r="RUT23" s="407"/>
      <c r="RUU23" s="407"/>
      <c r="RUV23" s="407"/>
      <c r="RUW23" s="407"/>
      <c r="RUX23" s="407"/>
      <c r="RUY23" s="407"/>
      <c r="RUZ23" s="407"/>
      <c r="RVA23" s="407"/>
      <c r="RVB23" s="407"/>
      <c r="RVC23" s="407"/>
      <c r="RVD23" s="407"/>
      <c r="RVE23" s="407"/>
      <c r="RVF23" s="407"/>
      <c r="RVG23" s="407"/>
      <c r="RVH23" s="407"/>
      <c r="RVI23" s="407"/>
      <c r="RVJ23" s="407"/>
      <c r="RVK23" s="407"/>
      <c r="RVL23" s="407"/>
      <c r="RVM23" s="407"/>
      <c r="RVN23" s="407"/>
      <c r="RVO23" s="407"/>
      <c r="RVP23" s="407"/>
      <c r="RVQ23" s="407"/>
      <c r="RVR23" s="407"/>
      <c r="RVS23" s="407"/>
      <c r="RVT23" s="407"/>
      <c r="RVU23" s="407"/>
      <c r="RVV23" s="407"/>
      <c r="RVW23" s="407"/>
      <c r="RVX23" s="407"/>
      <c r="RVY23" s="407"/>
      <c r="RVZ23" s="407"/>
      <c r="RWA23" s="407"/>
      <c r="RWB23" s="407"/>
      <c r="RWC23" s="407"/>
      <c r="RWD23" s="407"/>
      <c r="RWE23" s="407"/>
      <c r="RWF23" s="407"/>
      <c r="RWG23" s="407"/>
      <c r="RWH23" s="407"/>
      <c r="RWI23" s="407"/>
      <c r="RWJ23" s="407"/>
      <c r="RWK23" s="407"/>
      <c r="RWL23" s="407"/>
      <c r="RWM23" s="407"/>
      <c r="RWN23" s="407"/>
      <c r="RWO23" s="407"/>
      <c r="RWP23" s="407"/>
      <c r="RWQ23" s="407"/>
      <c r="RWR23" s="407"/>
      <c r="RWS23" s="407"/>
      <c r="RWT23" s="407"/>
      <c r="RWU23" s="407"/>
      <c r="RWV23" s="407"/>
      <c r="RWW23" s="407"/>
      <c r="RWX23" s="407"/>
      <c r="RWY23" s="407"/>
      <c r="RWZ23" s="407"/>
      <c r="RXA23" s="407"/>
      <c r="RXB23" s="407"/>
      <c r="RXC23" s="407"/>
      <c r="RXD23" s="407"/>
      <c r="RXE23" s="407"/>
      <c r="RXF23" s="407"/>
      <c r="RXG23" s="407"/>
      <c r="RXH23" s="407"/>
      <c r="RXI23" s="407"/>
      <c r="RXJ23" s="407"/>
      <c r="RXK23" s="407"/>
      <c r="RXL23" s="407"/>
      <c r="RXM23" s="407"/>
      <c r="RXN23" s="407"/>
      <c r="RXO23" s="407"/>
      <c r="RXP23" s="407"/>
      <c r="RXQ23" s="407"/>
      <c r="RXR23" s="407"/>
      <c r="RXS23" s="407"/>
      <c r="RXT23" s="407"/>
      <c r="RXU23" s="407"/>
      <c r="RXV23" s="407"/>
      <c r="RXW23" s="407"/>
      <c r="RXX23" s="407"/>
      <c r="RXY23" s="407"/>
      <c r="RXZ23" s="407"/>
      <c r="RYA23" s="407"/>
      <c r="RYB23" s="407"/>
      <c r="RYC23" s="407"/>
      <c r="RYD23" s="407"/>
      <c r="RYE23" s="407"/>
      <c r="RYF23" s="407"/>
      <c r="RYG23" s="407"/>
      <c r="RYH23" s="407"/>
      <c r="RYI23" s="407"/>
      <c r="RYJ23" s="407"/>
      <c r="RYK23" s="407"/>
      <c r="RYL23" s="407"/>
      <c r="RYM23" s="407"/>
      <c r="RYN23" s="407"/>
      <c r="RYO23" s="407"/>
      <c r="RYP23" s="407"/>
      <c r="RYQ23" s="407"/>
      <c r="RYR23" s="407"/>
      <c r="RYS23" s="407"/>
      <c r="RYT23" s="407"/>
      <c r="RYU23" s="407"/>
      <c r="RYV23" s="407"/>
      <c r="RYW23" s="407"/>
      <c r="RYX23" s="407"/>
      <c r="RYY23" s="407"/>
      <c r="RYZ23" s="407"/>
      <c r="RZA23" s="407"/>
      <c r="RZB23" s="407"/>
      <c r="RZC23" s="407"/>
      <c r="RZD23" s="407"/>
      <c r="RZE23" s="407"/>
      <c r="RZF23" s="407"/>
      <c r="RZG23" s="407"/>
      <c r="RZH23" s="407"/>
      <c r="RZI23" s="407"/>
      <c r="RZJ23" s="407"/>
      <c r="RZK23" s="407"/>
      <c r="RZL23" s="407"/>
      <c r="RZM23" s="407"/>
      <c r="RZN23" s="407"/>
      <c r="RZO23" s="407"/>
      <c r="RZP23" s="407"/>
      <c r="RZQ23" s="407"/>
      <c r="RZR23" s="407"/>
      <c r="RZS23" s="407"/>
      <c r="RZT23" s="407"/>
      <c r="RZU23" s="407"/>
      <c r="RZV23" s="407"/>
      <c r="RZW23" s="407"/>
      <c r="RZX23" s="407"/>
      <c r="RZY23" s="407"/>
      <c r="RZZ23" s="407"/>
      <c r="SAA23" s="407"/>
      <c r="SAB23" s="407"/>
      <c r="SAC23" s="407"/>
      <c r="SAD23" s="407"/>
      <c r="SAE23" s="407"/>
      <c r="SAF23" s="407"/>
      <c r="SAG23" s="407"/>
      <c r="SAH23" s="407"/>
      <c r="SAI23" s="407"/>
      <c r="SAJ23" s="407"/>
      <c r="SAK23" s="407"/>
      <c r="SAL23" s="407"/>
      <c r="SAM23" s="407"/>
      <c r="SAN23" s="407"/>
      <c r="SAO23" s="407"/>
      <c r="SAP23" s="407"/>
      <c r="SAQ23" s="407"/>
      <c r="SAR23" s="407"/>
      <c r="SAS23" s="407"/>
      <c r="SAT23" s="407"/>
      <c r="SAU23" s="407"/>
      <c r="SAV23" s="407"/>
      <c r="SAW23" s="407"/>
      <c r="SAX23" s="407"/>
      <c r="SAY23" s="407"/>
      <c r="SAZ23" s="407"/>
      <c r="SBA23" s="407"/>
      <c r="SBB23" s="407"/>
      <c r="SBC23" s="407"/>
      <c r="SBD23" s="407"/>
      <c r="SBE23" s="407"/>
      <c r="SBF23" s="407"/>
      <c r="SBG23" s="407"/>
      <c r="SBH23" s="407"/>
      <c r="SBI23" s="407"/>
      <c r="SBJ23" s="407"/>
      <c r="SBK23" s="407"/>
      <c r="SBL23" s="407"/>
      <c r="SBM23" s="407"/>
      <c r="SBN23" s="407"/>
      <c r="SBO23" s="407"/>
      <c r="SBP23" s="407"/>
      <c r="SBQ23" s="407"/>
      <c r="SBR23" s="407"/>
      <c r="SBS23" s="407"/>
      <c r="SBT23" s="407"/>
      <c r="SBU23" s="407"/>
      <c r="SBV23" s="407"/>
      <c r="SBW23" s="407"/>
      <c r="SBX23" s="407"/>
      <c r="SBY23" s="407"/>
      <c r="SBZ23" s="407"/>
      <c r="SCA23" s="407"/>
      <c r="SCB23" s="407"/>
      <c r="SCC23" s="407"/>
      <c r="SCD23" s="407"/>
      <c r="SCE23" s="407"/>
      <c r="SCF23" s="407"/>
      <c r="SCG23" s="407"/>
      <c r="SCH23" s="407"/>
      <c r="SCI23" s="407"/>
      <c r="SCJ23" s="407"/>
      <c r="SCK23" s="407"/>
      <c r="SCL23" s="407"/>
      <c r="SCM23" s="407"/>
      <c r="SCN23" s="407"/>
      <c r="SCO23" s="407"/>
      <c r="SCP23" s="407"/>
      <c r="SCQ23" s="407"/>
      <c r="SCR23" s="407"/>
      <c r="SCS23" s="407"/>
      <c r="SCT23" s="407"/>
      <c r="SCU23" s="407"/>
      <c r="SCV23" s="407"/>
      <c r="SCW23" s="407"/>
      <c r="SCX23" s="407"/>
      <c r="SCY23" s="407"/>
      <c r="SCZ23" s="407"/>
      <c r="SDA23" s="407"/>
      <c r="SDB23" s="407"/>
      <c r="SDC23" s="407"/>
      <c r="SDD23" s="407"/>
      <c r="SDE23" s="407"/>
      <c r="SDF23" s="407"/>
      <c r="SDG23" s="407"/>
      <c r="SDH23" s="407"/>
      <c r="SDI23" s="407"/>
      <c r="SDJ23" s="407"/>
      <c r="SDK23" s="407"/>
      <c r="SDL23" s="407"/>
      <c r="SDM23" s="407"/>
      <c r="SDN23" s="407"/>
      <c r="SDO23" s="407"/>
      <c r="SDP23" s="407"/>
      <c r="SDQ23" s="407"/>
      <c r="SDR23" s="407"/>
      <c r="SDS23" s="407"/>
      <c r="SDT23" s="407"/>
      <c r="SDU23" s="407"/>
      <c r="SDV23" s="407"/>
      <c r="SDW23" s="407"/>
      <c r="SDX23" s="407"/>
      <c r="SDY23" s="407"/>
      <c r="SDZ23" s="407"/>
      <c r="SEA23" s="407"/>
      <c r="SEB23" s="407"/>
      <c r="SEC23" s="407"/>
      <c r="SED23" s="407"/>
      <c r="SEE23" s="407"/>
      <c r="SEF23" s="407"/>
      <c r="SEG23" s="407"/>
      <c r="SEH23" s="407"/>
      <c r="SEI23" s="407"/>
      <c r="SEJ23" s="407"/>
      <c r="SEK23" s="407"/>
      <c r="SEL23" s="407"/>
      <c r="SEM23" s="407"/>
      <c r="SEN23" s="407"/>
      <c r="SEO23" s="407"/>
      <c r="SEP23" s="407"/>
      <c r="SEQ23" s="407"/>
      <c r="SER23" s="407"/>
      <c r="SES23" s="407"/>
      <c r="SET23" s="407"/>
      <c r="SEU23" s="407"/>
      <c r="SEV23" s="407"/>
      <c r="SEW23" s="407"/>
      <c r="SEX23" s="407"/>
      <c r="SEY23" s="407"/>
      <c r="SEZ23" s="407"/>
      <c r="SFA23" s="407"/>
      <c r="SFB23" s="407"/>
      <c r="SFC23" s="407"/>
      <c r="SFD23" s="407"/>
      <c r="SFE23" s="407"/>
      <c r="SFF23" s="407"/>
      <c r="SFG23" s="407"/>
      <c r="SFH23" s="407"/>
      <c r="SFI23" s="407"/>
      <c r="SFJ23" s="407"/>
      <c r="SFK23" s="407"/>
      <c r="SFL23" s="407"/>
      <c r="SFM23" s="407"/>
      <c r="SFN23" s="407"/>
      <c r="SFO23" s="407"/>
      <c r="SFP23" s="407"/>
      <c r="SFQ23" s="407"/>
      <c r="SFR23" s="407"/>
      <c r="SFS23" s="407"/>
      <c r="SFT23" s="407"/>
      <c r="SFU23" s="407"/>
      <c r="SFV23" s="407"/>
      <c r="SFW23" s="407"/>
      <c r="SFX23" s="407"/>
      <c r="SFY23" s="407"/>
      <c r="SFZ23" s="407"/>
      <c r="SGA23" s="407"/>
      <c r="SGB23" s="407"/>
      <c r="SGC23" s="407"/>
      <c r="SGD23" s="407"/>
      <c r="SGE23" s="407"/>
      <c r="SGF23" s="407"/>
      <c r="SGG23" s="407"/>
      <c r="SGH23" s="407"/>
      <c r="SGI23" s="407"/>
      <c r="SGJ23" s="407"/>
      <c r="SGK23" s="407"/>
      <c r="SGL23" s="407"/>
      <c r="SGM23" s="407"/>
      <c r="SGN23" s="407"/>
      <c r="SGO23" s="407"/>
      <c r="SGP23" s="407"/>
      <c r="SGQ23" s="407"/>
      <c r="SGR23" s="407"/>
      <c r="SGS23" s="407"/>
      <c r="SGT23" s="407"/>
      <c r="SGU23" s="407"/>
      <c r="SGV23" s="407"/>
      <c r="SGW23" s="407"/>
      <c r="SGX23" s="407"/>
      <c r="SGY23" s="407"/>
      <c r="SGZ23" s="407"/>
      <c r="SHA23" s="407"/>
      <c r="SHB23" s="407"/>
      <c r="SHC23" s="407"/>
      <c r="SHD23" s="407"/>
      <c r="SHE23" s="407"/>
      <c r="SHF23" s="407"/>
      <c r="SHG23" s="407"/>
      <c r="SHH23" s="407"/>
      <c r="SHI23" s="407"/>
      <c r="SHJ23" s="407"/>
      <c r="SHK23" s="407"/>
      <c r="SHL23" s="407"/>
      <c r="SHM23" s="407"/>
      <c r="SHN23" s="407"/>
      <c r="SHO23" s="407"/>
      <c r="SHP23" s="407"/>
      <c r="SHQ23" s="407"/>
      <c r="SHR23" s="407"/>
      <c r="SHS23" s="407"/>
      <c r="SHT23" s="407"/>
      <c r="SHU23" s="407"/>
      <c r="SHV23" s="407"/>
      <c r="SHW23" s="407"/>
      <c r="SHX23" s="407"/>
      <c r="SHY23" s="407"/>
      <c r="SHZ23" s="407"/>
      <c r="SIA23" s="407"/>
      <c r="SIB23" s="407"/>
      <c r="SIC23" s="407"/>
      <c r="SID23" s="407"/>
      <c r="SIE23" s="407"/>
      <c r="SIF23" s="407"/>
      <c r="SIG23" s="407"/>
      <c r="SIH23" s="407"/>
      <c r="SII23" s="407"/>
      <c r="SIJ23" s="407"/>
      <c r="SIK23" s="407"/>
      <c r="SIL23" s="407"/>
      <c r="SIM23" s="407"/>
      <c r="SIN23" s="407"/>
      <c r="SIO23" s="407"/>
      <c r="SIP23" s="407"/>
      <c r="SIQ23" s="407"/>
      <c r="SIR23" s="407"/>
      <c r="SIS23" s="407"/>
      <c r="SIT23" s="407"/>
      <c r="SIU23" s="407"/>
      <c r="SIV23" s="407"/>
      <c r="SIW23" s="407"/>
      <c r="SIX23" s="407"/>
      <c r="SIY23" s="407"/>
      <c r="SIZ23" s="407"/>
      <c r="SJA23" s="407"/>
      <c r="SJB23" s="407"/>
      <c r="SJC23" s="407"/>
      <c r="SJD23" s="407"/>
      <c r="SJE23" s="407"/>
      <c r="SJF23" s="407"/>
      <c r="SJG23" s="407"/>
      <c r="SJH23" s="407"/>
      <c r="SJI23" s="407"/>
      <c r="SJJ23" s="407"/>
      <c r="SJK23" s="407"/>
      <c r="SJL23" s="407"/>
      <c r="SJM23" s="407"/>
      <c r="SJN23" s="407"/>
      <c r="SJO23" s="407"/>
      <c r="SJP23" s="407"/>
      <c r="SJQ23" s="407"/>
      <c r="SJR23" s="407"/>
      <c r="SJS23" s="407"/>
      <c r="SJT23" s="407"/>
      <c r="SJU23" s="407"/>
      <c r="SJV23" s="407"/>
      <c r="SJW23" s="407"/>
      <c r="SJX23" s="407"/>
      <c r="SJY23" s="407"/>
      <c r="SJZ23" s="407"/>
      <c r="SKA23" s="407"/>
      <c r="SKB23" s="407"/>
      <c r="SKC23" s="407"/>
      <c r="SKD23" s="407"/>
      <c r="SKE23" s="407"/>
      <c r="SKF23" s="407"/>
      <c r="SKG23" s="407"/>
      <c r="SKH23" s="407"/>
      <c r="SKI23" s="407"/>
      <c r="SKJ23" s="407"/>
      <c r="SKK23" s="407"/>
      <c r="SKL23" s="407"/>
      <c r="SKM23" s="407"/>
      <c r="SKN23" s="407"/>
      <c r="SKO23" s="407"/>
      <c r="SKP23" s="407"/>
      <c r="SKQ23" s="407"/>
      <c r="SKR23" s="407"/>
      <c r="SKS23" s="407"/>
      <c r="SKT23" s="407"/>
      <c r="SKU23" s="407"/>
      <c r="SKV23" s="407"/>
      <c r="SKW23" s="407"/>
      <c r="SKX23" s="407"/>
      <c r="SKY23" s="407"/>
      <c r="SKZ23" s="407"/>
      <c r="SLA23" s="407"/>
      <c r="SLB23" s="407"/>
      <c r="SLC23" s="407"/>
      <c r="SLD23" s="407"/>
      <c r="SLE23" s="407"/>
      <c r="SLF23" s="407"/>
      <c r="SLG23" s="407"/>
      <c r="SLH23" s="407"/>
      <c r="SLI23" s="407"/>
      <c r="SLJ23" s="407"/>
      <c r="SLK23" s="407"/>
      <c r="SLL23" s="407"/>
      <c r="SLM23" s="407"/>
      <c r="SLN23" s="407"/>
      <c r="SLO23" s="407"/>
      <c r="SLP23" s="407"/>
      <c r="SLQ23" s="407"/>
      <c r="SLR23" s="407"/>
      <c r="SLS23" s="407"/>
      <c r="SLT23" s="407"/>
      <c r="SLU23" s="407"/>
      <c r="SLV23" s="407"/>
      <c r="SLW23" s="407"/>
      <c r="SLX23" s="407"/>
      <c r="SLY23" s="407"/>
      <c r="SLZ23" s="407"/>
      <c r="SMA23" s="407"/>
      <c r="SMB23" s="407"/>
      <c r="SMC23" s="407"/>
      <c r="SMD23" s="407"/>
      <c r="SME23" s="407"/>
      <c r="SMF23" s="407"/>
      <c r="SMG23" s="407"/>
      <c r="SMH23" s="407"/>
      <c r="SMI23" s="407"/>
      <c r="SMJ23" s="407"/>
      <c r="SMK23" s="407"/>
      <c r="SML23" s="407"/>
      <c r="SMM23" s="407"/>
      <c r="SMN23" s="407"/>
      <c r="SMO23" s="407"/>
      <c r="SMP23" s="407"/>
      <c r="SMQ23" s="407"/>
      <c r="SMR23" s="407"/>
      <c r="SMS23" s="407"/>
      <c r="SMT23" s="407"/>
      <c r="SMU23" s="407"/>
      <c r="SMV23" s="407"/>
      <c r="SMW23" s="407"/>
      <c r="SMX23" s="407"/>
      <c r="SMY23" s="407"/>
      <c r="SMZ23" s="407"/>
      <c r="SNA23" s="407"/>
      <c r="SNB23" s="407"/>
      <c r="SNC23" s="407"/>
      <c r="SND23" s="407"/>
      <c r="SNE23" s="407"/>
      <c r="SNF23" s="407"/>
      <c r="SNG23" s="407"/>
      <c r="SNH23" s="407"/>
      <c r="SNI23" s="407"/>
      <c r="SNJ23" s="407"/>
      <c r="SNK23" s="407"/>
      <c r="SNL23" s="407"/>
      <c r="SNM23" s="407"/>
      <c r="SNN23" s="407"/>
      <c r="SNO23" s="407"/>
      <c r="SNP23" s="407"/>
      <c r="SNQ23" s="407"/>
      <c r="SNR23" s="407"/>
      <c r="SNS23" s="407"/>
      <c r="SNT23" s="407"/>
      <c r="SNU23" s="407"/>
      <c r="SNV23" s="407"/>
      <c r="SNW23" s="407"/>
      <c r="SNX23" s="407"/>
      <c r="SNY23" s="407"/>
      <c r="SNZ23" s="407"/>
      <c r="SOA23" s="407"/>
      <c r="SOB23" s="407"/>
      <c r="SOC23" s="407"/>
      <c r="SOD23" s="407"/>
      <c r="SOE23" s="407"/>
      <c r="SOF23" s="407"/>
      <c r="SOG23" s="407"/>
      <c r="SOH23" s="407"/>
      <c r="SOI23" s="407"/>
      <c r="SOJ23" s="407"/>
      <c r="SOK23" s="407"/>
      <c r="SOL23" s="407"/>
      <c r="SOM23" s="407"/>
      <c r="SON23" s="407"/>
      <c r="SOO23" s="407"/>
      <c r="SOP23" s="407"/>
      <c r="SOQ23" s="407"/>
      <c r="SOR23" s="407"/>
      <c r="SOS23" s="407"/>
      <c r="SOT23" s="407"/>
      <c r="SOU23" s="407"/>
      <c r="SOV23" s="407"/>
      <c r="SOW23" s="407"/>
      <c r="SOX23" s="407"/>
      <c r="SOY23" s="407"/>
      <c r="SOZ23" s="407"/>
      <c r="SPA23" s="407"/>
      <c r="SPB23" s="407"/>
      <c r="SPC23" s="407"/>
      <c r="SPD23" s="407"/>
      <c r="SPE23" s="407"/>
      <c r="SPF23" s="407"/>
      <c r="SPG23" s="407"/>
      <c r="SPH23" s="407"/>
      <c r="SPI23" s="407"/>
      <c r="SPJ23" s="407"/>
      <c r="SPK23" s="407"/>
      <c r="SPL23" s="407"/>
      <c r="SPM23" s="407"/>
      <c r="SPN23" s="407"/>
      <c r="SPO23" s="407"/>
      <c r="SPP23" s="407"/>
      <c r="SPQ23" s="407"/>
      <c r="SPR23" s="407"/>
      <c r="SPS23" s="407"/>
      <c r="SPT23" s="407"/>
      <c r="SPU23" s="407"/>
      <c r="SPV23" s="407"/>
      <c r="SPW23" s="407"/>
      <c r="SPX23" s="407"/>
      <c r="SPY23" s="407"/>
      <c r="SPZ23" s="407"/>
      <c r="SQA23" s="407"/>
      <c r="SQB23" s="407"/>
      <c r="SQC23" s="407"/>
      <c r="SQD23" s="407"/>
      <c r="SQE23" s="407"/>
      <c r="SQF23" s="407"/>
      <c r="SQG23" s="407"/>
      <c r="SQH23" s="407"/>
      <c r="SQI23" s="407"/>
      <c r="SQJ23" s="407"/>
      <c r="SQK23" s="407"/>
      <c r="SQL23" s="407"/>
      <c r="SQM23" s="407"/>
      <c r="SQN23" s="407"/>
      <c r="SQO23" s="407"/>
      <c r="SQP23" s="407"/>
      <c r="SQQ23" s="407"/>
      <c r="SQR23" s="407"/>
      <c r="SQS23" s="407"/>
      <c r="SQT23" s="407"/>
      <c r="SQU23" s="407"/>
      <c r="SQV23" s="407"/>
      <c r="SQW23" s="407"/>
      <c r="SQX23" s="407"/>
      <c r="SQY23" s="407"/>
      <c r="SQZ23" s="407"/>
      <c r="SRA23" s="407"/>
      <c r="SRB23" s="407"/>
      <c r="SRC23" s="407"/>
      <c r="SRD23" s="407"/>
      <c r="SRE23" s="407"/>
      <c r="SRF23" s="407"/>
      <c r="SRG23" s="407"/>
      <c r="SRH23" s="407"/>
      <c r="SRI23" s="407"/>
      <c r="SRJ23" s="407"/>
      <c r="SRK23" s="407"/>
      <c r="SRL23" s="407"/>
      <c r="SRM23" s="407"/>
      <c r="SRN23" s="407"/>
      <c r="SRO23" s="407"/>
      <c r="SRP23" s="407"/>
      <c r="SRQ23" s="407"/>
      <c r="SRR23" s="407"/>
      <c r="SRS23" s="407"/>
      <c r="SRT23" s="407"/>
      <c r="SRU23" s="407"/>
      <c r="SRV23" s="407"/>
      <c r="SRW23" s="407"/>
      <c r="SRX23" s="407"/>
      <c r="SRY23" s="407"/>
      <c r="SRZ23" s="407"/>
      <c r="SSA23" s="407"/>
      <c r="SSB23" s="407"/>
      <c r="SSC23" s="407"/>
      <c r="SSD23" s="407"/>
      <c r="SSE23" s="407"/>
      <c r="SSF23" s="407"/>
      <c r="SSG23" s="407"/>
      <c r="SSH23" s="407"/>
      <c r="SSI23" s="407"/>
      <c r="SSJ23" s="407"/>
      <c r="SSK23" s="407"/>
      <c r="SSL23" s="407"/>
      <c r="SSM23" s="407"/>
      <c r="SSN23" s="407"/>
      <c r="SSO23" s="407"/>
      <c r="SSP23" s="407"/>
      <c r="SSQ23" s="407"/>
      <c r="SSR23" s="407"/>
      <c r="SSS23" s="407"/>
      <c r="SST23" s="407"/>
      <c r="SSU23" s="407"/>
      <c r="SSV23" s="407"/>
      <c r="SSW23" s="407"/>
      <c r="SSX23" s="407"/>
      <c r="SSY23" s="407"/>
      <c r="SSZ23" s="407"/>
      <c r="STA23" s="407"/>
      <c r="STB23" s="407"/>
      <c r="STC23" s="407"/>
      <c r="STD23" s="407"/>
      <c r="STE23" s="407"/>
      <c r="STF23" s="407"/>
      <c r="STG23" s="407"/>
      <c r="STH23" s="407"/>
      <c r="STI23" s="407"/>
      <c r="STJ23" s="407"/>
      <c r="STK23" s="407"/>
      <c r="STL23" s="407"/>
      <c r="STM23" s="407"/>
      <c r="STN23" s="407"/>
      <c r="STO23" s="407"/>
      <c r="STP23" s="407"/>
      <c r="STQ23" s="407"/>
      <c r="STR23" s="407"/>
      <c r="STS23" s="407"/>
      <c r="STT23" s="407"/>
      <c r="STU23" s="407"/>
      <c r="STV23" s="407"/>
      <c r="STW23" s="407"/>
      <c r="STX23" s="407"/>
      <c r="STY23" s="407"/>
      <c r="STZ23" s="407"/>
      <c r="SUA23" s="407"/>
      <c r="SUB23" s="407"/>
      <c r="SUC23" s="407"/>
      <c r="SUD23" s="407"/>
      <c r="SUE23" s="407"/>
      <c r="SUF23" s="407"/>
      <c r="SUG23" s="407"/>
      <c r="SUH23" s="407"/>
      <c r="SUI23" s="407"/>
      <c r="SUJ23" s="407"/>
      <c r="SUK23" s="407"/>
      <c r="SUL23" s="407"/>
      <c r="SUM23" s="407"/>
      <c r="SUN23" s="407"/>
      <c r="SUO23" s="407"/>
      <c r="SUP23" s="407"/>
      <c r="SUQ23" s="407"/>
      <c r="SUR23" s="407"/>
      <c r="SUS23" s="407"/>
      <c r="SUT23" s="407"/>
      <c r="SUU23" s="407"/>
      <c r="SUV23" s="407"/>
      <c r="SUW23" s="407"/>
      <c r="SUX23" s="407"/>
      <c r="SUY23" s="407"/>
      <c r="SUZ23" s="407"/>
      <c r="SVA23" s="407"/>
      <c r="SVB23" s="407"/>
      <c r="SVC23" s="407"/>
      <c r="SVD23" s="407"/>
      <c r="SVE23" s="407"/>
      <c r="SVF23" s="407"/>
      <c r="SVG23" s="407"/>
      <c r="SVH23" s="407"/>
      <c r="SVI23" s="407"/>
      <c r="SVJ23" s="407"/>
      <c r="SVK23" s="407"/>
      <c r="SVL23" s="407"/>
      <c r="SVM23" s="407"/>
      <c r="SVN23" s="407"/>
      <c r="SVO23" s="407"/>
      <c r="SVP23" s="407"/>
      <c r="SVQ23" s="407"/>
      <c r="SVR23" s="407"/>
      <c r="SVS23" s="407"/>
      <c r="SVT23" s="407"/>
      <c r="SVU23" s="407"/>
      <c r="SVV23" s="407"/>
      <c r="SVW23" s="407"/>
      <c r="SVX23" s="407"/>
      <c r="SVY23" s="407"/>
      <c r="SVZ23" s="407"/>
      <c r="SWA23" s="407"/>
      <c r="SWB23" s="407"/>
      <c r="SWC23" s="407"/>
      <c r="SWD23" s="407"/>
      <c r="SWE23" s="407"/>
      <c r="SWF23" s="407"/>
      <c r="SWG23" s="407"/>
      <c r="SWH23" s="407"/>
      <c r="SWI23" s="407"/>
      <c r="SWJ23" s="407"/>
      <c r="SWK23" s="407"/>
      <c r="SWL23" s="407"/>
      <c r="SWM23" s="407"/>
      <c r="SWN23" s="407"/>
      <c r="SWO23" s="407"/>
      <c r="SWP23" s="407"/>
      <c r="SWQ23" s="407"/>
      <c r="SWR23" s="407"/>
      <c r="SWS23" s="407"/>
      <c r="SWT23" s="407"/>
      <c r="SWU23" s="407"/>
      <c r="SWV23" s="407"/>
      <c r="SWW23" s="407"/>
      <c r="SWX23" s="407"/>
      <c r="SWY23" s="407"/>
      <c r="SWZ23" s="407"/>
      <c r="SXA23" s="407"/>
      <c r="SXB23" s="407"/>
      <c r="SXC23" s="407"/>
      <c r="SXD23" s="407"/>
      <c r="SXE23" s="407"/>
      <c r="SXF23" s="407"/>
      <c r="SXG23" s="407"/>
      <c r="SXH23" s="407"/>
      <c r="SXI23" s="407"/>
      <c r="SXJ23" s="407"/>
      <c r="SXK23" s="407"/>
      <c r="SXL23" s="407"/>
      <c r="SXM23" s="407"/>
      <c r="SXN23" s="407"/>
      <c r="SXO23" s="407"/>
      <c r="SXP23" s="407"/>
      <c r="SXQ23" s="407"/>
      <c r="SXR23" s="407"/>
      <c r="SXS23" s="407"/>
      <c r="SXT23" s="407"/>
      <c r="SXU23" s="407"/>
      <c r="SXV23" s="407"/>
      <c r="SXW23" s="407"/>
      <c r="SXX23" s="407"/>
      <c r="SXY23" s="407"/>
      <c r="SXZ23" s="407"/>
      <c r="SYA23" s="407"/>
      <c r="SYB23" s="407"/>
      <c r="SYC23" s="407"/>
      <c r="SYD23" s="407"/>
      <c r="SYE23" s="407"/>
      <c r="SYF23" s="407"/>
      <c r="SYG23" s="407"/>
      <c r="SYH23" s="407"/>
      <c r="SYI23" s="407"/>
      <c r="SYJ23" s="407"/>
      <c r="SYK23" s="407"/>
      <c r="SYL23" s="407"/>
      <c r="SYM23" s="407"/>
      <c r="SYN23" s="407"/>
      <c r="SYO23" s="407"/>
      <c r="SYP23" s="407"/>
      <c r="SYQ23" s="407"/>
      <c r="SYR23" s="407"/>
      <c r="SYS23" s="407"/>
      <c r="SYT23" s="407"/>
      <c r="SYU23" s="407"/>
      <c r="SYV23" s="407"/>
      <c r="SYW23" s="407"/>
      <c r="SYX23" s="407"/>
      <c r="SYY23" s="407"/>
      <c r="SYZ23" s="407"/>
      <c r="SZA23" s="407"/>
      <c r="SZB23" s="407"/>
      <c r="SZC23" s="407"/>
      <c r="SZD23" s="407"/>
      <c r="SZE23" s="407"/>
      <c r="SZF23" s="407"/>
      <c r="SZG23" s="407"/>
      <c r="SZH23" s="407"/>
      <c r="SZI23" s="407"/>
      <c r="SZJ23" s="407"/>
      <c r="SZK23" s="407"/>
      <c r="SZL23" s="407"/>
      <c r="SZM23" s="407"/>
      <c r="SZN23" s="407"/>
      <c r="SZO23" s="407"/>
      <c r="SZP23" s="407"/>
      <c r="SZQ23" s="407"/>
      <c r="SZR23" s="407"/>
      <c r="SZS23" s="407"/>
      <c r="SZT23" s="407"/>
      <c r="SZU23" s="407"/>
      <c r="SZV23" s="407"/>
      <c r="SZW23" s="407"/>
      <c r="SZX23" s="407"/>
      <c r="SZY23" s="407"/>
      <c r="SZZ23" s="407"/>
      <c r="TAA23" s="407"/>
      <c r="TAB23" s="407"/>
      <c r="TAC23" s="407"/>
      <c r="TAD23" s="407"/>
      <c r="TAE23" s="407"/>
      <c r="TAF23" s="407"/>
      <c r="TAG23" s="407"/>
      <c r="TAH23" s="407"/>
      <c r="TAI23" s="407"/>
      <c r="TAJ23" s="407"/>
      <c r="TAK23" s="407"/>
      <c r="TAL23" s="407"/>
      <c r="TAM23" s="407"/>
      <c r="TAN23" s="407"/>
      <c r="TAO23" s="407"/>
      <c r="TAP23" s="407"/>
      <c r="TAQ23" s="407"/>
      <c r="TAR23" s="407"/>
      <c r="TAS23" s="407"/>
      <c r="TAT23" s="407"/>
      <c r="TAU23" s="407"/>
      <c r="TAV23" s="407"/>
      <c r="TAW23" s="407"/>
      <c r="TAX23" s="407"/>
      <c r="TAY23" s="407"/>
      <c r="TAZ23" s="407"/>
      <c r="TBA23" s="407"/>
      <c r="TBB23" s="407"/>
      <c r="TBC23" s="407"/>
      <c r="TBD23" s="407"/>
      <c r="TBE23" s="407"/>
      <c r="TBF23" s="407"/>
      <c r="TBG23" s="407"/>
      <c r="TBH23" s="407"/>
      <c r="TBI23" s="407"/>
      <c r="TBJ23" s="407"/>
      <c r="TBK23" s="407"/>
      <c r="TBL23" s="407"/>
      <c r="TBM23" s="407"/>
      <c r="TBN23" s="407"/>
      <c r="TBO23" s="407"/>
      <c r="TBP23" s="407"/>
      <c r="TBQ23" s="407"/>
      <c r="TBR23" s="407"/>
      <c r="TBS23" s="407"/>
      <c r="TBT23" s="407"/>
      <c r="TBU23" s="407"/>
      <c r="TBV23" s="407"/>
      <c r="TBW23" s="407"/>
      <c r="TBX23" s="407"/>
      <c r="TBY23" s="407"/>
      <c r="TBZ23" s="407"/>
      <c r="TCA23" s="407"/>
      <c r="TCB23" s="407"/>
      <c r="TCC23" s="407"/>
      <c r="TCD23" s="407"/>
      <c r="TCE23" s="407"/>
      <c r="TCF23" s="407"/>
      <c r="TCG23" s="407"/>
      <c r="TCH23" s="407"/>
      <c r="TCI23" s="407"/>
      <c r="TCJ23" s="407"/>
      <c r="TCK23" s="407"/>
      <c r="TCL23" s="407"/>
      <c r="TCM23" s="407"/>
      <c r="TCN23" s="407"/>
      <c r="TCO23" s="407"/>
      <c r="TCP23" s="407"/>
      <c r="TCQ23" s="407"/>
      <c r="TCR23" s="407"/>
      <c r="TCS23" s="407"/>
      <c r="TCT23" s="407"/>
      <c r="TCU23" s="407"/>
      <c r="TCV23" s="407"/>
      <c r="TCW23" s="407"/>
      <c r="TCX23" s="407"/>
      <c r="TCY23" s="407"/>
      <c r="TCZ23" s="407"/>
      <c r="TDA23" s="407"/>
      <c r="TDB23" s="407"/>
      <c r="TDC23" s="407"/>
      <c r="TDD23" s="407"/>
      <c r="TDE23" s="407"/>
      <c r="TDF23" s="407"/>
      <c r="TDG23" s="407"/>
      <c r="TDH23" s="407"/>
      <c r="TDI23" s="407"/>
      <c r="TDJ23" s="407"/>
      <c r="TDK23" s="407"/>
      <c r="TDL23" s="407"/>
      <c r="TDM23" s="407"/>
      <c r="TDN23" s="407"/>
      <c r="TDO23" s="407"/>
      <c r="TDP23" s="407"/>
      <c r="TDQ23" s="407"/>
      <c r="TDR23" s="407"/>
      <c r="TDS23" s="407"/>
      <c r="TDT23" s="407"/>
      <c r="TDU23" s="407"/>
      <c r="TDV23" s="407"/>
      <c r="TDW23" s="407"/>
      <c r="TDX23" s="407"/>
      <c r="TDY23" s="407"/>
      <c r="TDZ23" s="407"/>
      <c r="TEA23" s="407"/>
      <c r="TEB23" s="407"/>
      <c r="TEC23" s="407"/>
      <c r="TED23" s="407"/>
      <c r="TEE23" s="407"/>
      <c r="TEF23" s="407"/>
      <c r="TEG23" s="407"/>
      <c r="TEH23" s="407"/>
      <c r="TEI23" s="407"/>
      <c r="TEJ23" s="407"/>
      <c r="TEK23" s="407"/>
      <c r="TEL23" s="407"/>
      <c r="TEM23" s="407"/>
      <c r="TEN23" s="407"/>
      <c r="TEO23" s="407"/>
      <c r="TEP23" s="407"/>
      <c r="TEQ23" s="407"/>
      <c r="TER23" s="407"/>
      <c r="TES23" s="407"/>
      <c r="TET23" s="407"/>
      <c r="TEU23" s="407"/>
      <c r="TEV23" s="407"/>
      <c r="TEW23" s="407"/>
      <c r="TEX23" s="407"/>
      <c r="TEY23" s="407"/>
      <c r="TEZ23" s="407"/>
      <c r="TFA23" s="407"/>
      <c r="TFB23" s="407"/>
      <c r="TFC23" s="407"/>
      <c r="TFD23" s="407"/>
      <c r="TFE23" s="407"/>
      <c r="TFF23" s="407"/>
      <c r="TFG23" s="407"/>
      <c r="TFH23" s="407"/>
      <c r="TFI23" s="407"/>
      <c r="TFJ23" s="407"/>
      <c r="TFK23" s="407"/>
      <c r="TFL23" s="407"/>
      <c r="TFM23" s="407"/>
      <c r="TFN23" s="407"/>
      <c r="TFO23" s="407"/>
      <c r="TFP23" s="407"/>
      <c r="TFQ23" s="407"/>
      <c r="TFR23" s="407"/>
      <c r="TFS23" s="407"/>
      <c r="TFT23" s="407"/>
      <c r="TFU23" s="407"/>
      <c r="TFV23" s="407"/>
      <c r="TFW23" s="407"/>
      <c r="TFX23" s="407"/>
      <c r="TFY23" s="407"/>
      <c r="TFZ23" s="407"/>
      <c r="TGA23" s="407"/>
      <c r="TGB23" s="407"/>
      <c r="TGC23" s="407"/>
      <c r="TGD23" s="407"/>
      <c r="TGE23" s="407"/>
      <c r="TGF23" s="407"/>
      <c r="TGG23" s="407"/>
      <c r="TGH23" s="407"/>
      <c r="TGI23" s="407"/>
      <c r="TGJ23" s="407"/>
      <c r="TGK23" s="407"/>
      <c r="TGL23" s="407"/>
      <c r="TGM23" s="407"/>
      <c r="TGN23" s="407"/>
      <c r="TGO23" s="407"/>
      <c r="TGP23" s="407"/>
      <c r="TGQ23" s="407"/>
      <c r="TGR23" s="407"/>
      <c r="TGS23" s="407"/>
      <c r="TGT23" s="407"/>
      <c r="TGU23" s="407"/>
      <c r="TGV23" s="407"/>
      <c r="TGW23" s="407"/>
      <c r="TGX23" s="407"/>
      <c r="TGY23" s="407"/>
      <c r="TGZ23" s="407"/>
      <c r="THA23" s="407"/>
      <c r="THB23" s="407"/>
      <c r="THC23" s="407"/>
      <c r="THD23" s="407"/>
      <c r="THE23" s="407"/>
      <c r="THF23" s="407"/>
      <c r="THG23" s="407"/>
      <c r="THH23" s="407"/>
      <c r="THI23" s="407"/>
      <c r="THJ23" s="407"/>
      <c r="THK23" s="407"/>
      <c r="THL23" s="407"/>
      <c r="THM23" s="407"/>
      <c r="THN23" s="407"/>
      <c r="THO23" s="407"/>
      <c r="THP23" s="407"/>
      <c r="THQ23" s="407"/>
      <c r="THR23" s="407"/>
      <c r="THS23" s="407"/>
      <c r="THT23" s="407"/>
      <c r="THU23" s="407"/>
      <c r="THV23" s="407"/>
      <c r="THW23" s="407"/>
      <c r="THX23" s="407"/>
      <c r="THY23" s="407"/>
      <c r="THZ23" s="407"/>
      <c r="TIA23" s="407"/>
      <c r="TIB23" s="407"/>
      <c r="TIC23" s="407"/>
      <c r="TID23" s="407"/>
      <c r="TIE23" s="407"/>
      <c r="TIF23" s="407"/>
      <c r="TIG23" s="407"/>
      <c r="TIH23" s="407"/>
      <c r="TII23" s="407"/>
      <c r="TIJ23" s="407"/>
      <c r="TIK23" s="407"/>
      <c r="TIL23" s="407"/>
      <c r="TIM23" s="407"/>
      <c r="TIN23" s="407"/>
      <c r="TIO23" s="407"/>
      <c r="TIP23" s="407"/>
      <c r="TIQ23" s="407"/>
      <c r="TIR23" s="407"/>
      <c r="TIS23" s="407"/>
      <c r="TIT23" s="407"/>
      <c r="TIU23" s="407"/>
      <c r="TIV23" s="407"/>
      <c r="TIW23" s="407"/>
      <c r="TIX23" s="407"/>
      <c r="TIY23" s="407"/>
      <c r="TIZ23" s="407"/>
      <c r="TJA23" s="407"/>
      <c r="TJB23" s="407"/>
      <c r="TJC23" s="407"/>
      <c r="TJD23" s="407"/>
      <c r="TJE23" s="407"/>
      <c r="TJF23" s="407"/>
      <c r="TJG23" s="407"/>
      <c r="TJH23" s="407"/>
      <c r="TJI23" s="407"/>
      <c r="TJJ23" s="407"/>
      <c r="TJK23" s="407"/>
      <c r="TJL23" s="407"/>
      <c r="TJM23" s="407"/>
      <c r="TJN23" s="407"/>
      <c r="TJO23" s="407"/>
      <c r="TJP23" s="407"/>
      <c r="TJQ23" s="407"/>
      <c r="TJR23" s="407"/>
      <c r="TJS23" s="407"/>
      <c r="TJT23" s="407"/>
      <c r="TJU23" s="407"/>
      <c r="TJV23" s="407"/>
      <c r="TJW23" s="407"/>
      <c r="TJX23" s="407"/>
      <c r="TJY23" s="407"/>
      <c r="TJZ23" s="407"/>
      <c r="TKA23" s="407"/>
      <c r="TKB23" s="407"/>
      <c r="TKC23" s="407"/>
      <c r="TKD23" s="407"/>
      <c r="TKE23" s="407"/>
      <c r="TKF23" s="407"/>
      <c r="TKG23" s="407"/>
      <c r="TKH23" s="407"/>
      <c r="TKI23" s="407"/>
      <c r="TKJ23" s="407"/>
      <c r="TKK23" s="407"/>
      <c r="TKL23" s="407"/>
      <c r="TKM23" s="407"/>
      <c r="TKN23" s="407"/>
      <c r="TKO23" s="407"/>
      <c r="TKP23" s="407"/>
      <c r="TKQ23" s="407"/>
      <c r="TKR23" s="407"/>
      <c r="TKS23" s="407"/>
      <c r="TKT23" s="407"/>
      <c r="TKU23" s="407"/>
      <c r="TKV23" s="407"/>
      <c r="TKW23" s="407"/>
      <c r="TKX23" s="407"/>
      <c r="TKY23" s="407"/>
      <c r="TKZ23" s="407"/>
      <c r="TLA23" s="407"/>
      <c r="TLB23" s="407"/>
      <c r="TLC23" s="407"/>
      <c r="TLD23" s="407"/>
      <c r="TLE23" s="407"/>
      <c r="TLF23" s="407"/>
      <c r="TLG23" s="407"/>
      <c r="TLH23" s="407"/>
      <c r="TLI23" s="407"/>
      <c r="TLJ23" s="407"/>
      <c r="TLK23" s="407"/>
      <c r="TLL23" s="407"/>
      <c r="TLM23" s="407"/>
      <c r="TLN23" s="407"/>
      <c r="TLO23" s="407"/>
      <c r="TLP23" s="407"/>
      <c r="TLQ23" s="407"/>
      <c r="TLR23" s="407"/>
      <c r="TLS23" s="407"/>
      <c r="TLT23" s="407"/>
      <c r="TLU23" s="407"/>
      <c r="TLV23" s="407"/>
      <c r="TLW23" s="407"/>
      <c r="TLX23" s="407"/>
      <c r="TLY23" s="407"/>
      <c r="TLZ23" s="407"/>
      <c r="TMA23" s="407"/>
      <c r="TMB23" s="407"/>
      <c r="TMC23" s="407"/>
      <c r="TMD23" s="407"/>
      <c r="TME23" s="407"/>
      <c r="TMF23" s="407"/>
      <c r="TMG23" s="407"/>
      <c r="TMH23" s="407"/>
      <c r="TMI23" s="407"/>
      <c r="TMJ23" s="407"/>
      <c r="TMK23" s="407"/>
      <c r="TML23" s="407"/>
      <c r="TMM23" s="407"/>
      <c r="TMN23" s="407"/>
      <c r="TMO23" s="407"/>
      <c r="TMP23" s="407"/>
      <c r="TMQ23" s="407"/>
      <c r="TMR23" s="407"/>
      <c r="TMS23" s="407"/>
      <c r="TMT23" s="407"/>
      <c r="TMU23" s="407"/>
      <c r="TMV23" s="407"/>
      <c r="TMW23" s="407"/>
      <c r="TMX23" s="407"/>
      <c r="TMY23" s="407"/>
      <c r="TMZ23" s="407"/>
      <c r="TNA23" s="407"/>
      <c r="TNB23" s="407"/>
      <c r="TNC23" s="407"/>
      <c r="TND23" s="407"/>
      <c r="TNE23" s="407"/>
      <c r="TNF23" s="407"/>
      <c r="TNG23" s="407"/>
      <c r="TNH23" s="407"/>
      <c r="TNI23" s="407"/>
      <c r="TNJ23" s="407"/>
      <c r="TNK23" s="407"/>
      <c r="TNL23" s="407"/>
      <c r="TNM23" s="407"/>
      <c r="TNN23" s="407"/>
      <c r="TNO23" s="407"/>
      <c r="TNP23" s="407"/>
      <c r="TNQ23" s="407"/>
      <c r="TNR23" s="407"/>
      <c r="TNS23" s="407"/>
      <c r="TNT23" s="407"/>
      <c r="TNU23" s="407"/>
      <c r="TNV23" s="407"/>
      <c r="TNW23" s="407"/>
      <c r="TNX23" s="407"/>
      <c r="TNY23" s="407"/>
      <c r="TNZ23" s="407"/>
      <c r="TOA23" s="407"/>
      <c r="TOB23" s="407"/>
      <c r="TOC23" s="407"/>
      <c r="TOD23" s="407"/>
      <c r="TOE23" s="407"/>
      <c r="TOF23" s="407"/>
      <c r="TOG23" s="407"/>
      <c r="TOH23" s="407"/>
      <c r="TOI23" s="407"/>
      <c r="TOJ23" s="407"/>
      <c r="TOK23" s="407"/>
      <c r="TOL23" s="407"/>
      <c r="TOM23" s="407"/>
      <c r="TON23" s="407"/>
      <c r="TOO23" s="407"/>
      <c r="TOP23" s="407"/>
      <c r="TOQ23" s="407"/>
      <c r="TOR23" s="407"/>
      <c r="TOS23" s="407"/>
      <c r="TOT23" s="407"/>
      <c r="TOU23" s="407"/>
      <c r="TOV23" s="407"/>
      <c r="TOW23" s="407"/>
      <c r="TOX23" s="407"/>
      <c r="TOY23" s="407"/>
      <c r="TOZ23" s="407"/>
      <c r="TPA23" s="407"/>
      <c r="TPB23" s="407"/>
      <c r="TPC23" s="407"/>
      <c r="TPD23" s="407"/>
      <c r="TPE23" s="407"/>
      <c r="TPF23" s="407"/>
      <c r="TPG23" s="407"/>
      <c r="TPH23" s="407"/>
      <c r="TPI23" s="407"/>
      <c r="TPJ23" s="407"/>
      <c r="TPK23" s="407"/>
      <c r="TPL23" s="407"/>
      <c r="TPM23" s="407"/>
      <c r="TPN23" s="407"/>
      <c r="TPO23" s="407"/>
      <c r="TPP23" s="407"/>
      <c r="TPQ23" s="407"/>
      <c r="TPR23" s="407"/>
      <c r="TPS23" s="407"/>
      <c r="TPT23" s="407"/>
      <c r="TPU23" s="407"/>
      <c r="TPV23" s="407"/>
      <c r="TPW23" s="407"/>
      <c r="TPX23" s="407"/>
      <c r="TPY23" s="407"/>
      <c r="TPZ23" s="407"/>
      <c r="TQA23" s="407"/>
      <c r="TQB23" s="407"/>
      <c r="TQC23" s="407"/>
      <c r="TQD23" s="407"/>
      <c r="TQE23" s="407"/>
      <c r="TQF23" s="407"/>
      <c r="TQG23" s="407"/>
      <c r="TQH23" s="407"/>
      <c r="TQI23" s="407"/>
      <c r="TQJ23" s="407"/>
      <c r="TQK23" s="407"/>
      <c r="TQL23" s="407"/>
      <c r="TQM23" s="407"/>
      <c r="TQN23" s="407"/>
      <c r="TQO23" s="407"/>
      <c r="TQP23" s="407"/>
      <c r="TQQ23" s="407"/>
      <c r="TQR23" s="407"/>
      <c r="TQS23" s="407"/>
      <c r="TQT23" s="407"/>
      <c r="TQU23" s="407"/>
      <c r="TQV23" s="407"/>
      <c r="TQW23" s="407"/>
      <c r="TQX23" s="407"/>
      <c r="TQY23" s="407"/>
      <c r="TQZ23" s="407"/>
      <c r="TRA23" s="407"/>
      <c r="TRB23" s="407"/>
      <c r="TRC23" s="407"/>
      <c r="TRD23" s="407"/>
      <c r="TRE23" s="407"/>
      <c r="TRF23" s="407"/>
      <c r="TRG23" s="407"/>
      <c r="TRH23" s="407"/>
      <c r="TRI23" s="407"/>
      <c r="TRJ23" s="407"/>
      <c r="TRK23" s="407"/>
      <c r="TRL23" s="407"/>
      <c r="TRM23" s="407"/>
      <c r="TRN23" s="407"/>
      <c r="TRO23" s="407"/>
      <c r="TRP23" s="407"/>
      <c r="TRQ23" s="407"/>
      <c r="TRR23" s="407"/>
      <c r="TRS23" s="407"/>
      <c r="TRT23" s="407"/>
      <c r="TRU23" s="407"/>
      <c r="TRV23" s="407"/>
      <c r="TRW23" s="407"/>
      <c r="TRX23" s="407"/>
      <c r="TRY23" s="407"/>
      <c r="TRZ23" s="407"/>
      <c r="TSA23" s="407"/>
      <c r="TSB23" s="407"/>
      <c r="TSC23" s="407"/>
      <c r="TSD23" s="407"/>
      <c r="TSE23" s="407"/>
      <c r="TSF23" s="407"/>
      <c r="TSG23" s="407"/>
      <c r="TSH23" s="407"/>
      <c r="TSI23" s="407"/>
      <c r="TSJ23" s="407"/>
      <c r="TSK23" s="407"/>
      <c r="TSL23" s="407"/>
      <c r="TSM23" s="407"/>
      <c r="TSN23" s="407"/>
      <c r="TSO23" s="407"/>
      <c r="TSP23" s="407"/>
      <c r="TSQ23" s="407"/>
      <c r="TSR23" s="407"/>
      <c r="TSS23" s="407"/>
      <c r="TST23" s="407"/>
      <c r="TSU23" s="407"/>
      <c r="TSV23" s="407"/>
      <c r="TSW23" s="407"/>
      <c r="TSX23" s="407"/>
      <c r="TSY23" s="407"/>
      <c r="TSZ23" s="407"/>
      <c r="TTA23" s="407"/>
      <c r="TTB23" s="407"/>
      <c r="TTC23" s="407"/>
      <c r="TTD23" s="407"/>
      <c r="TTE23" s="407"/>
      <c r="TTF23" s="407"/>
      <c r="TTG23" s="407"/>
      <c r="TTH23" s="407"/>
      <c r="TTI23" s="407"/>
      <c r="TTJ23" s="407"/>
      <c r="TTK23" s="407"/>
      <c r="TTL23" s="407"/>
      <c r="TTM23" s="407"/>
      <c r="TTN23" s="407"/>
      <c r="TTO23" s="407"/>
      <c r="TTP23" s="407"/>
      <c r="TTQ23" s="407"/>
      <c r="TTR23" s="407"/>
      <c r="TTS23" s="407"/>
      <c r="TTT23" s="407"/>
      <c r="TTU23" s="407"/>
      <c r="TTV23" s="407"/>
      <c r="TTW23" s="407"/>
      <c r="TTX23" s="407"/>
      <c r="TTY23" s="407"/>
      <c r="TTZ23" s="407"/>
      <c r="TUA23" s="407"/>
      <c r="TUB23" s="407"/>
      <c r="TUC23" s="407"/>
      <c r="TUD23" s="407"/>
      <c r="TUE23" s="407"/>
      <c r="TUF23" s="407"/>
      <c r="TUG23" s="407"/>
      <c r="TUH23" s="407"/>
      <c r="TUI23" s="407"/>
      <c r="TUJ23" s="407"/>
      <c r="TUK23" s="407"/>
      <c r="TUL23" s="407"/>
      <c r="TUM23" s="407"/>
      <c r="TUN23" s="407"/>
      <c r="TUO23" s="407"/>
      <c r="TUP23" s="407"/>
      <c r="TUQ23" s="407"/>
      <c r="TUR23" s="407"/>
      <c r="TUS23" s="407"/>
      <c r="TUT23" s="407"/>
      <c r="TUU23" s="407"/>
      <c r="TUV23" s="407"/>
      <c r="TUW23" s="407"/>
      <c r="TUX23" s="407"/>
      <c r="TUY23" s="407"/>
      <c r="TUZ23" s="407"/>
      <c r="TVA23" s="407"/>
      <c r="TVB23" s="407"/>
      <c r="TVC23" s="407"/>
      <c r="TVD23" s="407"/>
      <c r="TVE23" s="407"/>
      <c r="TVF23" s="407"/>
      <c r="TVG23" s="407"/>
      <c r="TVH23" s="407"/>
      <c r="TVI23" s="407"/>
      <c r="TVJ23" s="407"/>
      <c r="TVK23" s="407"/>
      <c r="TVL23" s="407"/>
      <c r="TVM23" s="407"/>
      <c r="TVN23" s="407"/>
      <c r="TVO23" s="407"/>
      <c r="TVP23" s="407"/>
      <c r="TVQ23" s="407"/>
      <c r="TVR23" s="407"/>
      <c r="TVS23" s="407"/>
      <c r="TVT23" s="407"/>
      <c r="TVU23" s="407"/>
      <c r="TVV23" s="407"/>
      <c r="TVW23" s="407"/>
      <c r="TVX23" s="407"/>
      <c r="TVY23" s="407"/>
      <c r="TVZ23" s="407"/>
      <c r="TWA23" s="407"/>
      <c r="TWB23" s="407"/>
      <c r="TWC23" s="407"/>
      <c r="TWD23" s="407"/>
      <c r="TWE23" s="407"/>
      <c r="TWF23" s="407"/>
      <c r="TWG23" s="407"/>
      <c r="TWH23" s="407"/>
      <c r="TWI23" s="407"/>
      <c r="TWJ23" s="407"/>
      <c r="TWK23" s="407"/>
      <c r="TWL23" s="407"/>
      <c r="TWM23" s="407"/>
      <c r="TWN23" s="407"/>
      <c r="TWO23" s="407"/>
      <c r="TWP23" s="407"/>
      <c r="TWQ23" s="407"/>
      <c r="TWR23" s="407"/>
      <c r="TWS23" s="407"/>
      <c r="TWT23" s="407"/>
      <c r="TWU23" s="407"/>
      <c r="TWV23" s="407"/>
      <c r="TWW23" s="407"/>
      <c r="TWX23" s="407"/>
      <c r="TWY23" s="407"/>
      <c r="TWZ23" s="407"/>
      <c r="TXA23" s="407"/>
      <c r="TXB23" s="407"/>
      <c r="TXC23" s="407"/>
      <c r="TXD23" s="407"/>
      <c r="TXE23" s="407"/>
      <c r="TXF23" s="407"/>
      <c r="TXG23" s="407"/>
      <c r="TXH23" s="407"/>
      <c r="TXI23" s="407"/>
      <c r="TXJ23" s="407"/>
      <c r="TXK23" s="407"/>
      <c r="TXL23" s="407"/>
      <c r="TXM23" s="407"/>
      <c r="TXN23" s="407"/>
      <c r="TXO23" s="407"/>
      <c r="TXP23" s="407"/>
      <c r="TXQ23" s="407"/>
      <c r="TXR23" s="407"/>
      <c r="TXS23" s="407"/>
      <c r="TXT23" s="407"/>
      <c r="TXU23" s="407"/>
      <c r="TXV23" s="407"/>
      <c r="TXW23" s="407"/>
      <c r="TXX23" s="407"/>
      <c r="TXY23" s="407"/>
      <c r="TXZ23" s="407"/>
      <c r="TYA23" s="407"/>
      <c r="TYB23" s="407"/>
      <c r="TYC23" s="407"/>
      <c r="TYD23" s="407"/>
      <c r="TYE23" s="407"/>
      <c r="TYF23" s="407"/>
      <c r="TYG23" s="407"/>
      <c r="TYH23" s="407"/>
      <c r="TYI23" s="407"/>
      <c r="TYJ23" s="407"/>
      <c r="TYK23" s="407"/>
      <c r="TYL23" s="407"/>
      <c r="TYM23" s="407"/>
      <c r="TYN23" s="407"/>
      <c r="TYO23" s="407"/>
      <c r="TYP23" s="407"/>
      <c r="TYQ23" s="407"/>
      <c r="TYR23" s="407"/>
      <c r="TYS23" s="407"/>
      <c r="TYT23" s="407"/>
      <c r="TYU23" s="407"/>
      <c r="TYV23" s="407"/>
      <c r="TYW23" s="407"/>
      <c r="TYX23" s="407"/>
      <c r="TYY23" s="407"/>
      <c r="TYZ23" s="407"/>
      <c r="TZA23" s="407"/>
      <c r="TZB23" s="407"/>
      <c r="TZC23" s="407"/>
      <c r="TZD23" s="407"/>
      <c r="TZE23" s="407"/>
      <c r="TZF23" s="407"/>
      <c r="TZG23" s="407"/>
      <c r="TZH23" s="407"/>
      <c r="TZI23" s="407"/>
      <c r="TZJ23" s="407"/>
      <c r="TZK23" s="407"/>
      <c r="TZL23" s="407"/>
      <c r="TZM23" s="407"/>
      <c r="TZN23" s="407"/>
      <c r="TZO23" s="407"/>
      <c r="TZP23" s="407"/>
      <c r="TZQ23" s="407"/>
      <c r="TZR23" s="407"/>
      <c r="TZS23" s="407"/>
      <c r="TZT23" s="407"/>
      <c r="TZU23" s="407"/>
      <c r="TZV23" s="407"/>
      <c r="TZW23" s="407"/>
      <c r="TZX23" s="407"/>
      <c r="TZY23" s="407"/>
      <c r="TZZ23" s="407"/>
      <c r="UAA23" s="407"/>
      <c r="UAB23" s="407"/>
      <c r="UAC23" s="407"/>
      <c r="UAD23" s="407"/>
      <c r="UAE23" s="407"/>
      <c r="UAF23" s="407"/>
      <c r="UAG23" s="407"/>
      <c r="UAH23" s="407"/>
      <c r="UAI23" s="407"/>
      <c r="UAJ23" s="407"/>
      <c r="UAK23" s="407"/>
      <c r="UAL23" s="407"/>
      <c r="UAM23" s="407"/>
      <c r="UAN23" s="407"/>
      <c r="UAO23" s="407"/>
      <c r="UAP23" s="407"/>
      <c r="UAQ23" s="407"/>
      <c r="UAR23" s="407"/>
      <c r="UAS23" s="407"/>
      <c r="UAT23" s="407"/>
      <c r="UAU23" s="407"/>
      <c r="UAV23" s="407"/>
      <c r="UAW23" s="407"/>
      <c r="UAX23" s="407"/>
      <c r="UAY23" s="407"/>
      <c r="UAZ23" s="407"/>
      <c r="UBA23" s="407"/>
      <c r="UBB23" s="407"/>
      <c r="UBC23" s="407"/>
      <c r="UBD23" s="407"/>
      <c r="UBE23" s="407"/>
      <c r="UBF23" s="407"/>
      <c r="UBG23" s="407"/>
      <c r="UBH23" s="407"/>
      <c r="UBI23" s="407"/>
      <c r="UBJ23" s="407"/>
      <c r="UBK23" s="407"/>
      <c r="UBL23" s="407"/>
      <c r="UBM23" s="407"/>
      <c r="UBN23" s="407"/>
      <c r="UBO23" s="407"/>
      <c r="UBP23" s="407"/>
      <c r="UBQ23" s="407"/>
      <c r="UBR23" s="407"/>
      <c r="UBS23" s="407"/>
      <c r="UBT23" s="407"/>
      <c r="UBU23" s="407"/>
      <c r="UBV23" s="407"/>
      <c r="UBW23" s="407"/>
      <c r="UBX23" s="407"/>
      <c r="UBY23" s="407"/>
      <c r="UBZ23" s="407"/>
      <c r="UCA23" s="407"/>
      <c r="UCB23" s="407"/>
      <c r="UCC23" s="407"/>
      <c r="UCD23" s="407"/>
      <c r="UCE23" s="407"/>
      <c r="UCF23" s="407"/>
      <c r="UCG23" s="407"/>
      <c r="UCH23" s="407"/>
      <c r="UCI23" s="407"/>
      <c r="UCJ23" s="407"/>
      <c r="UCK23" s="407"/>
      <c r="UCL23" s="407"/>
      <c r="UCM23" s="407"/>
      <c r="UCN23" s="407"/>
      <c r="UCO23" s="407"/>
      <c r="UCP23" s="407"/>
      <c r="UCQ23" s="407"/>
      <c r="UCR23" s="407"/>
      <c r="UCS23" s="407"/>
      <c r="UCT23" s="407"/>
      <c r="UCU23" s="407"/>
      <c r="UCV23" s="407"/>
      <c r="UCW23" s="407"/>
      <c r="UCX23" s="407"/>
      <c r="UCY23" s="407"/>
      <c r="UCZ23" s="407"/>
      <c r="UDA23" s="407"/>
      <c r="UDB23" s="407"/>
      <c r="UDC23" s="407"/>
      <c r="UDD23" s="407"/>
      <c r="UDE23" s="407"/>
      <c r="UDF23" s="407"/>
      <c r="UDG23" s="407"/>
      <c r="UDH23" s="407"/>
      <c r="UDI23" s="407"/>
      <c r="UDJ23" s="407"/>
      <c r="UDK23" s="407"/>
      <c r="UDL23" s="407"/>
      <c r="UDM23" s="407"/>
      <c r="UDN23" s="407"/>
      <c r="UDO23" s="407"/>
      <c r="UDP23" s="407"/>
      <c r="UDQ23" s="407"/>
      <c r="UDR23" s="407"/>
      <c r="UDS23" s="407"/>
      <c r="UDT23" s="407"/>
      <c r="UDU23" s="407"/>
      <c r="UDV23" s="407"/>
      <c r="UDW23" s="407"/>
      <c r="UDX23" s="407"/>
      <c r="UDY23" s="407"/>
      <c r="UDZ23" s="407"/>
      <c r="UEA23" s="407"/>
      <c r="UEB23" s="407"/>
      <c r="UEC23" s="407"/>
      <c r="UED23" s="407"/>
      <c r="UEE23" s="407"/>
      <c r="UEF23" s="407"/>
      <c r="UEG23" s="407"/>
      <c r="UEH23" s="407"/>
      <c r="UEI23" s="407"/>
      <c r="UEJ23" s="407"/>
      <c r="UEK23" s="407"/>
      <c r="UEL23" s="407"/>
      <c r="UEM23" s="407"/>
      <c r="UEN23" s="407"/>
      <c r="UEO23" s="407"/>
      <c r="UEP23" s="407"/>
      <c r="UEQ23" s="407"/>
      <c r="UER23" s="407"/>
      <c r="UES23" s="407"/>
      <c r="UET23" s="407"/>
      <c r="UEU23" s="407"/>
      <c r="UEV23" s="407"/>
      <c r="UEW23" s="407"/>
      <c r="UEX23" s="407"/>
      <c r="UEY23" s="407"/>
      <c r="UEZ23" s="407"/>
      <c r="UFA23" s="407"/>
      <c r="UFB23" s="407"/>
      <c r="UFC23" s="407"/>
      <c r="UFD23" s="407"/>
      <c r="UFE23" s="407"/>
      <c r="UFF23" s="407"/>
      <c r="UFG23" s="407"/>
      <c r="UFH23" s="407"/>
      <c r="UFI23" s="407"/>
      <c r="UFJ23" s="407"/>
      <c r="UFK23" s="407"/>
      <c r="UFL23" s="407"/>
      <c r="UFM23" s="407"/>
      <c r="UFN23" s="407"/>
      <c r="UFO23" s="407"/>
      <c r="UFP23" s="407"/>
      <c r="UFQ23" s="407"/>
      <c r="UFR23" s="407"/>
      <c r="UFS23" s="407"/>
      <c r="UFT23" s="407"/>
      <c r="UFU23" s="407"/>
      <c r="UFV23" s="407"/>
      <c r="UFW23" s="407"/>
      <c r="UFX23" s="407"/>
      <c r="UFY23" s="407"/>
      <c r="UFZ23" s="407"/>
      <c r="UGA23" s="407"/>
      <c r="UGB23" s="407"/>
      <c r="UGC23" s="407"/>
      <c r="UGD23" s="407"/>
      <c r="UGE23" s="407"/>
      <c r="UGF23" s="407"/>
      <c r="UGG23" s="407"/>
      <c r="UGH23" s="407"/>
      <c r="UGI23" s="407"/>
      <c r="UGJ23" s="407"/>
      <c r="UGK23" s="407"/>
      <c r="UGL23" s="407"/>
      <c r="UGM23" s="407"/>
      <c r="UGN23" s="407"/>
      <c r="UGO23" s="407"/>
      <c r="UGP23" s="407"/>
      <c r="UGQ23" s="407"/>
      <c r="UGR23" s="407"/>
      <c r="UGS23" s="407"/>
      <c r="UGT23" s="407"/>
      <c r="UGU23" s="407"/>
      <c r="UGV23" s="407"/>
      <c r="UGW23" s="407"/>
      <c r="UGX23" s="407"/>
      <c r="UGY23" s="407"/>
      <c r="UGZ23" s="407"/>
      <c r="UHA23" s="407"/>
      <c r="UHB23" s="407"/>
      <c r="UHC23" s="407"/>
      <c r="UHD23" s="407"/>
      <c r="UHE23" s="407"/>
      <c r="UHF23" s="407"/>
      <c r="UHG23" s="407"/>
      <c r="UHH23" s="407"/>
      <c r="UHI23" s="407"/>
      <c r="UHJ23" s="407"/>
      <c r="UHK23" s="407"/>
      <c r="UHL23" s="407"/>
      <c r="UHM23" s="407"/>
      <c r="UHN23" s="407"/>
      <c r="UHO23" s="407"/>
      <c r="UHP23" s="407"/>
      <c r="UHQ23" s="407"/>
      <c r="UHR23" s="407"/>
      <c r="UHS23" s="407"/>
      <c r="UHT23" s="407"/>
      <c r="UHU23" s="407"/>
      <c r="UHV23" s="407"/>
      <c r="UHW23" s="407"/>
      <c r="UHX23" s="407"/>
      <c r="UHY23" s="407"/>
      <c r="UHZ23" s="407"/>
      <c r="UIA23" s="407"/>
      <c r="UIB23" s="407"/>
      <c r="UIC23" s="407"/>
      <c r="UID23" s="407"/>
      <c r="UIE23" s="407"/>
      <c r="UIF23" s="407"/>
      <c r="UIG23" s="407"/>
      <c r="UIH23" s="407"/>
      <c r="UII23" s="407"/>
      <c r="UIJ23" s="407"/>
      <c r="UIK23" s="407"/>
      <c r="UIL23" s="407"/>
      <c r="UIM23" s="407"/>
      <c r="UIN23" s="407"/>
      <c r="UIO23" s="407"/>
      <c r="UIP23" s="407"/>
      <c r="UIQ23" s="407"/>
      <c r="UIR23" s="407"/>
      <c r="UIS23" s="407"/>
      <c r="UIT23" s="407"/>
      <c r="UIU23" s="407"/>
      <c r="UIV23" s="407"/>
      <c r="UIW23" s="407"/>
      <c r="UIX23" s="407"/>
      <c r="UIY23" s="407"/>
      <c r="UIZ23" s="407"/>
      <c r="UJA23" s="407"/>
      <c r="UJB23" s="407"/>
      <c r="UJC23" s="407"/>
      <c r="UJD23" s="407"/>
      <c r="UJE23" s="407"/>
      <c r="UJF23" s="407"/>
      <c r="UJG23" s="407"/>
      <c r="UJH23" s="407"/>
      <c r="UJI23" s="407"/>
      <c r="UJJ23" s="407"/>
      <c r="UJK23" s="407"/>
      <c r="UJL23" s="407"/>
      <c r="UJM23" s="407"/>
      <c r="UJN23" s="407"/>
      <c r="UJO23" s="407"/>
      <c r="UJP23" s="407"/>
      <c r="UJQ23" s="407"/>
      <c r="UJR23" s="407"/>
      <c r="UJS23" s="407"/>
      <c r="UJT23" s="407"/>
      <c r="UJU23" s="407"/>
      <c r="UJV23" s="407"/>
      <c r="UJW23" s="407"/>
      <c r="UJX23" s="407"/>
      <c r="UJY23" s="407"/>
      <c r="UJZ23" s="407"/>
      <c r="UKA23" s="407"/>
      <c r="UKB23" s="407"/>
      <c r="UKC23" s="407"/>
      <c r="UKD23" s="407"/>
      <c r="UKE23" s="407"/>
      <c r="UKF23" s="407"/>
      <c r="UKG23" s="407"/>
      <c r="UKH23" s="407"/>
      <c r="UKI23" s="407"/>
      <c r="UKJ23" s="407"/>
      <c r="UKK23" s="407"/>
      <c r="UKL23" s="407"/>
      <c r="UKM23" s="407"/>
      <c r="UKN23" s="407"/>
      <c r="UKO23" s="407"/>
      <c r="UKP23" s="407"/>
      <c r="UKQ23" s="407"/>
      <c r="UKR23" s="407"/>
      <c r="UKS23" s="407"/>
      <c r="UKT23" s="407"/>
      <c r="UKU23" s="407"/>
      <c r="UKV23" s="407"/>
      <c r="UKW23" s="407"/>
      <c r="UKX23" s="407"/>
      <c r="UKY23" s="407"/>
      <c r="UKZ23" s="407"/>
      <c r="ULA23" s="407"/>
      <c r="ULB23" s="407"/>
      <c r="ULC23" s="407"/>
      <c r="ULD23" s="407"/>
      <c r="ULE23" s="407"/>
      <c r="ULF23" s="407"/>
      <c r="ULG23" s="407"/>
      <c r="ULH23" s="407"/>
      <c r="ULI23" s="407"/>
      <c r="ULJ23" s="407"/>
      <c r="ULK23" s="407"/>
      <c r="ULL23" s="407"/>
      <c r="ULM23" s="407"/>
      <c r="ULN23" s="407"/>
      <c r="ULO23" s="407"/>
      <c r="ULP23" s="407"/>
      <c r="ULQ23" s="407"/>
      <c r="ULR23" s="407"/>
      <c r="ULS23" s="407"/>
      <c r="ULT23" s="407"/>
      <c r="ULU23" s="407"/>
      <c r="ULV23" s="407"/>
      <c r="ULW23" s="407"/>
      <c r="ULX23" s="407"/>
      <c r="ULY23" s="407"/>
      <c r="ULZ23" s="407"/>
      <c r="UMA23" s="407"/>
      <c r="UMB23" s="407"/>
      <c r="UMC23" s="407"/>
      <c r="UMD23" s="407"/>
      <c r="UME23" s="407"/>
      <c r="UMF23" s="407"/>
      <c r="UMG23" s="407"/>
      <c r="UMH23" s="407"/>
      <c r="UMI23" s="407"/>
      <c r="UMJ23" s="407"/>
      <c r="UMK23" s="407"/>
      <c r="UML23" s="407"/>
      <c r="UMM23" s="407"/>
      <c r="UMN23" s="407"/>
      <c r="UMO23" s="407"/>
      <c r="UMP23" s="407"/>
      <c r="UMQ23" s="407"/>
      <c r="UMR23" s="407"/>
      <c r="UMS23" s="407"/>
      <c r="UMT23" s="407"/>
      <c r="UMU23" s="407"/>
      <c r="UMV23" s="407"/>
      <c r="UMW23" s="407"/>
      <c r="UMX23" s="407"/>
      <c r="UMY23" s="407"/>
      <c r="UMZ23" s="407"/>
      <c r="UNA23" s="407"/>
      <c r="UNB23" s="407"/>
      <c r="UNC23" s="407"/>
      <c r="UND23" s="407"/>
      <c r="UNE23" s="407"/>
      <c r="UNF23" s="407"/>
      <c r="UNG23" s="407"/>
      <c r="UNH23" s="407"/>
      <c r="UNI23" s="407"/>
      <c r="UNJ23" s="407"/>
      <c r="UNK23" s="407"/>
      <c r="UNL23" s="407"/>
      <c r="UNM23" s="407"/>
      <c r="UNN23" s="407"/>
      <c r="UNO23" s="407"/>
      <c r="UNP23" s="407"/>
      <c r="UNQ23" s="407"/>
      <c r="UNR23" s="407"/>
      <c r="UNS23" s="407"/>
      <c r="UNT23" s="407"/>
      <c r="UNU23" s="407"/>
      <c r="UNV23" s="407"/>
      <c r="UNW23" s="407"/>
      <c r="UNX23" s="407"/>
      <c r="UNY23" s="407"/>
      <c r="UNZ23" s="407"/>
      <c r="UOA23" s="407"/>
      <c r="UOB23" s="407"/>
      <c r="UOC23" s="407"/>
      <c r="UOD23" s="407"/>
      <c r="UOE23" s="407"/>
      <c r="UOF23" s="407"/>
      <c r="UOG23" s="407"/>
      <c r="UOH23" s="407"/>
      <c r="UOI23" s="407"/>
      <c r="UOJ23" s="407"/>
      <c r="UOK23" s="407"/>
      <c r="UOL23" s="407"/>
      <c r="UOM23" s="407"/>
      <c r="UON23" s="407"/>
      <c r="UOO23" s="407"/>
      <c r="UOP23" s="407"/>
      <c r="UOQ23" s="407"/>
      <c r="UOR23" s="407"/>
      <c r="UOS23" s="407"/>
      <c r="UOT23" s="407"/>
      <c r="UOU23" s="407"/>
      <c r="UOV23" s="407"/>
      <c r="UOW23" s="407"/>
      <c r="UOX23" s="407"/>
      <c r="UOY23" s="407"/>
      <c r="UOZ23" s="407"/>
      <c r="UPA23" s="407"/>
      <c r="UPB23" s="407"/>
      <c r="UPC23" s="407"/>
      <c r="UPD23" s="407"/>
      <c r="UPE23" s="407"/>
      <c r="UPF23" s="407"/>
      <c r="UPG23" s="407"/>
      <c r="UPH23" s="407"/>
      <c r="UPI23" s="407"/>
      <c r="UPJ23" s="407"/>
      <c r="UPK23" s="407"/>
      <c r="UPL23" s="407"/>
      <c r="UPM23" s="407"/>
      <c r="UPN23" s="407"/>
      <c r="UPO23" s="407"/>
      <c r="UPP23" s="407"/>
      <c r="UPQ23" s="407"/>
      <c r="UPR23" s="407"/>
      <c r="UPS23" s="407"/>
      <c r="UPT23" s="407"/>
      <c r="UPU23" s="407"/>
      <c r="UPV23" s="407"/>
      <c r="UPW23" s="407"/>
      <c r="UPX23" s="407"/>
      <c r="UPY23" s="407"/>
      <c r="UPZ23" s="407"/>
      <c r="UQA23" s="407"/>
      <c r="UQB23" s="407"/>
      <c r="UQC23" s="407"/>
      <c r="UQD23" s="407"/>
      <c r="UQE23" s="407"/>
      <c r="UQF23" s="407"/>
      <c r="UQG23" s="407"/>
      <c r="UQH23" s="407"/>
      <c r="UQI23" s="407"/>
      <c r="UQJ23" s="407"/>
      <c r="UQK23" s="407"/>
      <c r="UQL23" s="407"/>
      <c r="UQM23" s="407"/>
      <c r="UQN23" s="407"/>
      <c r="UQO23" s="407"/>
      <c r="UQP23" s="407"/>
      <c r="UQQ23" s="407"/>
      <c r="UQR23" s="407"/>
      <c r="UQS23" s="407"/>
      <c r="UQT23" s="407"/>
      <c r="UQU23" s="407"/>
      <c r="UQV23" s="407"/>
      <c r="UQW23" s="407"/>
      <c r="UQX23" s="407"/>
      <c r="UQY23" s="407"/>
      <c r="UQZ23" s="407"/>
      <c r="URA23" s="407"/>
      <c r="URB23" s="407"/>
      <c r="URC23" s="407"/>
      <c r="URD23" s="407"/>
      <c r="URE23" s="407"/>
      <c r="URF23" s="407"/>
      <c r="URG23" s="407"/>
      <c r="URH23" s="407"/>
      <c r="URI23" s="407"/>
      <c r="URJ23" s="407"/>
      <c r="URK23" s="407"/>
      <c r="URL23" s="407"/>
      <c r="URM23" s="407"/>
      <c r="URN23" s="407"/>
      <c r="URO23" s="407"/>
      <c r="URP23" s="407"/>
      <c r="URQ23" s="407"/>
      <c r="URR23" s="407"/>
      <c r="URS23" s="407"/>
      <c r="URT23" s="407"/>
      <c r="URU23" s="407"/>
      <c r="URV23" s="407"/>
      <c r="URW23" s="407"/>
      <c r="URX23" s="407"/>
      <c r="URY23" s="407"/>
      <c r="URZ23" s="407"/>
      <c r="USA23" s="407"/>
      <c r="USB23" s="407"/>
      <c r="USC23" s="407"/>
      <c r="USD23" s="407"/>
      <c r="USE23" s="407"/>
      <c r="USF23" s="407"/>
      <c r="USG23" s="407"/>
      <c r="USH23" s="407"/>
      <c r="USI23" s="407"/>
      <c r="USJ23" s="407"/>
      <c r="USK23" s="407"/>
      <c r="USL23" s="407"/>
      <c r="USM23" s="407"/>
      <c r="USN23" s="407"/>
      <c r="USO23" s="407"/>
      <c r="USP23" s="407"/>
      <c r="USQ23" s="407"/>
      <c r="USR23" s="407"/>
      <c r="USS23" s="407"/>
      <c r="UST23" s="407"/>
      <c r="USU23" s="407"/>
      <c r="USV23" s="407"/>
      <c r="USW23" s="407"/>
      <c r="USX23" s="407"/>
      <c r="USY23" s="407"/>
      <c r="USZ23" s="407"/>
      <c r="UTA23" s="407"/>
      <c r="UTB23" s="407"/>
      <c r="UTC23" s="407"/>
      <c r="UTD23" s="407"/>
      <c r="UTE23" s="407"/>
      <c r="UTF23" s="407"/>
      <c r="UTG23" s="407"/>
      <c r="UTH23" s="407"/>
      <c r="UTI23" s="407"/>
      <c r="UTJ23" s="407"/>
      <c r="UTK23" s="407"/>
      <c r="UTL23" s="407"/>
      <c r="UTM23" s="407"/>
      <c r="UTN23" s="407"/>
      <c r="UTO23" s="407"/>
      <c r="UTP23" s="407"/>
      <c r="UTQ23" s="407"/>
      <c r="UTR23" s="407"/>
      <c r="UTS23" s="407"/>
      <c r="UTT23" s="407"/>
      <c r="UTU23" s="407"/>
      <c r="UTV23" s="407"/>
      <c r="UTW23" s="407"/>
      <c r="UTX23" s="407"/>
      <c r="UTY23" s="407"/>
      <c r="UTZ23" s="407"/>
      <c r="UUA23" s="407"/>
      <c r="UUB23" s="407"/>
      <c r="UUC23" s="407"/>
      <c r="UUD23" s="407"/>
      <c r="UUE23" s="407"/>
      <c r="UUF23" s="407"/>
      <c r="UUG23" s="407"/>
      <c r="UUH23" s="407"/>
      <c r="UUI23" s="407"/>
      <c r="UUJ23" s="407"/>
      <c r="UUK23" s="407"/>
      <c r="UUL23" s="407"/>
      <c r="UUM23" s="407"/>
      <c r="UUN23" s="407"/>
      <c r="UUO23" s="407"/>
      <c r="UUP23" s="407"/>
      <c r="UUQ23" s="407"/>
      <c r="UUR23" s="407"/>
      <c r="UUS23" s="407"/>
      <c r="UUT23" s="407"/>
      <c r="UUU23" s="407"/>
      <c r="UUV23" s="407"/>
      <c r="UUW23" s="407"/>
      <c r="UUX23" s="407"/>
      <c r="UUY23" s="407"/>
      <c r="UUZ23" s="407"/>
      <c r="UVA23" s="407"/>
      <c r="UVB23" s="407"/>
      <c r="UVC23" s="407"/>
      <c r="UVD23" s="407"/>
      <c r="UVE23" s="407"/>
      <c r="UVF23" s="407"/>
      <c r="UVG23" s="407"/>
      <c r="UVH23" s="407"/>
      <c r="UVI23" s="407"/>
      <c r="UVJ23" s="407"/>
      <c r="UVK23" s="407"/>
      <c r="UVL23" s="407"/>
      <c r="UVM23" s="407"/>
      <c r="UVN23" s="407"/>
      <c r="UVO23" s="407"/>
      <c r="UVP23" s="407"/>
      <c r="UVQ23" s="407"/>
      <c r="UVR23" s="407"/>
      <c r="UVS23" s="407"/>
      <c r="UVT23" s="407"/>
      <c r="UVU23" s="407"/>
      <c r="UVV23" s="407"/>
      <c r="UVW23" s="407"/>
      <c r="UVX23" s="407"/>
      <c r="UVY23" s="407"/>
      <c r="UVZ23" s="407"/>
      <c r="UWA23" s="407"/>
      <c r="UWB23" s="407"/>
      <c r="UWC23" s="407"/>
      <c r="UWD23" s="407"/>
      <c r="UWE23" s="407"/>
      <c r="UWF23" s="407"/>
      <c r="UWG23" s="407"/>
      <c r="UWH23" s="407"/>
      <c r="UWI23" s="407"/>
      <c r="UWJ23" s="407"/>
      <c r="UWK23" s="407"/>
      <c r="UWL23" s="407"/>
      <c r="UWM23" s="407"/>
      <c r="UWN23" s="407"/>
      <c r="UWO23" s="407"/>
      <c r="UWP23" s="407"/>
      <c r="UWQ23" s="407"/>
      <c r="UWR23" s="407"/>
      <c r="UWS23" s="407"/>
      <c r="UWT23" s="407"/>
      <c r="UWU23" s="407"/>
      <c r="UWV23" s="407"/>
      <c r="UWW23" s="407"/>
      <c r="UWX23" s="407"/>
      <c r="UWY23" s="407"/>
      <c r="UWZ23" s="407"/>
      <c r="UXA23" s="407"/>
      <c r="UXB23" s="407"/>
      <c r="UXC23" s="407"/>
      <c r="UXD23" s="407"/>
      <c r="UXE23" s="407"/>
      <c r="UXF23" s="407"/>
      <c r="UXG23" s="407"/>
      <c r="UXH23" s="407"/>
      <c r="UXI23" s="407"/>
      <c r="UXJ23" s="407"/>
      <c r="UXK23" s="407"/>
      <c r="UXL23" s="407"/>
      <c r="UXM23" s="407"/>
      <c r="UXN23" s="407"/>
      <c r="UXO23" s="407"/>
      <c r="UXP23" s="407"/>
      <c r="UXQ23" s="407"/>
      <c r="UXR23" s="407"/>
      <c r="UXS23" s="407"/>
      <c r="UXT23" s="407"/>
      <c r="UXU23" s="407"/>
      <c r="UXV23" s="407"/>
      <c r="UXW23" s="407"/>
      <c r="UXX23" s="407"/>
      <c r="UXY23" s="407"/>
      <c r="UXZ23" s="407"/>
      <c r="UYA23" s="407"/>
      <c r="UYB23" s="407"/>
      <c r="UYC23" s="407"/>
      <c r="UYD23" s="407"/>
      <c r="UYE23" s="407"/>
      <c r="UYF23" s="407"/>
      <c r="UYG23" s="407"/>
      <c r="UYH23" s="407"/>
      <c r="UYI23" s="407"/>
      <c r="UYJ23" s="407"/>
      <c r="UYK23" s="407"/>
      <c r="UYL23" s="407"/>
      <c r="UYM23" s="407"/>
      <c r="UYN23" s="407"/>
      <c r="UYO23" s="407"/>
      <c r="UYP23" s="407"/>
      <c r="UYQ23" s="407"/>
      <c r="UYR23" s="407"/>
      <c r="UYS23" s="407"/>
      <c r="UYT23" s="407"/>
      <c r="UYU23" s="407"/>
      <c r="UYV23" s="407"/>
      <c r="UYW23" s="407"/>
      <c r="UYX23" s="407"/>
      <c r="UYY23" s="407"/>
      <c r="UYZ23" s="407"/>
      <c r="UZA23" s="407"/>
      <c r="UZB23" s="407"/>
      <c r="UZC23" s="407"/>
      <c r="UZD23" s="407"/>
      <c r="UZE23" s="407"/>
      <c r="UZF23" s="407"/>
      <c r="UZG23" s="407"/>
      <c r="UZH23" s="407"/>
      <c r="UZI23" s="407"/>
      <c r="UZJ23" s="407"/>
      <c r="UZK23" s="407"/>
      <c r="UZL23" s="407"/>
      <c r="UZM23" s="407"/>
      <c r="UZN23" s="407"/>
      <c r="UZO23" s="407"/>
      <c r="UZP23" s="407"/>
      <c r="UZQ23" s="407"/>
      <c r="UZR23" s="407"/>
      <c r="UZS23" s="407"/>
      <c r="UZT23" s="407"/>
      <c r="UZU23" s="407"/>
      <c r="UZV23" s="407"/>
      <c r="UZW23" s="407"/>
      <c r="UZX23" s="407"/>
      <c r="UZY23" s="407"/>
      <c r="UZZ23" s="407"/>
      <c r="VAA23" s="407"/>
      <c r="VAB23" s="407"/>
      <c r="VAC23" s="407"/>
      <c r="VAD23" s="407"/>
      <c r="VAE23" s="407"/>
      <c r="VAF23" s="407"/>
      <c r="VAG23" s="407"/>
      <c r="VAH23" s="407"/>
      <c r="VAI23" s="407"/>
      <c r="VAJ23" s="407"/>
      <c r="VAK23" s="407"/>
      <c r="VAL23" s="407"/>
      <c r="VAM23" s="407"/>
      <c r="VAN23" s="407"/>
      <c r="VAO23" s="407"/>
      <c r="VAP23" s="407"/>
      <c r="VAQ23" s="407"/>
      <c r="VAR23" s="407"/>
      <c r="VAS23" s="407"/>
      <c r="VAT23" s="407"/>
      <c r="VAU23" s="407"/>
      <c r="VAV23" s="407"/>
      <c r="VAW23" s="407"/>
      <c r="VAX23" s="407"/>
      <c r="VAY23" s="407"/>
      <c r="VAZ23" s="407"/>
      <c r="VBA23" s="407"/>
      <c r="VBB23" s="407"/>
      <c r="VBC23" s="407"/>
      <c r="VBD23" s="407"/>
      <c r="VBE23" s="407"/>
      <c r="VBF23" s="407"/>
      <c r="VBG23" s="407"/>
      <c r="VBH23" s="407"/>
      <c r="VBI23" s="407"/>
      <c r="VBJ23" s="407"/>
      <c r="VBK23" s="407"/>
      <c r="VBL23" s="407"/>
      <c r="VBM23" s="407"/>
      <c r="VBN23" s="407"/>
      <c r="VBO23" s="407"/>
      <c r="VBP23" s="407"/>
      <c r="VBQ23" s="407"/>
      <c r="VBR23" s="407"/>
      <c r="VBS23" s="407"/>
      <c r="VBT23" s="407"/>
      <c r="VBU23" s="407"/>
      <c r="VBV23" s="407"/>
      <c r="VBW23" s="407"/>
      <c r="VBX23" s="407"/>
      <c r="VBY23" s="407"/>
      <c r="VBZ23" s="407"/>
      <c r="VCA23" s="407"/>
      <c r="VCB23" s="407"/>
      <c r="VCC23" s="407"/>
      <c r="VCD23" s="407"/>
      <c r="VCE23" s="407"/>
      <c r="VCF23" s="407"/>
      <c r="VCG23" s="407"/>
      <c r="VCH23" s="407"/>
      <c r="VCI23" s="407"/>
      <c r="VCJ23" s="407"/>
      <c r="VCK23" s="407"/>
      <c r="VCL23" s="407"/>
      <c r="VCM23" s="407"/>
      <c r="VCN23" s="407"/>
      <c r="VCO23" s="407"/>
      <c r="VCP23" s="407"/>
      <c r="VCQ23" s="407"/>
      <c r="VCR23" s="407"/>
      <c r="VCS23" s="407"/>
      <c r="VCT23" s="407"/>
      <c r="VCU23" s="407"/>
      <c r="VCV23" s="407"/>
      <c r="VCW23" s="407"/>
      <c r="VCX23" s="407"/>
      <c r="VCY23" s="407"/>
      <c r="VCZ23" s="407"/>
      <c r="VDA23" s="407"/>
      <c r="VDB23" s="407"/>
      <c r="VDC23" s="407"/>
      <c r="VDD23" s="407"/>
      <c r="VDE23" s="407"/>
      <c r="VDF23" s="407"/>
      <c r="VDG23" s="407"/>
      <c r="VDH23" s="407"/>
      <c r="VDI23" s="407"/>
      <c r="VDJ23" s="407"/>
      <c r="VDK23" s="407"/>
      <c r="VDL23" s="407"/>
      <c r="VDM23" s="407"/>
      <c r="VDN23" s="407"/>
      <c r="VDO23" s="407"/>
      <c r="VDP23" s="407"/>
      <c r="VDQ23" s="407"/>
      <c r="VDR23" s="407"/>
      <c r="VDS23" s="407"/>
      <c r="VDT23" s="407"/>
      <c r="VDU23" s="407"/>
      <c r="VDV23" s="407"/>
      <c r="VDW23" s="407"/>
      <c r="VDX23" s="407"/>
      <c r="VDY23" s="407"/>
      <c r="VDZ23" s="407"/>
      <c r="VEA23" s="407"/>
      <c r="VEB23" s="407"/>
      <c r="VEC23" s="407"/>
      <c r="VED23" s="407"/>
      <c r="VEE23" s="407"/>
      <c r="VEF23" s="407"/>
      <c r="VEG23" s="407"/>
      <c r="VEH23" s="407"/>
      <c r="VEI23" s="407"/>
      <c r="VEJ23" s="407"/>
      <c r="VEK23" s="407"/>
      <c r="VEL23" s="407"/>
      <c r="VEM23" s="407"/>
      <c r="VEN23" s="407"/>
      <c r="VEO23" s="407"/>
      <c r="VEP23" s="407"/>
      <c r="VEQ23" s="407"/>
      <c r="VER23" s="407"/>
      <c r="VES23" s="407"/>
      <c r="VET23" s="407"/>
      <c r="VEU23" s="407"/>
      <c r="VEV23" s="407"/>
      <c r="VEW23" s="407"/>
      <c r="VEX23" s="407"/>
      <c r="VEY23" s="407"/>
      <c r="VEZ23" s="407"/>
      <c r="VFA23" s="407"/>
      <c r="VFB23" s="407"/>
      <c r="VFC23" s="407"/>
      <c r="VFD23" s="407"/>
      <c r="VFE23" s="407"/>
      <c r="VFF23" s="407"/>
      <c r="VFG23" s="407"/>
      <c r="VFH23" s="407"/>
      <c r="VFI23" s="407"/>
      <c r="VFJ23" s="407"/>
      <c r="VFK23" s="407"/>
      <c r="VFL23" s="407"/>
      <c r="VFM23" s="407"/>
      <c r="VFN23" s="407"/>
      <c r="VFO23" s="407"/>
      <c r="VFP23" s="407"/>
      <c r="VFQ23" s="407"/>
      <c r="VFR23" s="407"/>
      <c r="VFS23" s="407"/>
      <c r="VFT23" s="407"/>
      <c r="VFU23" s="407"/>
      <c r="VFV23" s="407"/>
      <c r="VFW23" s="407"/>
      <c r="VFX23" s="407"/>
      <c r="VFY23" s="407"/>
      <c r="VFZ23" s="407"/>
      <c r="VGA23" s="407"/>
      <c r="VGB23" s="407"/>
      <c r="VGC23" s="407"/>
      <c r="VGD23" s="407"/>
      <c r="VGE23" s="407"/>
      <c r="VGF23" s="407"/>
      <c r="VGG23" s="407"/>
      <c r="VGH23" s="407"/>
      <c r="VGI23" s="407"/>
      <c r="VGJ23" s="407"/>
      <c r="VGK23" s="407"/>
      <c r="VGL23" s="407"/>
      <c r="VGM23" s="407"/>
      <c r="VGN23" s="407"/>
      <c r="VGO23" s="407"/>
      <c r="VGP23" s="407"/>
      <c r="VGQ23" s="407"/>
      <c r="VGR23" s="407"/>
      <c r="VGS23" s="407"/>
      <c r="VGT23" s="407"/>
      <c r="VGU23" s="407"/>
      <c r="VGV23" s="407"/>
      <c r="VGW23" s="407"/>
      <c r="VGX23" s="407"/>
      <c r="VGY23" s="407"/>
      <c r="VGZ23" s="407"/>
      <c r="VHA23" s="407"/>
      <c r="VHB23" s="407"/>
      <c r="VHC23" s="407"/>
      <c r="VHD23" s="407"/>
      <c r="VHE23" s="407"/>
      <c r="VHF23" s="407"/>
      <c r="VHG23" s="407"/>
      <c r="VHH23" s="407"/>
      <c r="VHI23" s="407"/>
      <c r="VHJ23" s="407"/>
      <c r="VHK23" s="407"/>
      <c r="VHL23" s="407"/>
      <c r="VHM23" s="407"/>
      <c r="VHN23" s="407"/>
      <c r="VHO23" s="407"/>
      <c r="VHP23" s="407"/>
      <c r="VHQ23" s="407"/>
      <c r="VHR23" s="407"/>
      <c r="VHS23" s="407"/>
      <c r="VHT23" s="407"/>
      <c r="VHU23" s="407"/>
      <c r="VHV23" s="407"/>
      <c r="VHW23" s="407"/>
      <c r="VHX23" s="407"/>
      <c r="VHY23" s="407"/>
      <c r="VHZ23" s="407"/>
      <c r="VIA23" s="407"/>
      <c r="VIB23" s="407"/>
      <c r="VIC23" s="407"/>
      <c r="VID23" s="407"/>
      <c r="VIE23" s="407"/>
      <c r="VIF23" s="407"/>
      <c r="VIG23" s="407"/>
      <c r="VIH23" s="407"/>
      <c r="VII23" s="407"/>
      <c r="VIJ23" s="407"/>
      <c r="VIK23" s="407"/>
      <c r="VIL23" s="407"/>
      <c r="VIM23" s="407"/>
      <c r="VIN23" s="407"/>
      <c r="VIO23" s="407"/>
      <c r="VIP23" s="407"/>
      <c r="VIQ23" s="407"/>
      <c r="VIR23" s="407"/>
      <c r="VIS23" s="407"/>
      <c r="VIT23" s="407"/>
      <c r="VIU23" s="407"/>
      <c r="VIV23" s="407"/>
      <c r="VIW23" s="407"/>
      <c r="VIX23" s="407"/>
      <c r="VIY23" s="407"/>
      <c r="VIZ23" s="407"/>
      <c r="VJA23" s="407"/>
      <c r="VJB23" s="407"/>
      <c r="VJC23" s="407"/>
      <c r="VJD23" s="407"/>
      <c r="VJE23" s="407"/>
      <c r="VJF23" s="407"/>
      <c r="VJG23" s="407"/>
      <c r="VJH23" s="407"/>
      <c r="VJI23" s="407"/>
      <c r="VJJ23" s="407"/>
      <c r="VJK23" s="407"/>
      <c r="VJL23" s="407"/>
      <c r="VJM23" s="407"/>
      <c r="VJN23" s="407"/>
      <c r="VJO23" s="407"/>
      <c r="VJP23" s="407"/>
      <c r="VJQ23" s="407"/>
      <c r="VJR23" s="407"/>
      <c r="VJS23" s="407"/>
      <c r="VJT23" s="407"/>
      <c r="VJU23" s="407"/>
      <c r="VJV23" s="407"/>
      <c r="VJW23" s="407"/>
      <c r="VJX23" s="407"/>
      <c r="VJY23" s="407"/>
      <c r="VJZ23" s="407"/>
      <c r="VKA23" s="407"/>
      <c r="VKB23" s="407"/>
      <c r="VKC23" s="407"/>
      <c r="VKD23" s="407"/>
      <c r="VKE23" s="407"/>
      <c r="VKF23" s="407"/>
      <c r="VKG23" s="407"/>
      <c r="VKH23" s="407"/>
      <c r="VKI23" s="407"/>
      <c r="VKJ23" s="407"/>
      <c r="VKK23" s="407"/>
      <c r="VKL23" s="407"/>
      <c r="VKM23" s="407"/>
      <c r="VKN23" s="407"/>
      <c r="VKO23" s="407"/>
      <c r="VKP23" s="407"/>
      <c r="VKQ23" s="407"/>
      <c r="VKR23" s="407"/>
      <c r="VKS23" s="407"/>
      <c r="VKT23" s="407"/>
      <c r="VKU23" s="407"/>
      <c r="VKV23" s="407"/>
      <c r="VKW23" s="407"/>
      <c r="VKX23" s="407"/>
      <c r="VKY23" s="407"/>
      <c r="VKZ23" s="407"/>
      <c r="VLA23" s="407"/>
      <c r="VLB23" s="407"/>
      <c r="VLC23" s="407"/>
      <c r="VLD23" s="407"/>
      <c r="VLE23" s="407"/>
      <c r="VLF23" s="407"/>
      <c r="VLG23" s="407"/>
      <c r="VLH23" s="407"/>
      <c r="VLI23" s="407"/>
      <c r="VLJ23" s="407"/>
      <c r="VLK23" s="407"/>
      <c r="VLL23" s="407"/>
      <c r="VLM23" s="407"/>
      <c r="VLN23" s="407"/>
      <c r="VLO23" s="407"/>
      <c r="VLP23" s="407"/>
      <c r="VLQ23" s="407"/>
      <c r="VLR23" s="407"/>
      <c r="VLS23" s="407"/>
      <c r="VLT23" s="407"/>
      <c r="VLU23" s="407"/>
      <c r="VLV23" s="407"/>
      <c r="VLW23" s="407"/>
      <c r="VLX23" s="407"/>
      <c r="VLY23" s="407"/>
      <c r="VLZ23" s="407"/>
      <c r="VMA23" s="407"/>
      <c r="VMB23" s="407"/>
      <c r="VMC23" s="407"/>
      <c r="VMD23" s="407"/>
      <c r="VME23" s="407"/>
      <c r="VMF23" s="407"/>
      <c r="VMG23" s="407"/>
      <c r="VMH23" s="407"/>
      <c r="VMI23" s="407"/>
      <c r="VMJ23" s="407"/>
      <c r="VMK23" s="407"/>
      <c r="VML23" s="407"/>
      <c r="VMM23" s="407"/>
      <c r="VMN23" s="407"/>
      <c r="VMO23" s="407"/>
      <c r="VMP23" s="407"/>
      <c r="VMQ23" s="407"/>
      <c r="VMR23" s="407"/>
      <c r="VMS23" s="407"/>
      <c r="VMT23" s="407"/>
      <c r="VMU23" s="407"/>
      <c r="VMV23" s="407"/>
      <c r="VMW23" s="407"/>
      <c r="VMX23" s="407"/>
      <c r="VMY23" s="407"/>
      <c r="VMZ23" s="407"/>
      <c r="VNA23" s="407"/>
      <c r="VNB23" s="407"/>
      <c r="VNC23" s="407"/>
      <c r="VND23" s="407"/>
      <c r="VNE23" s="407"/>
      <c r="VNF23" s="407"/>
      <c r="VNG23" s="407"/>
      <c r="VNH23" s="407"/>
      <c r="VNI23" s="407"/>
      <c r="VNJ23" s="407"/>
      <c r="VNK23" s="407"/>
      <c r="VNL23" s="407"/>
      <c r="VNM23" s="407"/>
      <c r="VNN23" s="407"/>
      <c r="VNO23" s="407"/>
      <c r="VNP23" s="407"/>
      <c r="VNQ23" s="407"/>
      <c r="VNR23" s="407"/>
      <c r="VNS23" s="407"/>
      <c r="VNT23" s="407"/>
      <c r="VNU23" s="407"/>
      <c r="VNV23" s="407"/>
      <c r="VNW23" s="407"/>
      <c r="VNX23" s="407"/>
      <c r="VNY23" s="407"/>
      <c r="VNZ23" s="407"/>
      <c r="VOA23" s="407"/>
      <c r="VOB23" s="407"/>
      <c r="VOC23" s="407"/>
      <c r="VOD23" s="407"/>
      <c r="VOE23" s="407"/>
      <c r="VOF23" s="407"/>
      <c r="VOG23" s="407"/>
      <c r="VOH23" s="407"/>
      <c r="VOI23" s="407"/>
      <c r="VOJ23" s="407"/>
      <c r="VOK23" s="407"/>
      <c r="VOL23" s="407"/>
      <c r="VOM23" s="407"/>
      <c r="VON23" s="407"/>
      <c r="VOO23" s="407"/>
      <c r="VOP23" s="407"/>
      <c r="VOQ23" s="407"/>
      <c r="VOR23" s="407"/>
      <c r="VOS23" s="407"/>
      <c r="VOT23" s="407"/>
      <c r="VOU23" s="407"/>
      <c r="VOV23" s="407"/>
      <c r="VOW23" s="407"/>
      <c r="VOX23" s="407"/>
      <c r="VOY23" s="407"/>
      <c r="VOZ23" s="407"/>
      <c r="VPA23" s="407"/>
      <c r="VPB23" s="407"/>
      <c r="VPC23" s="407"/>
      <c r="VPD23" s="407"/>
      <c r="VPE23" s="407"/>
      <c r="VPF23" s="407"/>
      <c r="VPG23" s="407"/>
      <c r="VPH23" s="407"/>
      <c r="VPI23" s="407"/>
      <c r="VPJ23" s="407"/>
      <c r="VPK23" s="407"/>
      <c r="VPL23" s="407"/>
      <c r="VPM23" s="407"/>
      <c r="VPN23" s="407"/>
      <c r="VPO23" s="407"/>
      <c r="VPP23" s="407"/>
      <c r="VPQ23" s="407"/>
      <c r="VPR23" s="407"/>
      <c r="VPS23" s="407"/>
      <c r="VPT23" s="407"/>
      <c r="VPU23" s="407"/>
      <c r="VPV23" s="407"/>
      <c r="VPW23" s="407"/>
      <c r="VPX23" s="407"/>
      <c r="VPY23" s="407"/>
      <c r="VPZ23" s="407"/>
      <c r="VQA23" s="407"/>
      <c r="VQB23" s="407"/>
      <c r="VQC23" s="407"/>
      <c r="VQD23" s="407"/>
      <c r="VQE23" s="407"/>
      <c r="VQF23" s="407"/>
      <c r="VQG23" s="407"/>
      <c r="VQH23" s="407"/>
      <c r="VQI23" s="407"/>
      <c r="VQJ23" s="407"/>
      <c r="VQK23" s="407"/>
      <c r="VQL23" s="407"/>
      <c r="VQM23" s="407"/>
      <c r="VQN23" s="407"/>
      <c r="VQO23" s="407"/>
      <c r="VQP23" s="407"/>
      <c r="VQQ23" s="407"/>
      <c r="VQR23" s="407"/>
      <c r="VQS23" s="407"/>
      <c r="VQT23" s="407"/>
      <c r="VQU23" s="407"/>
      <c r="VQV23" s="407"/>
      <c r="VQW23" s="407"/>
      <c r="VQX23" s="407"/>
      <c r="VQY23" s="407"/>
      <c r="VQZ23" s="407"/>
      <c r="VRA23" s="407"/>
      <c r="VRB23" s="407"/>
      <c r="VRC23" s="407"/>
      <c r="VRD23" s="407"/>
      <c r="VRE23" s="407"/>
      <c r="VRF23" s="407"/>
      <c r="VRG23" s="407"/>
      <c r="VRH23" s="407"/>
      <c r="VRI23" s="407"/>
      <c r="VRJ23" s="407"/>
      <c r="VRK23" s="407"/>
      <c r="VRL23" s="407"/>
      <c r="VRM23" s="407"/>
      <c r="VRN23" s="407"/>
      <c r="VRO23" s="407"/>
      <c r="VRP23" s="407"/>
      <c r="VRQ23" s="407"/>
      <c r="VRR23" s="407"/>
      <c r="VRS23" s="407"/>
      <c r="VRT23" s="407"/>
      <c r="VRU23" s="407"/>
      <c r="VRV23" s="407"/>
      <c r="VRW23" s="407"/>
      <c r="VRX23" s="407"/>
      <c r="VRY23" s="407"/>
      <c r="VRZ23" s="407"/>
      <c r="VSA23" s="407"/>
      <c r="VSB23" s="407"/>
      <c r="VSC23" s="407"/>
      <c r="VSD23" s="407"/>
      <c r="VSE23" s="407"/>
      <c r="VSF23" s="407"/>
      <c r="VSG23" s="407"/>
      <c r="VSH23" s="407"/>
      <c r="VSI23" s="407"/>
      <c r="VSJ23" s="407"/>
      <c r="VSK23" s="407"/>
      <c r="VSL23" s="407"/>
      <c r="VSM23" s="407"/>
      <c r="VSN23" s="407"/>
      <c r="VSO23" s="407"/>
      <c r="VSP23" s="407"/>
      <c r="VSQ23" s="407"/>
      <c r="VSR23" s="407"/>
      <c r="VSS23" s="407"/>
      <c r="VST23" s="407"/>
      <c r="VSU23" s="407"/>
      <c r="VSV23" s="407"/>
      <c r="VSW23" s="407"/>
      <c r="VSX23" s="407"/>
      <c r="VSY23" s="407"/>
      <c r="VSZ23" s="407"/>
      <c r="VTA23" s="407"/>
      <c r="VTB23" s="407"/>
      <c r="VTC23" s="407"/>
      <c r="VTD23" s="407"/>
      <c r="VTE23" s="407"/>
      <c r="VTF23" s="407"/>
      <c r="VTG23" s="407"/>
      <c r="VTH23" s="407"/>
      <c r="VTI23" s="407"/>
      <c r="VTJ23" s="407"/>
      <c r="VTK23" s="407"/>
      <c r="VTL23" s="407"/>
      <c r="VTM23" s="407"/>
      <c r="VTN23" s="407"/>
      <c r="VTO23" s="407"/>
      <c r="VTP23" s="407"/>
      <c r="VTQ23" s="407"/>
      <c r="VTR23" s="407"/>
      <c r="VTS23" s="407"/>
      <c r="VTT23" s="407"/>
      <c r="VTU23" s="407"/>
      <c r="VTV23" s="407"/>
      <c r="VTW23" s="407"/>
      <c r="VTX23" s="407"/>
      <c r="VTY23" s="407"/>
      <c r="VTZ23" s="407"/>
      <c r="VUA23" s="407"/>
      <c r="VUB23" s="407"/>
      <c r="VUC23" s="407"/>
      <c r="VUD23" s="407"/>
      <c r="VUE23" s="407"/>
      <c r="VUF23" s="407"/>
      <c r="VUG23" s="407"/>
      <c r="VUH23" s="407"/>
      <c r="VUI23" s="407"/>
      <c r="VUJ23" s="407"/>
      <c r="VUK23" s="407"/>
      <c r="VUL23" s="407"/>
      <c r="VUM23" s="407"/>
      <c r="VUN23" s="407"/>
      <c r="VUO23" s="407"/>
      <c r="VUP23" s="407"/>
      <c r="VUQ23" s="407"/>
      <c r="VUR23" s="407"/>
      <c r="VUS23" s="407"/>
      <c r="VUT23" s="407"/>
      <c r="VUU23" s="407"/>
      <c r="VUV23" s="407"/>
      <c r="VUW23" s="407"/>
      <c r="VUX23" s="407"/>
      <c r="VUY23" s="407"/>
      <c r="VUZ23" s="407"/>
      <c r="VVA23" s="407"/>
      <c r="VVB23" s="407"/>
      <c r="VVC23" s="407"/>
      <c r="VVD23" s="407"/>
      <c r="VVE23" s="407"/>
      <c r="VVF23" s="407"/>
      <c r="VVG23" s="407"/>
      <c r="VVH23" s="407"/>
      <c r="VVI23" s="407"/>
      <c r="VVJ23" s="407"/>
      <c r="VVK23" s="407"/>
      <c r="VVL23" s="407"/>
      <c r="VVM23" s="407"/>
      <c r="VVN23" s="407"/>
      <c r="VVO23" s="407"/>
      <c r="VVP23" s="407"/>
      <c r="VVQ23" s="407"/>
      <c r="VVR23" s="407"/>
      <c r="VVS23" s="407"/>
      <c r="VVT23" s="407"/>
      <c r="VVU23" s="407"/>
      <c r="VVV23" s="407"/>
      <c r="VVW23" s="407"/>
      <c r="VVX23" s="407"/>
      <c r="VVY23" s="407"/>
      <c r="VVZ23" s="407"/>
      <c r="VWA23" s="407"/>
      <c r="VWB23" s="407"/>
      <c r="VWC23" s="407"/>
      <c r="VWD23" s="407"/>
      <c r="VWE23" s="407"/>
      <c r="VWF23" s="407"/>
      <c r="VWG23" s="407"/>
      <c r="VWH23" s="407"/>
      <c r="VWI23" s="407"/>
      <c r="VWJ23" s="407"/>
      <c r="VWK23" s="407"/>
      <c r="VWL23" s="407"/>
      <c r="VWM23" s="407"/>
      <c r="VWN23" s="407"/>
      <c r="VWO23" s="407"/>
      <c r="VWP23" s="407"/>
      <c r="VWQ23" s="407"/>
      <c r="VWR23" s="407"/>
      <c r="VWS23" s="407"/>
      <c r="VWT23" s="407"/>
      <c r="VWU23" s="407"/>
      <c r="VWV23" s="407"/>
      <c r="VWW23" s="407"/>
      <c r="VWX23" s="407"/>
      <c r="VWY23" s="407"/>
      <c r="VWZ23" s="407"/>
      <c r="VXA23" s="407"/>
      <c r="VXB23" s="407"/>
      <c r="VXC23" s="407"/>
      <c r="VXD23" s="407"/>
      <c r="VXE23" s="407"/>
      <c r="VXF23" s="407"/>
      <c r="VXG23" s="407"/>
      <c r="VXH23" s="407"/>
      <c r="VXI23" s="407"/>
      <c r="VXJ23" s="407"/>
      <c r="VXK23" s="407"/>
      <c r="VXL23" s="407"/>
      <c r="VXM23" s="407"/>
      <c r="VXN23" s="407"/>
      <c r="VXO23" s="407"/>
      <c r="VXP23" s="407"/>
      <c r="VXQ23" s="407"/>
      <c r="VXR23" s="407"/>
      <c r="VXS23" s="407"/>
      <c r="VXT23" s="407"/>
      <c r="VXU23" s="407"/>
      <c r="VXV23" s="407"/>
      <c r="VXW23" s="407"/>
      <c r="VXX23" s="407"/>
      <c r="VXY23" s="407"/>
      <c r="VXZ23" s="407"/>
      <c r="VYA23" s="407"/>
      <c r="VYB23" s="407"/>
      <c r="VYC23" s="407"/>
      <c r="VYD23" s="407"/>
      <c r="VYE23" s="407"/>
      <c r="VYF23" s="407"/>
      <c r="VYG23" s="407"/>
      <c r="VYH23" s="407"/>
      <c r="VYI23" s="407"/>
      <c r="VYJ23" s="407"/>
      <c r="VYK23" s="407"/>
      <c r="VYL23" s="407"/>
      <c r="VYM23" s="407"/>
      <c r="VYN23" s="407"/>
      <c r="VYO23" s="407"/>
      <c r="VYP23" s="407"/>
      <c r="VYQ23" s="407"/>
      <c r="VYR23" s="407"/>
      <c r="VYS23" s="407"/>
      <c r="VYT23" s="407"/>
      <c r="VYU23" s="407"/>
      <c r="VYV23" s="407"/>
      <c r="VYW23" s="407"/>
      <c r="VYX23" s="407"/>
      <c r="VYY23" s="407"/>
      <c r="VYZ23" s="407"/>
      <c r="VZA23" s="407"/>
      <c r="VZB23" s="407"/>
      <c r="VZC23" s="407"/>
      <c r="VZD23" s="407"/>
      <c r="VZE23" s="407"/>
      <c r="VZF23" s="407"/>
      <c r="VZG23" s="407"/>
      <c r="VZH23" s="407"/>
      <c r="VZI23" s="407"/>
      <c r="VZJ23" s="407"/>
      <c r="VZK23" s="407"/>
      <c r="VZL23" s="407"/>
      <c r="VZM23" s="407"/>
      <c r="VZN23" s="407"/>
      <c r="VZO23" s="407"/>
      <c r="VZP23" s="407"/>
      <c r="VZQ23" s="407"/>
      <c r="VZR23" s="407"/>
      <c r="VZS23" s="407"/>
      <c r="VZT23" s="407"/>
      <c r="VZU23" s="407"/>
      <c r="VZV23" s="407"/>
      <c r="VZW23" s="407"/>
      <c r="VZX23" s="407"/>
      <c r="VZY23" s="407"/>
      <c r="VZZ23" s="407"/>
      <c r="WAA23" s="407"/>
      <c r="WAB23" s="407"/>
      <c r="WAC23" s="407"/>
      <c r="WAD23" s="407"/>
      <c r="WAE23" s="407"/>
      <c r="WAF23" s="407"/>
      <c r="WAG23" s="407"/>
      <c r="WAH23" s="407"/>
      <c r="WAI23" s="407"/>
      <c r="WAJ23" s="407"/>
      <c r="WAK23" s="407"/>
      <c r="WAL23" s="407"/>
      <c r="WAM23" s="407"/>
      <c r="WAN23" s="407"/>
      <c r="WAO23" s="407"/>
      <c r="WAP23" s="407"/>
      <c r="WAQ23" s="407"/>
      <c r="WAR23" s="407"/>
      <c r="WAS23" s="407"/>
      <c r="WAT23" s="407"/>
      <c r="WAU23" s="407"/>
      <c r="WAV23" s="407"/>
      <c r="WAW23" s="407"/>
      <c r="WAX23" s="407"/>
      <c r="WAY23" s="407"/>
      <c r="WAZ23" s="407"/>
      <c r="WBA23" s="407"/>
      <c r="WBB23" s="407"/>
      <c r="WBC23" s="407"/>
      <c r="WBD23" s="407"/>
      <c r="WBE23" s="407"/>
      <c r="WBF23" s="407"/>
      <c r="WBG23" s="407"/>
      <c r="WBH23" s="407"/>
      <c r="WBI23" s="407"/>
      <c r="WBJ23" s="407"/>
      <c r="WBK23" s="407"/>
      <c r="WBL23" s="407"/>
      <c r="WBM23" s="407"/>
      <c r="WBN23" s="407"/>
      <c r="WBO23" s="407"/>
      <c r="WBP23" s="407"/>
      <c r="WBQ23" s="407"/>
      <c r="WBR23" s="407"/>
      <c r="WBS23" s="407"/>
      <c r="WBT23" s="407"/>
      <c r="WBU23" s="407"/>
      <c r="WBV23" s="407"/>
      <c r="WBW23" s="407"/>
      <c r="WBX23" s="407"/>
      <c r="WBY23" s="407"/>
      <c r="WBZ23" s="407"/>
      <c r="WCA23" s="407"/>
      <c r="WCB23" s="407"/>
      <c r="WCC23" s="407"/>
      <c r="WCD23" s="407"/>
      <c r="WCE23" s="407"/>
      <c r="WCF23" s="407"/>
      <c r="WCG23" s="407"/>
      <c r="WCH23" s="407"/>
      <c r="WCI23" s="407"/>
      <c r="WCJ23" s="407"/>
      <c r="WCK23" s="407"/>
      <c r="WCL23" s="407"/>
      <c r="WCM23" s="407"/>
      <c r="WCN23" s="407"/>
      <c r="WCO23" s="407"/>
      <c r="WCP23" s="407"/>
      <c r="WCQ23" s="407"/>
      <c r="WCR23" s="407"/>
      <c r="WCS23" s="407"/>
      <c r="WCT23" s="407"/>
      <c r="WCU23" s="407"/>
      <c r="WCV23" s="407"/>
      <c r="WCW23" s="407"/>
      <c r="WCX23" s="407"/>
      <c r="WCY23" s="407"/>
      <c r="WCZ23" s="407"/>
      <c r="WDA23" s="407"/>
      <c r="WDB23" s="407"/>
      <c r="WDC23" s="407"/>
      <c r="WDD23" s="407"/>
      <c r="WDE23" s="407"/>
      <c r="WDF23" s="407"/>
      <c r="WDG23" s="407"/>
      <c r="WDH23" s="407"/>
      <c r="WDI23" s="407"/>
      <c r="WDJ23" s="407"/>
      <c r="WDK23" s="407"/>
      <c r="WDL23" s="407"/>
      <c r="WDM23" s="407"/>
      <c r="WDN23" s="407"/>
      <c r="WDO23" s="407"/>
      <c r="WDP23" s="407"/>
      <c r="WDQ23" s="407"/>
      <c r="WDR23" s="407"/>
      <c r="WDS23" s="407"/>
      <c r="WDT23" s="407"/>
      <c r="WDU23" s="407"/>
      <c r="WDV23" s="407"/>
      <c r="WDW23" s="407"/>
      <c r="WDX23" s="407"/>
      <c r="WDY23" s="407"/>
      <c r="WDZ23" s="407"/>
      <c r="WEA23" s="407"/>
      <c r="WEB23" s="407"/>
      <c r="WEC23" s="407"/>
      <c r="WED23" s="407"/>
      <c r="WEE23" s="407"/>
      <c r="WEF23" s="407"/>
      <c r="WEG23" s="407"/>
      <c r="WEH23" s="407"/>
      <c r="WEI23" s="407"/>
      <c r="WEJ23" s="407"/>
      <c r="WEK23" s="407"/>
      <c r="WEL23" s="407"/>
      <c r="WEM23" s="407"/>
      <c r="WEN23" s="407"/>
      <c r="WEO23" s="407"/>
      <c r="WEP23" s="407"/>
      <c r="WEQ23" s="407"/>
      <c r="WER23" s="407"/>
      <c r="WES23" s="407"/>
      <c r="WET23" s="407"/>
      <c r="WEU23" s="407"/>
      <c r="WEV23" s="407"/>
      <c r="WEW23" s="407"/>
      <c r="WEX23" s="407"/>
      <c r="WEY23" s="407"/>
      <c r="WEZ23" s="407"/>
      <c r="WFA23" s="407"/>
      <c r="WFB23" s="407"/>
      <c r="WFC23" s="407"/>
      <c r="WFD23" s="407"/>
      <c r="WFE23" s="407"/>
      <c r="WFF23" s="407"/>
      <c r="WFG23" s="407"/>
      <c r="WFH23" s="407"/>
      <c r="WFI23" s="407"/>
      <c r="WFJ23" s="407"/>
      <c r="WFK23" s="407"/>
      <c r="WFL23" s="407"/>
      <c r="WFM23" s="407"/>
      <c r="WFN23" s="407"/>
      <c r="WFO23" s="407"/>
      <c r="WFP23" s="407"/>
      <c r="WFQ23" s="407"/>
      <c r="WFR23" s="407"/>
      <c r="WFS23" s="407"/>
      <c r="WFT23" s="407"/>
      <c r="WFU23" s="407"/>
      <c r="WFV23" s="407"/>
      <c r="WFW23" s="407"/>
      <c r="WFX23" s="407"/>
      <c r="WFY23" s="407"/>
      <c r="WFZ23" s="407"/>
      <c r="WGA23" s="407"/>
      <c r="WGB23" s="407"/>
      <c r="WGC23" s="407"/>
      <c r="WGD23" s="407"/>
      <c r="WGE23" s="407"/>
      <c r="WGF23" s="407"/>
      <c r="WGG23" s="407"/>
      <c r="WGH23" s="407"/>
      <c r="WGI23" s="407"/>
      <c r="WGJ23" s="407"/>
      <c r="WGK23" s="407"/>
      <c r="WGL23" s="407"/>
      <c r="WGM23" s="407"/>
      <c r="WGN23" s="407"/>
      <c r="WGO23" s="407"/>
      <c r="WGP23" s="407"/>
      <c r="WGQ23" s="407"/>
      <c r="WGR23" s="407"/>
      <c r="WGS23" s="407"/>
      <c r="WGT23" s="407"/>
      <c r="WGU23" s="407"/>
      <c r="WGV23" s="407"/>
      <c r="WGW23" s="407"/>
      <c r="WGX23" s="407"/>
      <c r="WGY23" s="407"/>
      <c r="WGZ23" s="407"/>
      <c r="WHA23" s="407"/>
      <c r="WHB23" s="407"/>
      <c r="WHC23" s="407"/>
      <c r="WHD23" s="407"/>
      <c r="WHE23" s="407"/>
      <c r="WHF23" s="407"/>
      <c r="WHG23" s="407"/>
      <c r="WHH23" s="407"/>
      <c r="WHI23" s="407"/>
      <c r="WHJ23" s="407"/>
      <c r="WHK23" s="407"/>
      <c r="WHL23" s="407"/>
      <c r="WHM23" s="407"/>
      <c r="WHN23" s="407"/>
      <c r="WHO23" s="407"/>
      <c r="WHP23" s="407"/>
      <c r="WHQ23" s="407"/>
      <c r="WHR23" s="407"/>
      <c r="WHS23" s="407"/>
      <c r="WHT23" s="407"/>
      <c r="WHU23" s="407"/>
      <c r="WHV23" s="407"/>
      <c r="WHW23" s="407"/>
      <c r="WHX23" s="407"/>
      <c r="WHY23" s="407"/>
      <c r="WHZ23" s="407"/>
      <c r="WIA23" s="407"/>
      <c r="WIB23" s="407"/>
      <c r="WIC23" s="407"/>
      <c r="WID23" s="407"/>
      <c r="WIE23" s="407"/>
      <c r="WIF23" s="407"/>
      <c r="WIG23" s="407"/>
      <c r="WIH23" s="407"/>
      <c r="WII23" s="407"/>
      <c r="WIJ23" s="407"/>
      <c r="WIK23" s="407"/>
      <c r="WIL23" s="407"/>
      <c r="WIM23" s="407"/>
      <c r="WIN23" s="407"/>
      <c r="WIO23" s="407"/>
      <c r="WIP23" s="407"/>
      <c r="WIQ23" s="407"/>
      <c r="WIR23" s="407"/>
      <c r="WIS23" s="407"/>
      <c r="WIT23" s="407"/>
      <c r="WIU23" s="407"/>
      <c r="WIV23" s="407"/>
      <c r="WIW23" s="407"/>
      <c r="WIX23" s="407"/>
      <c r="WIY23" s="407"/>
      <c r="WIZ23" s="407"/>
      <c r="WJA23" s="407"/>
      <c r="WJB23" s="407"/>
      <c r="WJC23" s="407"/>
      <c r="WJD23" s="407"/>
      <c r="WJE23" s="407"/>
      <c r="WJF23" s="407"/>
      <c r="WJG23" s="407"/>
      <c r="WJH23" s="407"/>
      <c r="WJI23" s="407"/>
      <c r="WJJ23" s="407"/>
      <c r="WJK23" s="407"/>
      <c r="WJL23" s="407"/>
      <c r="WJM23" s="407"/>
      <c r="WJN23" s="407"/>
      <c r="WJO23" s="407"/>
      <c r="WJP23" s="407"/>
      <c r="WJQ23" s="407"/>
      <c r="WJR23" s="407"/>
      <c r="WJS23" s="407"/>
      <c r="WJT23" s="407"/>
      <c r="WJU23" s="407"/>
      <c r="WJV23" s="407"/>
      <c r="WJW23" s="407"/>
      <c r="WJX23" s="407"/>
      <c r="WJY23" s="407"/>
      <c r="WJZ23" s="407"/>
      <c r="WKA23" s="407"/>
      <c r="WKB23" s="407"/>
      <c r="WKC23" s="407"/>
      <c r="WKD23" s="407"/>
      <c r="WKE23" s="407"/>
      <c r="WKF23" s="407"/>
      <c r="WKG23" s="407"/>
      <c r="WKH23" s="407"/>
      <c r="WKI23" s="407"/>
      <c r="WKJ23" s="407"/>
      <c r="WKK23" s="407"/>
      <c r="WKL23" s="407"/>
      <c r="WKM23" s="407"/>
      <c r="WKN23" s="407"/>
      <c r="WKO23" s="407"/>
      <c r="WKP23" s="407"/>
      <c r="WKQ23" s="407"/>
      <c r="WKR23" s="407"/>
      <c r="WKS23" s="407"/>
      <c r="WKT23" s="407"/>
      <c r="WKU23" s="407"/>
      <c r="WKV23" s="407"/>
      <c r="WKW23" s="407"/>
      <c r="WKX23" s="407"/>
      <c r="WKY23" s="407"/>
      <c r="WKZ23" s="407"/>
      <c r="WLA23" s="407"/>
      <c r="WLB23" s="407"/>
      <c r="WLC23" s="407"/>
      <c r="WLD23" s="407"/>
      <c r="WLE23" s="407"/>
      <c r="WLF23" s="407"/>
      <c r="WLG23" s="407"/>
      <c r="WLH23" s="407"/>
      <c r="WLI23" s="407"/>
      <c r="WLJ23" s="407"/>
      <c r="WLK23" s="407"/>
      <c r="WLL23" s="407"/>
      <c r="WLM23" s="407"/>
      <c r="WLN23" s="407"/>
      <c r="WLO23" s="407"/>
      <c r="WLP23" s="407"/>
      <c r="WLQ23" s="407"/>
      <c r="WLR23" s="407"/>
      <c r="WLS23" s="407"/>
      <c r="WLT23" s="407"/>
      <c r="WLU23" s="407"/>
      <c r="WLV23" s="407"/>
      <c r="WLW23" s="407"/>
      <c r="WLX23" s="407"/>
      <c r="WLY23" s="407"/>
      <c r="WLZ23" s="407"/>
      <c r="WMA23" s="407"/>
      <c r="WMB23" s="407"/>
      <c r="WMC23" s="407"/>
      <c r="WMD23" s="407"/>
      <c r="WME23" s="407"/>
      <c r="WMF23" s="407"/>
      <c r="WMG23" s="407"/>
      <c r="WMH23" s="407"/>
      <c r="WMI23" s="407"/>
      <c r="WMJ23" s="407"/>
      <c r="WMK23" s="407"/>
      <c r="WML23" s="407"/>
      <c r="WMM23" s="407"/>
      <c r="WMN23" s="407"/>
      <c r="WMO23" s="407"/>
      <c r="WMP23" s="407"/>
      <c r="WMQ23" s="407"/>
      <c r="WMR23" s="407"/>
      <c r="WMS23" s="407"/>
      <c r="WMT23" s="407"/>
      <c r="WMU23" s="407"/>
      <c r="WMV23" s="407"/>
      <c r="WMW23" s="407"/>
      <c r="WMX23" s="407"/>
      <c r="WMY23" s="407"/>
      <c r="WMZ23" s="407"/>
      <c r="WNA23" s="407"/>
      <c r="WNB23" s="407"/>
      <c r="WNC23" s="407"/>
      <c r="WND23" s="407"/>
      <c r="WNE23" s="407"/>
      <c r="WNF23" s="407"/>
      <c r="WNG23" s="407"/>
      <c r="WNH23" s="407"/>
      <c r="WNI23" s="407"/>
      <c r="WNJ23" s="407"/>
      <c r="WNK23" s="407"/>
      <c r="WNL23" s="407"/>
      <c r="WNM23" s="407"/>
      <c r="WNN23" s="407"/>
      <c r="WNO23" s="407"/>
      <c r="WNP23" s="407"/>
      <c r="WNQ23" s="407"/>
      <c r="WNR23" s="407"/>
      <c r="WNS23" s="407"/>
      <c r="WNT23" s="407"/>
      <c r="WNU23" s="407"/>
      <c r="WNV23" s="407"/>
      <c r="WNW23" s="407"/>
      <c r="WNX23" s="407"/>
      <c r="WNY23" s="407"/>
      <c r="WNZ23" s="407"/>
      <c r="WOA23" s="407"/>
      <c r="WOB23" s="407"/>
      <c r="WOC23" s="407"/>
      <c r="WOD23" s="407"/>
      <c r="WOE23" s="407"/>
      <c r="WOF23" s="407"/>
      <c r="WOG23" s="407"/>
      <c r="WOH23" s="407"/>
      <c r="WOI23" s="407"/>
      <c r="WOJ23" s="407"/>
      <c r="WOK23" s="407"/>
      <c r="WOL23" s="407"/>
      <c r="WOM23" s="407"/>
      <c r="WON23" s="407"/>
      <c r="WOO23" s="407"/>
      <c r="WOP23" s="407"/>
      <c r="WOQ23" s="407"/>
      <c r="WOR23" s="407"/>
      <c r="WOS23" s="407"/>
      <c r="WOT23" s="407"/>
      <c r="WOU23" s="407"/>
      <c r="WOV23" s="407"/>
      <c r="WOW23" s="407"/>
      <c r="WOX23" s="407"/>
      <c r="WOY23" s="407"/>
      <c r="WOZ23" s="407"/>
      <c r="WPA23" s="407"/>
      <c r="WPB23" s="407"/>
      <c r="WPC23" s="407"/>
      <c r="WPD23" s="407"/>
      <c r="WPE23" s="407"/>
      <c r="WPF23" s="407"/>
      <c r="WPG23" s="407"/>
      <c r="WPH23" s="407"/>
      <c r="WPI23" s="407"/>
      <c r="WPJ23" s="407"/>
      <c r="WPK23" s="407"/>
      <c r="WPL23" s="407"/>
      <c r="WPM23" s="407"/>
      <c r="WPN23" s="407"/>
      <c r="WPO23" s="407"/>
      <c r="WPP23" s="407"/>
      <c r="WPQ23" s="407"/>
      <c r="WPR23" s="407"/>
      <c r="WPS23" s="407"/>
      <c r="WPT23" s="407"/>
      <c r="WPU23" s="407"/>
      <c r="WPV23" s="407"/>
      <c r="WPW23" s="407"/>
      <c r="WPX23" s="407"/>
      <c r="WPY23" s="407"/>
      <c r="WPZ23" s="407"/>
      <c r="WQA23" s="407"/>
      <c r="WQB23" s="407"/>
      <c r="WQC23" s="407"/>
      <c r="WQD23" s="407"/>
      <c r="WQE23" s="407"/>
      <c r="WQF23" s="407"/>
      <c r="WQG23" s="407"/>
      <c r="WQH23" s="407"/>
      <c r="WQI23" s="407"/>
      <c r="WQJ23" s="407"/>
      <c r="WQK23" s="407"/>
      <c r="WQL23" s="407"/>
      <c r="WQM23" s="407"/>
      <c r="WQN23" s="407"/>
      <c r="WQO23" s="407"/>
      <c r="WQP23" s="407"/>
      <c r="WQQ23" s="407"/>
      <c r="WQR23" s="407"/>
      <c r="WQS23" s="407"/>
      <c r="WQT23" s="407"/>
      <c r="WQU23" s="407"/>
      <c r="WQV23" s="407"/>
      <c r="WQW23" s="407"/>
      <c r="WQX23" s="407"/>
      <c r="WQY23" s="407"/>
      <c r="WQZ23" s="407"/>
      <c r="WRA23" s="407"/>
      <c r="WRB23" s="407"/>
      <c r="WRC23" s="407"/>
      <c r="WRD23" s="407"/>
      <c r="WRE23" s="407"/>
      <c r="WRF23" s="407"/>
      <c r="WRG23" s="407"/>
      <c r="WRH23" s="407"/>
      <c r="WRI23" s="407"/>
      <c r="WRJ23" s="407"/>
      <c r="WRK23" s="407"/>
      <c r="WRL23" s="407"/>
      <c r="WRM23" s="407"/>
      <c r="WRN23" s="407"/>
      <c r="WRO23" s="407"/>
      <c r="WRP23" s="407"/>
      <c r="WRQ23" s="407"/>
      <c r="WRR23" s="407"/>
      <c r="WRS23" s="407"/>
      <c r="WRT23" s="407"/>
      <c r="WRU23" s="407"/>
      <c r="WRV23" s="407"/>
      <c r="WRW23" s="407"/>
      <c r="WRX23" s="407"/>
      <c r="WRY23" s="407"/>
      <c r="WRZ23" s="407"/>
      <c r="WSA23" s="407"/>
      <c r="WSB23" s="407"/>
      <c r="WSC23" s="407"/>
      <c r="WSD23" s="407"/>
      <c r="WSE23" s="407"/>
      <c r="WSF23" s="407"/>
      <c r="WSG23" s="407"/>
      <c r="WSH23" s="407"/>
      <c r="WSI23" s="407"/>
      <c r="WSJ23" s="407"/>
      <c r="WSK23" s="407"/>
      <c r="WSL23" s="407"/>
      <c r="WSM23" s="407"/>
      <c r="WSN23" s="407"/>
      <c r="WSO23" s="407"/>
      <c r="WSP23" s="407"/>
      <c r="WSQ23" s="407"/>
      <c r="WSR23" s="407"/>
      <c r="WSS23" s="407"/>
      <c r="WST23" s="407"/>
      <c r="WSU23" s="407"/>
      <c r="WSV23" s="407"/>
      <c r="WSW23" s="407"/>
      <c r="WSX23" s="407"/>
      <c r="WSY23" s="407"/>
      <c r="WSZ23" s="407"/>
      <c r="WTA23" s="407"/>
      <c r="WTB23" s="407"/>
      <c r="WTC23" s="407"/>
      <c r="WTD23" s="407"/>
      <c r="WTE23" s="407"/>
      <c r="WTF23" s="407"/>
      <c r="WTG23" s="407"/>
      <c r="WTH23" s="407"/>
      <c r="WTI23" s="407"/>
      <c r="WTJ23" s="407"/>
      <c r="WTK23" s="407"/>
      <c r="WTL23" s="407"/>
      <c r="WTM23" s="407"/>
      <c r="WTN23" s="407"/>
      <c r="WTO23" s="407"/>
      <c r="WTP23" s="407"/>
      <c r="WTQ23" s="407"/>
      <c r="WTR23" s="407"/>
      <c r="WTS23" s="407"/>
      <c r="WTT23" s="407"/>
      <c r="WTU23" s="407"/>
      <c r="WTV23" s="407"/>
      <c r="WTW23" s="407"/>
      <c r="WTX23" s="407"/>
      <c r="WTY23" s="407"/>
      <c r="WTZ23" s="407"/>
      <c r="WUA23" s="407"/>
      <c r="WUB23" s="407"/>
      <c r="WUC23" s="407"/>
      <c r="WUD23" s="407"/>
      <c r="WUE23" s="407"/>
      <c r="WUF23" s="407"/>
      <c r="WUG23" s="407"/>
      <c r="WUH23" s="407"/>
      <c r="WUI23" s="407"/>
      <c r="WUJ23" s="407"/>
      <c r="WUK23" s="407"/>
      <c r="WUL23" s="407"/>
      <c r="WUM23" s="407"/>
      <c r="WUN23" s="407"/>
      <c r="WUO23" s="407"/>
      <c r="WUP23" s="407"/>
      <c r="WUQ23" s="407"/>
      <c r="WUR23" s="407"/>
      <c r="WUS23" s="407"/>
      <c r="WUT23" s="407"/>
      <c r="WUU23" s="407"/>
      <c r="WUV23" s="407"/>
      <c r="WUW23" s="407"/>
      <c r="WUX23" s="407"/>
      <c r="WUY23" s="407"/>
      <c r="WUZ23" s="407"/>
      <c r="WVA23" s="407"/>
      <c r="WVB23" s="407"/>
      <c r="WVC23" s="407"/>
      <c r="WVD23" s="407"/>
      <c r="WVE23" s="407"/>
      <c r="WVF23" s="407"/>
      <c r="WVG23" s="407"/>
      <c r="WVH23" s="407"/>
      <c r="WVI23" s="407"/>
      <c r="WVJ23" s="407"/>
      <c r="WVK23" s="407"/>
      <c r="WVL23" s="407"/>
      <c r="WVM23" s="407"/>
      <c r="WVN23" s="407"/>
      <c r="WVO23" s="407"/>
      <c r="WVP23" s="407"/>
      <c r="WVQ23" s="407"/>
      <c r="WVR23" s="407"/>
      <c r="WVS23" s="407"/>
      <c r="WVT23" s="407"/>
      <c r="WVU23" s="407"/>
      <c r="WVV23" s="407"/>
      <c r="WVW23" s="407"/>
      <c r="WVX23" s="407"/>
      <c r="WVY23" s="407"/>
      <c r="WVZ23" s="407"/>
      <c r="WWA23" s="407"/>
      <c r="WWB23" s="407"/>
      <c r="WWC23" s="407"/>
      <c r="WWD23" s="407"/>
      <c r="WWE23" s="407"/>
      <c r="WWF23" s="407"/>
      <c r="WWG23" s="407"/>
      <c r="WWH23" s="407"/>
      <c r="WWI23" s="407"/>
      <c r="WWJ23" s="407"/>
      <c r="WWK23" s="407"/>
      <c r="WWL23" s="407"/>
      <c r="WWM23" s="407"/>
      <c r="WWN23" s="407"/>
      <c r="WWO23" s="407"/>
      <c r="WWP23" s="407"/>
      <c r="WWQ23" s="407"/>
      <c r="WWR23" s="407"/>
      <c r="WWS23" s="407"/>
      <c r="WWT23" s="407"/>
      <c r="WWU23" s="407"/>
      <c r="WWV23" s="407"/>
      <c r="WWW23" s="407"/>
      <c r="WWX23" s="407"/>
      <c r="WWY23" s="407"/>
      <c r="WWZ23" s="407"/>
      <c r="WXA23" s="407"/>
      <c r="WXB23" s="407"/>
      <c r="WXC23" s="407"/>
      <c r="WXD23" s="407"/>
      <c r="WXE23" s="407"/>
      <c r="WXF23" s="407"/>
      <c r="WXG23" s="407"/>
      <c r="WXH23" s="407"/>
      <c r="WXI23" s="407"/>
      <c r="WXJ23" s="407"/>
      <c r="WXK23" s="407"/>
      <c r="WXL23" s="407"/>
      <c r="WXM23" s="407"/>
      <c r="WXN23" s="407"/>
      <c r="WXO23" s="407"/>
      <c r="WXP23" s="407"/>
      <c r="WXQ23" s="407"/>
      <c r="WXR23" s="407"/>
      <c r="WXS23" s="407"/>
      <c r="WXT23" s="407"/>
      <c r="WXU23" s="407"/>
      <c r="WXV23" s="407"/>
      <c r="WXW23" s="407"/>
      <c r="WXX23" s="407"/>
      <c r="WXY23" s="407"/>
      <c r="WXZ23" s="407"/>
      <c r="WYA23" s="407"/>
      <c r="WYB23" s="407"/>
      <c r="WYC23" s="407"/>
      <c r="WYD23" s="407"/>
      <c r="WYE23" s="407"/>
      <c r="WYF23" s="407"/>
      <c r="WYG23" s="407"/>
      <c r="WYH23" s="407"/>
      <c r="WYI23" s="407"/>
      <c r="WYJ23" s="407"/>
      <c r="WYK23" s="407"/>
      <c r="WYL23" s="407"/>
      <c r="WYM23" s="407"/>
      <c r="WYN23" s="407"/>
      <c r="WYO23" s="407"/>
      <c r="WYP23" s="407"/>
      <c r="WYQ23" s="407"/>
      <c r="WYR23" s="407"/>
      <c r="WYS23" s="407"/>
      <c r="WYT23" s="407"/>
      <c r="WYU23" s="407"/>
      <c r="WYV23" s="407"/>
      <c r="WYW23" s="407"/>
      <c r="WYX23" s="407"/>
      <c r="WYY23" s="407"/>
      <c r="WYZ23" s="407"/>
      <c r="WZA23" s="407"/>
      <c r="WZB23" s="407"/>
      <c r="WZC23" s="407"/>
      <c r="WZD23" s="407"/>
      <c r="WZE23" s="407"/>
      <c r="WZF23" s="407"/>
      <c r="WZG23" s="407"/>
      <c r="WZH23" s="407"/>
      <c r="WZI23" s="407"/>
      <c r="WZJ23" s="407"/>
      <c r="WZK23" s="407"/>
      <c r="WZL23" s="407"/>
      <c r="WZM23" s="407"/>
      <c r="WZN23" s="407"/>
      <c r="WZO23" s="407"/>
      <c r="WZP23" s="407"/>
      <c r="WZQ23" s="407"/>
      <c r="WZR23" s="407"/>
      <c r="WZS23" s="407"/>
      <c r="WZT23" s="407"/>
      <c r="WZU23" s="407"/>
      <c r="WZV23" s="407"/>
      <c r="WZW23" s="407"/>
      <c r="WZX23" s="407"/>
      <c r="WZY23" s="407"/>
      <c r="WZZ23" s="407"/>
      <c r="XAA23" s="407"/>
      <c r="XAB23" s="407"/>
      <c r="XAC23" s="407"/>
      <c r="XAD23" s="407"/>
      <c r="XAE23" s="407"/>
      <c r="XAF23" s="407"/>
      <c r="XAG23" s="407"/>
      <c r="XAH23" s="407"/>
      <c r="XAI23" s="407"/>
      <c r="XAJ23" s="407"/>
      <c r="XAK23" s="407"/>
      <c r="XAL23" s="407"/>
      <c r="XAM23" s="407"/>
      <c r="XAN23" s="407"/>
      <c r="XAO23" s="407"/>
      <c r="XAP23" s="407"/>
      <c r="XAQ23" s="407"/>
      <c r="XAR23" s="407"/>
      <c r="XAS23" s="407"/>
      <c r="XAT23" s="407"/>
      <c r="XAU23" s="407"/>
      <c r="XAV23" s="407"/>
      <c r="XAW23" s="407"/>
      <c r="XAX23" s="407"/>
      <c r="XAY23" s="407"/>
      <c r="XAZ23" s="407"/>
      <c r="XBA23" s="407"/>
      <c r="XBB23" s="407"/>
      <c r="XBC23" s="407"/>
      <c r="XBD23" s="407"/>
      <c r="XBE23" s="407"/>
      <c r="XBF23" s="407"/>
      <c r="XBG23" s="407"/>
      <c r="XBH23" s="407"/>
      <c r="XBI23" s="407"/>
      <c r="XBJ23" s="407"/>
      <c r="XBK23" s="407"/>
      <c r="XBL23" s="407"/>
      <c r="XBM23" s="407"/>
      <c r="XBN23" s="407"/>
      <c r="XBO23" s="407"/>
      <c r="XBP23" s="407"/>
      <c r="XBQ23" s="407"/>
      <c r="XBR23" s="407"/>
      <c r="XBS23" s="407"/>
      <c r="XBT23" s="407"/>
      <c r="XBU23" s="407"/>
      <c r="XBV23" s="407"/>
      <c r="XBW23" s="407"/>
      <c r="XBX23" s="407"/>
      <c r="XBY23" s="407"/>
      <c r="XBZ23" s="407"/>
      <c r="XCA23" s="407"/>
      <c r="XCB23" s="407"/>
      <c r="XCC23" s="407"/>
      <c r="XCD23" s="407"/>
      <c r="XCE23" s="407"/>
      <c r="XCF23" s="407"/>
      <c r="XCG23" s="407"/>
      <c r="XCH23" s="407"/>
      <c r="XCI23" s="407"/>
      <c r="XCJ23" s="407"/>
      <c r="XCK23" s="407"/>
      <c r="XCL23" s="407"/>
      <c r="XCM23" s="407"/>
      <c r="XCN23" s="407"/>
      <c r="XCO23" s="407"/>
      <c r="XCP23" s="407"/>
      <c r="XCQ23" s="407"/>
      <c r="XCR23" s="407"/>
      <c r="XCS23" s="407"/>
      <c r="XCT23" s="407"/>
      <c r="XCU23" s="407"/>
      <c r="XCV23" s="407"/>
      <c r="XCW23" s="407"/>
      <c r="XCX23" s="407"/>
      <c r="XCY23" s="407"/>
      <c r="XCZ23" s="407"/>
      <c r="XDA23" s="407"/>
      <c r="XDB23" s="407"/>
      <c r="XDC23" s="407"/>
      <c r="XDD23" s="407"/>
      <c r="XDE23" s="407"/>
      <c r="XDF23" s="407"/>
      <c r="XDG23" s="407"/>
      <c r="XDH23" s="407"/>
      <c r="XDI23" s="407"/>
      <c r="XDJ23" s="407"/>
      <c r="XDK23" s="407"/>
      <c r="XDL23" s="407"/>
      <c r="XDM23" s="407"/>
      <c r="XDN23" s="407"/>
      <c r="XDO23" s="407"/>
      <c r="XDP23" s="407"/>
      <c r="XDQ23" s="407"/>
      <c r="XDR23" s="407"/>
      <c r="XDS23" s="407"/>
      <c r="XDT23" s="407"/>
      <c r="XDU23" s="407"/>
      <c r="XDV23" s="407"/>
      <c r="XDW23" s="407"/>
      <c r="XDX23" s="407"/>
      <c r="XDY23" s="407"/>
      <c r="XDZ23" s="407"/>
      <c r="XEA23" s="407"/>
      <c r="XEB23" s="407"/>
      <c r="XEC23" s="407"/>
      <c r="XED23" s="407"/>
      <c r="XEE23" s="407"/>
      <c r="XEF23" s="407"/>
      <c r="XEG23" s="407"/>
      <c r="XEH23" s="407"/>
      <c r="XEI23" s="407"/>
      <c r="XEJ23" s="407"/>
      <c r="XEK23" s="407"/>
      <c r="XEL23" s="407"/>
      <c r="XEM23" s="407"/>
      <c r="XEN23" s="407"/>
      <c r="XEO23" s="407"/>
      <c r="XEP23" s="407"/>
      <c r="XEQ23" s="407"/>
      <c r="XER23" s="407"/>
      <c r="XES23" s="407"/>
      <c r="XET23" s="407"/>
      <c r="XEU23" s="407"/>
      <c r="XEV23" s="407"/>
      <c r="XEW23" s="407"/>
      <c r="XEX23" s="407"/>
      <c r="XEY23" s="407"/>
      <c r="XEZ23" s="407"/>
      <c r="XFA23" s="407"/>
      <c r="XFB23" s="419"/>
      <c r="XFC23" s="419"/>
      <c r="XFD23" s="419"/>
    </row>
    <row r="24" s="409" customFormat="1" spans="1:20">
      <c r="A24" s="406" t="s">
        <v>2743</v>
      </c>
      <c r="B24" s="406" t="s">
        <v>2744</v>
      </c>
      <c r="C24" s="406" t="s">
        <v>2662</v>
      </c>
      <c r="D24" s="406">
        <v>7327.55</v>
      </c>
      <c r="E24" s="406">
        <v>8060.31</v>
      </c>
      <c r="F24" s="406" t="s">
        <v>2745</v>
      </c>
      <c r="G24" s="406" t="s">
        <v>2664</v>
      </c>
      <c r="H24" s="406" t="s">
        <v>2665</v>
      </c>
      <c r="I24" s="414">
        <v>44419.0004976852</v>
      </c>
      <c r="J24" s="406" t="s">
        <v>2666</v>
      </c>
      <c r="K24" s="406" t="s">
        <v>2746</v>
      </c>
      <c r="L24" s="406">
        <v>759.28</v>
      </c>
      <c r="M24" s="406">
        <v>69.08</v>
      </c>
      <c r="N24" s="406">
        <v>942</v>
      </c>
      <c r="O24" s="406">
        <v>0</v>
      </c>
      <c r="P24" s="406" t="s">
        <v>2675</v>
      </c>
      <c r="S24" s="406">
        <f t="shared" si="2"/>
        <v>1036</v>
      </c>
      <c r="T24" s="406">
        <f t="shared" si="3"/>
        <v>1518</v>
      </c>
    </row>
    <row r="25" s="409" customFormat="1" spans="1:20">
      <c r="A25" s="406" t="s">
        <v>2747</v>
      </c>
      <c r="B25" s="406" t="s">
        <v>2748</v>
      </c>
      <c r="C25" s="406" t="s">
        <v>2662</v>
      </c>
      <c r="D25" s="406">
        <v>99235.68</v>
      </c>
      <c r="E25" s="406">
        <v>99235.68</v>
      </c>
      <c r="F25" s="406" t="s">
        <v>2749</v>
      </c>
      <c r="G25" s="406" t="s">
        <v>2664</v>
      </c>
      <c r="H25" s="406" t="s">
        <v>2665</v>
      </c>
      <c r="I25" s="414">
        <v>44419.0004976852</v>
      </c>
      <c r="J25" s="406" t="s">
        <v>2666</v>
      </c>
      <c r="K25" s="406" t="s">
        <v>2750</v>
      </c>
      <c r="L25" s="406">
        <v>9975.17</v>
      </c>
      <c r="M25" s="406">
        <v>67.01</v>
      </c>
      <c r="N25" s="406">
        <v>1005</v>
      </c>
      <c r="O25" s="406">
        <v>0</v>
      </c>
      <c r="P25" s="406" t="s">
        <v>2675</v>
      </c>
      <c r="S25" s="406">
        <f t="shared" si="2"/>
        <v>1005</v>
      </c>
      <c r="T25" s="406">
        <f t="shared" si="3"/>
        <v>1472</v>
      </c>
    </row>
    <row r="26" s="409" customFormat="1" spans="1:20">
      <c r="A26" s="406" t="s">
        <v>2751</v>
      </c>
      <c r="B26" s="406" t="s">
        <v>2752</v>
      </c>
      <c r="C26" s="406" t="s">
        <v>2662</v>
      </c>
      <c r="D26" s="406">
        <v>60114.58</v>
      </c>
      <c r="E26" s="406">
        <v>120229.15</v>
      </c>
      <c r="F26" s="406">
        <v>2</v>
      </c>
      <c r="G26" s="406" t="s">
        <v>2664</v>
      </c>
      <c r="H26" s="406" t="s">
        <v>2712</v>
      </c>
      <c r="I26" s="414">
        <v>44413.0004976852</v>
      </c>
      <c r="J26" s="406" t="s">
        <v>2666</v>
      </c>
      <c r="K26" s="406" t="s">
        <v>2753</v>
      </c>
      <c r="L26" s="406">
        <v>11671.61</v>
      </c>
      <c r="M26" s="406">
        <v>129.44</v>
      </c>
      <c r="N26" s="406">
        <v>971</v>
      </c>
      <c r="O26" s="406">
        <v>0</v>
      </c>
      <c r="P26" s="406" t="s">
        <v>2675</v>
      </c>
      <c r="S26" s="406">
        <f t="shared" si="2"/>
        <v>1942</v>
      </c>
      <c r="T26" s="406">
        <f t="shared" si="3"/>
        <v>2845</v>
      </c>
    </row>
    <row r="27" s="409" customFormat="1" spans="1:20">
      <c r="A27" s="406" t="s">
        <v>2754</v>
      </c>
      <c r="B27" s="406" t="s">
        <v>2755</v>
      </c>
      <c r="C27" s="406" t="s">
        <v>2662</v>
      </c>
      <c r="D27" s="406">
        <v>58379.44</v>
      </c>
      <c r="E27" s="406">
        <v>116758.88</v>
      </c>
      <c r="F27" s="406" t="s">
        <v>2756</v>
      </c>
      <c r="G27" s="406" t="s">
        <v>2664</v>
      </c>
      <c r="H27" s="406" t="s">
        <v>2712</v>
      </c>
      <c r="I27" s="414">
        <v>44376.0004976852</v>
      </c>
      <c r="J27" s="406" t="s">
        <v>2666</v>
      </c>
      <c r="K27" s="406" t="s">
        <v>2757</v>
      </c>
      <c r="L27" s="406">
        <v>16276.19</v>
      </c>
      <c r="M27" s="406">
        <v>185.87</v>
      </c>
      <c r="N27" s="406">
        <v>1394</v>
      </c>
      <c r="O27" s="406">
        <v>0</v>
      </c>
      <c r="P27" s="406" t="s">
        <v>2681</v>
      </c>
      <c r="S27" s="406">
        <f t="shared" si="2"/>
        <v>2788</v>
      </c>
      <c r="T27" s="406">
        <f t="shared" si="3"/>
        <v>4084</v>
      </c>
    </row>
    <row r="28" s="409" customFormat="1" spans="1:20">
      <c r="A28" s="406" t="s">
        <v>2758</v>
      </c>
      <c r="B28" s="406" t="s">
        <v>2759</v>
      </c>
      <c r="C28" s="406" t="s">
        <v>2662</v>
      </c>
      <c r="D28" s="406">
        <v>30231.14</v>
      </c>
      <c r="E28" s="406">
        <v>30231.14</v>
      </c>
      <c r="F28" s="406" t="s">
        <v>2760</v>
      </c>
      <c r="G28" s="406" t="s">
        <v>2664</v>
      </c>
      <c r="H28" s="406" t="s">
        <v>2761</v>
      </c>
      <c r="I28" s="414">
        <v>43878.0004976852</v>
      </c>
      <c r="J28" s="406" t="s">
        <v>2666</v>
      </c>
      <c r="K28" s="406" t="s">
        <v>2762</v>
      </c>
      <c r="L28" s="406">
        <v>2817.03</v>
      </c>
      <c r="M28" s="406">
        <v>62.12</v>
      </c>
      <c r="N28" s="406">
        <v>932</v>
      </c>
      <c r="O28" s="406">
        <v>0</v>
      </c>
      <c r="P28" s="406" t="s">
        <v>2675</v>
      </c>
      <c r="S28" s="406">
        <f t="shared" si="2"/>
        <v>932</v>
      </c>
      <c r="T28" s="406">
        <f t="shared" si="3"/>
        <v>1365</v>
      </c>
    </row>
    <row r="29" s="409" customFormat="1" spans="1:20">
      <c r="A29" s="406" t="s">
        <v>2763</v>
      </c>
      <c r="B29" s="406" t="s">
        <v>2764</v>
      </c>
      <c r="C29" s="406" t="s">
        <v>2662</v>
      </c>
      <c r="D29" s="406">
        <v>34616.87</v>
      </c>
      <c r="E29" s="406">
        <v>34616.87</v>
      </c>
      <c r="F29" s="406">
        <v>1</v>
      </c>
      <c r="G29" s="406" t="s">
        <v>2664</v>
      </c>
      <c r="H29" s="406" t="s">
        <v>2662</v>
      </c>
      <c r="I29" s="414">
        <v>43797.0004976852</v>
      </c>
      <c r="J29" s="406" t="s">
        <v>2666</v>
      </c>
      <c r="K29" s="406" t="s">
        <v>2765</v>
      </c>
      <c r="L29" s="406">
        <v>3408.24</v>
      </c>
      <c r="M29" s="406">
        <v>65.64</v>
      </c>
      <c r="N29" s="406">
        <v>985</v>
      </c>
      <c r="O29" s="406">
        <v>0</v>
      </c>
      <c r="P29" s="406" t="s">
        <v>2675</v>
      </c>
      <c r="S29" s="406">
        <f t="shared" si="2"/>
        <v>985</v>
      </c>
      <c r="T29" s="406">
        <f t="shared" si="3"/>
        <v>1443</v>
      </c>
    </row>
    <row r="30" s="409" customFormat="1" spans="1:20">
      <c r="A30" s="406" t="s">
        <v>2766</v>
      </c>
      <c r="B30" s="406" t="s">
        <v>2767</v>
      </c>
      <c r="C30" s="406" t="s">
        <v>2662</v>
      </c>
      <c r="D30" s="406">
        <v>17333.33</v>
      </c>
      <c r="E30" s="406">
        <v>17333</v>
      </c>
      <c r="F30" s="406">
        <v>1</v>
      </c>
      <c r="G30" s="406" t="s">
        <v>2664</v>
      </c>
      <c r="H30" s="406" t="s">
        <v>2768</v>
      </c>
      <c r="I30" s="414">
        <v>43468.0004976852</v>
      </c>
      <c r="J30" s="406" t="s">
        <v>2666</v>
      </c>
      <c r="K30" s="406" t="s">
        <v>2769</v>
      </c>
      <c r="L30" s="406">
        <v>1659.76</v>
      </c>
      <c r="M30" s="406">
        <v>63.84</v>
      </c>
      <c r="N30" s="406">
        <v>958</v>
      </c>
      <c r="O30" s="406">
        <v>0</v>
      </c>
      <c r="P30" s="406" t="s">
        <v>2675</v>
      </c>
      <c r="S30" s="406">
        <f t="shared" si="2"/>
        <v>958</v>
      </c>
      <c r="T30" s="406">
        <f t="shared" si="3"/>
        <v>1403</v>
      </c>
    </row>
    <row r="31" s="409" customFormat="1" spans="1:20">
      <c r="A31" s="406" t="s">
        <v>2770</v>
      </c>
      <c r="B31" s="406" t="s">
        <v>2771</v>
      </c>
      <c r="C31" s="406" t="s">
        <v>2662</v>
      </c>
      <c r="D31" s="406">
        <v>17333.33</v>
      </c>
      <c r="E31" s="406">
        <v>17333</v>
      </c>
      <c r="F31" s="406">
        <v>1</v>
      </c>
      <c r="G31" s="406" t="s">
        <v>2664</v>
      </c>
      <c r="H31" s="406" t="s">
        <v>2768</v>
      </c>
      <c r="I31" s="414">
        <v>43468.0004976852</v>
      </c>
      <c r="J31" s="406" t="s">
        <v>2666</v>
      </c>
      <c r="K31" s="406" t="s">
        <v>2772</v>
      </c>
      <c r="L31" s="406">
        <v>1658.02</v>
      </c>
      <c r="M31" s="406">
        <v>63.77</v>
      </c>
      <c r="N31" s="406">
        <v>957</v>
      </c>
      <c r="O31" s="406">
        <v>0</v>
      </c>
      <c r="P31" s="406" t="s">
        <v>2675</v>
      </c>
      <c r="S31" s="406">
        <f t="shared" si="2"/>
        <v>957</v>
      </c>
      <c r="T31" s="406">
        <f t="shared" si="3"/>
        <v>1402</v>
      </c>
    </row>
    <row r="32" s="409" customFormat="1" spans="1:20">
      <c r="A32" s="406" t="s">
        <v>2773</v>
      </c>
      <c r="B32" s="406" t="s">
        <v>2774</v>
      </c>
      <c r="C32" s="406" t="s">
        <v>2662</v>
      </c>
      <c r="D32" s="406">
        <v>125884.4</v>
      </c>
      <c r="E32" s="406">
        <v>125884</v>
      </c>
      <c r="F32" s="406">
        <v>1</v>
      </c>
      <c r="G32" s="406" t="s">
        <v>2664</v>
      </c>
      <c r="H32" s="406" t="s">
        <v>2775</v>
      </c>
      <c r="I32" s="414">
        <v>42535.0004976852</v>
      </c>
      <c r="J32" s="406" t="s">
        <v>2666</v>
      </c>
      <c r="K32" s="406" t="s">
        <v>2776</v>
      </c>
      <c r="L32" s="406">
        <v>9927.85</v>
      </c>
      <c r="M32" s="406">
        <v>52.58</v>
      </c>
      <c r="N32" s="406">
        <v>789</v>
      </c>
      <c r="O32" s="406">
        <v>0</v>
      </c>
      <c r="P32" s="406" t="s">
        <v>2681</v>
      </c>
      <c r="S32" s="406">
        <f t="shared" si="2"/>
        <v>789</v>
      </c>
      <c r="T32" s="406">
        <f>S32</f>
        <v>789</v>
      </c>
    </row>
    <row r="33" s="409" customFormat="1" spans="1:20">
      <c r="A33" s="406" t="s">
        <v>2777</v>
      </c>
      <c r="B33" s="406" t="s">
        <v>2778</v>
      </c>
      <c r="C33" s="406" t="s">
        <v>2662</v>
      </c>
      <c r="D33" s="406">
        <v>132349</v>
      </c>
      <c r="E33" s="406">
        <v>158819</v>
      </c>
      <c r="F33" s="406" t="s">
        <v>2734</v>
      </c>
      <c r="G33" s="406" t="s">
        <v>2664</v>
      </c>
      <c r="H33" s="406" t="s">
        <v>2779</v>
      </c>
      <c r="I33" s="414">
        <v>41732.0004976852</v>
      </c>
      <c r="J33" s="406" t="s">
        <v>2666</v>
      </c>
      <c r="K33" s="406" t="s">
        <v>2780</v>
      </c>
      <c r="L33" s="406">
        <v>8393.21</v>
      </c>
      <c r="M33" s="406">
        <v>42.28</v>
      </c>
      <c r="N33" s="406">
        <v>528</v>
      </c>
      <c r="O33" s="406">
        <v>0</v>
      </c>
      <c r="P33" s="406" t="s">
        <v>2681</v>
      </c>
      <c r="S33" s="406">
        <f t="shared" si="2"/>
        <v>634</v>
      </c>
      <c r="T33" s="406">
        <f>S33</f>
        <v>634</v>
      </c>
    </row>
  </sheetData>
  <pageMargins left="0.75" right="0.75" top="1" bottom="1" header="0.5" footer="0.5"/>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E123"/>
  <sheetViews>
    <sheetView view="pageBreakPreview" zoomScaleNormal="60" topLeftCell="A22" workbookViewId="0">
      <selection activeCell="K18" sqref="K18"/>
    </sheetView>
  </sheetViews>
  <sheetFormatPr defaultColWidth="9" defaultRowHeight="13.8"/>
  <cols>
    <col min="1" max="1" width="14.3333333333333" style="21" customWidth="1"/>
    <col min="2" max="2" width="15.7777777777778" style="21" customWidth="1"/>
    <col min="3" max="3" width="14.3333333333333" style="21" customWidth="1"/>
    <col min="4" max="4" width="12.2222222222222" style="21" customWidth="1"/>
    <col min="5" max="5" width="14.3333333333333" style="21" customWidth="1"/>
    <col min="6" max="6" width="12.2222222222222" style="21" customWidth="1"/>
    <col min="7" max="7" width="14.4444444444444" style="21" customWidth="1"/>
    <col min="8" max="8" width="12.2222222222222" style="21" customWidth="1"/>
    <col min="9" max="9" width="14.4444444444444" style="21" customWidth="1"/>
    <col min="10" max="10" width="12.2222222222222" style="21" customWidth="1"/>
    <col min="11" max="11" width="12.2222222222222" style="22" customWidth="1"/>
    <col min="12" max="12" width="12.2222222222222" style="23" customWidth="1"/>
    <col min="13" max="15" width="12.2222222222222" style="21" customWidth="1"/>
    <col min="16" max="16" width="4.77777777777778" style="21" customWidth="1"/>
    <col min="17" max="17" width="19.4444444444444" style="21" customWidth="1"/>
    <col min="18" max="22" width="6.11111111111111" style="21" customWidth="1"/>
    <col min="23" max="23" width="5.77777777777778" style="21" customWidth="1"/>
    <col min="24" max="24" width="4.22222222222222" style="21" customWidth="1"/>
    <col min="25" max="25" width="3.44444444444444" style="21" customWidth="1"/>
    <col min="26" max="26" width="19.7777777777778" style="21" customWidth="1"/>
    <col min="27" max="28" width="9.33333333333333" style="21" customWidth="1"/>
    <col min="29" max="16384" width="9" style="21"/>
  </cols>
  <sheetData>
    <row r="1" s="14" customFormat="1" ht="28.5" customHeight="1" spans="1:29">
      <c r="A1" s="24" t="s">
        <v>1559</v>
      </c>
      <c r="B1" s="25"/>
      <c r="C1" s="26" t="s">
        <v>1539</v>
      </c>
      <c r="D1" s="27"/>
      <c r="E1" s="27"/>
      <c r="F1" s="28" t="s">
        <v>1423</v>
      </c>
      <c r="G1" s="27"/>
      <c r="H1" s="27"/>
      <c r="I1" s="27"/>
      <c r="J1" s="27"/>
      <c r="K1" s="196"/>
      <c r="L1" s="197"/>
      <c r="M1" s="198"/>
      <c r="N1" s="198"/>
      <c r="O1" s="198"/>
      <c r="P1" s="199"/>
      <c r="Q1" s="199"/>
      <c r="R1" s="199"/>
      <c r="S1" s="199"/>
      <c r="T1" s="199"/>
      <c r="U1" s="199"/>
      <c r="V1" s="199"/>
      <c r="W1" s="199"/>
      <c r="X1" s="199"/>
      <c r="Y1" s="199"/>
      <c r="Z1" s="199"/>
      <c r="AA1" s="199"/>
      <c r="AB1" s="199"/>
      <c r="AC1" s="280"/>
    </row>
    <row r="2" s="14" customFormat="1" ht="28.5" customHeight="1" spans="1:29">
      <c r="A2" s="29" t="s">
        <v>937</v>
      </c>
      <c r="B2" s="30">
        <f>F61</f>
        <v>5508</v>
      </c>
      <c r="C2" s="31"/>
      <c r="D2" s="31"/>
      <c r="E2" s="31"/>
      <c r="F2" s="32"/>
      <c r="G2" s="31"/>
      <c r="H2" s="31"/>
      <c r="I2" s="31"/>
      <c r="J2" s="31"/>
      <c r="K2" s="200"/>
      <c r="L2" s="201"/>
      <c r="M2" s="202"/>
      <c r="N2" s="202"/>
      <c r="O2" s="202"/>
      <c r="P2" s="199"/>
      <c r="Q2" s="199"/>
      <c r="R2" s="199"/>
      <c r="S2" s="199"/>
      <c r="T2" s="199"/>
      <c r="U2" s="199"/>
      <c r="V2" s="199"/>
      <c r="W2" s="199"/>
      <c r="X2" s="199"/>
      <c r="Y2" s="199"/>
      <c r="Z2" s="199"/>
      <c r="AA2" s="199"/>
      <c r="AB2" s="199"/>
      <c r="AC2" s="280"/>
    </row>
    <row r="3" s="14" customFormat="1" ht="28.5" customHeight="1" spans="1:29">
      <c r="A3" s="33" t="s">
        <v>939</v>
      </c>
      <c r="B3" s="34">
        <f>ROUND(IF(D3="",B2*10000/'数据-汇总表'!E3,B2*10000/D3),0)</f>
        <v>2913</v>
      </c>
      <c r="C3" s="33" t="s">
        <v>1424</v>
      </c>
      <c r="D3" s="35"/>
      <c r="E3" s="31"/>
      <c r="F3" s="32"/>
      <c r="G3" s="31"/>
      <c r="H3" s="31"/>
      <c r="I3" s="31"/>
      <c r="J3" s="31"/>
      <c r="K3" s="200"/>
      <c r="L3" s="201"/>
      <c r="M3" s="202"/>
      <c r="N3" s="202"/>
      <c r="O3" s="202"/>
      <c r="P3" s="199"/>
      <c r="Q3" s="199"/>
      <c r="R3" s="199"/>
      <c r="S3" s="199"/>
      <c r="T3" s="199"/>
      <c r="U3" s="199"/>
      <c r="V3" s="199"/>
      <c r="W3" s="199"/>
      <c r="X3" s="199"/>
      <c r="Y3" s="199"/>
      <c r="Z3" s="199"/>
      <c r="AA3" s="199"/>
      <c r="AB3" s="281"/>
      <c r="AC3" s="282"/>
    </row>
    <row r="4" ht="14.4" spans="1:29">
      <c r="A4" s="36" t="s">
        <v>1425</v>
      </c>
      <c r="B4" s="37"/>
      <c r="C4" s="38" t="s">
        <v>1426</v>
      </c>
      <c r="D4" s="39"/>
      <c r="E4" s="40" t="s">
        <v>1427</v>
      </c>
      <c r="F4" s="41"/>
      <c r="G4" s="38" t="s">
        <v>1428</v>
      </c>
      <c r="H4" s="39"/>
      <c r="I4" s="38" t="s">
        <v>1429</v>
      </c>
      <c r="J4" s="39"/>
      <c r="K4" s="203" t="s">
        <v>1430</v>
      </c>
      <c r="L4" s="204"/>
      <c r="M4" s="205"/>
      <c r="N4" s="205"/>
      <c r="O4" s="205"/>
      <c r="P4" s="206" t="s">
        <v>1431</v>
      </c>
      <c r="Q4" s="255"/>
      <c r="R4" s="256" t="s">
        <v>1427</v>
      </c>
      <c r="S4" s="257"/>
      <c r="T4" s="256" t="s">
        <v>1428</v>
      </c>
      <c r="U4" s="257"/>
      <c r="V4" s="244" t="s">
        <v>1429</v>
      </c>
      <c r="W4" s="244"/>
      <c r="X4" s="258"/>
      <c r="Y4" s="256" t="s">
        <v>1431</v>
      </c>
      <c r="Z4" s="257"/>
      <c r="AA4" s="283" t="s">
        <v>1427</v>
      </c>
      <c r="AB4" s="258" t="s">
        <v>1428</v>
      </c>
      <c r="AC4" s="283" t="s">
        <v>1429</v>
      </c>
    </row>
    <row r="5" spans="1:29">
      <c r="A5" s="42"/>
      <c r="B5" s="43"/>
      <c r="C5" s="44" t="s">
        <v>1432</v>
      </c>
      <c r="D5" s="45"/>
      <c r="E5" s="46" t="str">
        <f>土地案例!A7</f>
        <v>顺义区赵全营镇SY04-0100-6006-1-2地块</v>
      </c>
      <c r="F5" s="47"/>
      <c r="G5" s="44" t="str">
        <f>土地案例!A9</f>
        <v>顺义区赵全营板桥SY04-0100-6006-2地块M4工业研发用地</v>
      </c>
      <c r="H5" s="45"/>
      <c r="I5" s="44" t="str">
        <f>土地案例!A20</f>
        <v>北京市昌平区北郊农场工业前期开发项目CP00-1805-0011等地块土地一级开发项目CP01-0602-0006、CP01-0602-0008地块M1一类工业用地</v>
      </c>
      <c r="J5" s="45"/>
      <c r="K5" s="203"/>
      <c r="L5" s="204"/>
      <c r="M5" s="205"/>
      <c r="N5" s="205"/>
      <c r="O5" s="205"/>
      <c r="P5" s="207"/>
      <c r="Q5" s="259"/>
      <c r="R5" s="260"/>
      <c r="S5" s="261"/>
      <c r="T5" s="260"/>
      <c r="U5" s="261"/>
      <c r="V5" s="244"/>
      <c r="W5" s="244"/>
      <c r="X5" s="258"/>
      <c r="Y5" s="260"/>
      <c r="Z5" s="261"/>
      <c r="AA5" s="258"/>
      <c r="AB5" s="258"/>
      <c r="AC5" s="258"/>
    </row>
    <row r="6" ht="15.15" spans="1:29">
      <c r="A6" s="48"/>
      <c r="B6" s="49"/>
      <c r="C6" s="50" t="s">
        <v>1601</v>
      </c>
      <c r="D6" s="51"/>
      <c r="E6" s="52" t="s">
        <v>1601</v>
      </c>
      <c r="F6" s="53"/>
      <c r="G6" s="50" t="s">
        <v>1601</v>
      </c>
      <c r="H6" s="51"/>
      <c r="I6" s="50" t="s">
        <v>1601</v>
      </c>
      <c r="J6" s="51"/>
      <c r="K6" s="203" t="s">
        <v>1437</v>
      </c>
      <c r="L6" s="204"/>
      <c r="M6" s="205"/>
      <c r="N6" s="205"/>
      <c r="O6" s="205"/>
      <c r="P6" s="208"/>
      <c r="Q6" s="262"/>
      <c r="R6" s="260"/>
      <c r="S6" s="261"/>
      <c r="T6" s="263"/>
      <c r="U6" s="264"/>
      <c r="V6" s="244"/>
      <c r="W6" s="244"/>
      <c r="X6" s="258"/>
      <c r="Y6" s="263"/>
      <c r="Z6" s="264"/>
      <c r="AA6" s="284"/>
      <c r="AB6" s="284"/>
      <c r="AC6" s="284"/>
    </row>
    <row r="7" s="15" customFormat="1" ht="15.15" spans="1:29">
      <c r="A7" s="54" t="s">
        <v>1438</v>
      </c>
      <c r="B7" s="55"/>
      <c r="C7" s="56">
        <f>'数据-取费表'!B2</f>
        <v>44802</v>
      </c>
      <c r="D7" s="57">
        <v>100</v>
      </c>
      <c r="E7" s="58">
        <f>土地案例!I7</f>
        <v>44446.0004976852</v>
      </c>
      <c r="F7" s="59">
        <f>SUMIF(65:65,YEAR(E7)&amp;"-"&amp;INT((MONTH(E7)+2)/3),66:66)</f>
        <v>98</v>
      </c>
      <c r="G7" s="60">
        <f>土地案例!I9</f>
        <v>43873.0004976852</v>
      </c>
      <c r="H7" s="57">
        <f>SUMIF(65:65,YEAR(G7)&amp;"-"&amp;INT((MONTH(G7)+2)/3),66:66)</f>
        <v>95</v>
      </c>
      <c r="I7" s="60">
        <f>土地案例!I20</f>
        <v>44746.0004976852</v>
      </c>
      <c r="J7" s="57">
        <f>SUMIF(65:65,YEAR(I7)&amp;"-"&amp;INT((MONTH(I7)+2)/3),66:66)</f>
        <v>100</v>
      </c>
      <c r="K7" s="209"/>
      <c r="L7" s="210"/>
      <c r="M7" s="211"/>
      <c r="N7" s="211"/>
      <c r="O7" s="211"/>
      <c r="P7" s="212" t="s">
        <v>1439</v>
      </c>
      <c r="Q7" s="265"/>
      <c r="R7" s="266" t="s">
        <v>1440</v>
      </c>
      <c r="S7" s="267">
        <f t="shared" ref="S7:W7" si="0">F7</f>
        <v>98</v>
      </c>
      <c r="T7" s="266" t="s">
        <v>1440</v>
      </c>
      <c r="U7" s="267">
        <f t="shared" si="0"/>
        <v>95</v>
      </c>
      <c r="V7" s="266" t="s">
        <v>1440</v>
      </c>
      <c r="W7" s="267">
        <f t="shared" si="0"/>
        <v>100</v>
      </c>
      <c r="X7" s="268"/>
      <c r="Y7" s="212" t="s">
        <v>1439</v>
      </c>
      <c r="Z7" s="269"/>
      <c r="AA7" s="285">
        <f t="shared" ref="AA7:AA15" si="1">D7/F7</f>
        <v>1.02040816326531</v>
      </c>
      <c r="AB7" s="285">
        <f t="shared" ref="AB7:AB15" si="2">D7/H7</f>
        <v>1.05263157894737</v>
      </c>
      <c r="AC7" s="285">
        <f t="shared" ref="AC7:AC15" si="3">D7/J7</f>
        <v>1</v>
      </c>
    </row>
    <row r="8" s="15" customFormat="1" ht="15.15" spans="1:29">
      <c r="A8" s="54" t="s">
        <v>1441</v>
      </c>
      <c r="B8" s="55"/>
      <c r="C8" s="61" t="s">
        <v>1442</v>
      </c>
      <c r="D8" s="57">
        <v>100</v>
      </c>
      <c r="E8" s="61" t="s">
        <v>1602</v>
      </c>
      <c r="F8" s="59">
        <f>SUMIF(68:68,E8,69:69)-SUMIF(68:68,C8,69:69)+100</f>
        <v>100</v>
      </c>
      <c r="G8" s="61" t="s">
        <v>1602</v>
      </c>
      <c r="H8" s="57">
        <f>SUMIF(68:68,G8,69:69)-SUMIF(68:68,C8,69:69)+100</f>
        <v>100</v>
      </c>
      <c r="I8" s="61" t="s">
        <v>1602</v>
      </c>
      <c r="J8" s="57">
        <f>SUMIF(68:68,I8,69:69)-SUMIF(68:68,C8,69:69)+100</f>
        <v>100</v>
      </c>
      <c r="K8" s="209"/>
      <c r="L8" s="210"/>
      <c r="M8" s="211"/>
      <c r="N8" s="211"/>
      <c r="O8" s="211"/>
      <c r="P8" s="212" t="s">
        <v>1443</v>
      </c>
      <c r="Q8" s="269"/>
      <c r="R8" s="266" t="s">
        <v>1440</v>
      </c>
      <c r="S8" s="267">
        <f t="shared" ref="S8:W8" si="4">F8</f>
        <v>100</v>
      </c>
      <c r="T8" s="266" t="s">
        <v>1440</v>
      </c>
      <c r="U8" s="267">
        <f t="shared" si="4"/>
        <v>100</v>
      </c>
      <c r="V8" s="266" t="s">
        <v>1440</v>
      </c>
      <c r="W8" s="267">
        <f t="shared" si="4"/>
        <v>100</v>
      </c>
      <c r="X8" s="268"/>
      <c r="Y8" s="212" t="s">
        <v>1443</v>
      </c>
      <c r="Z8" s="269"/>
      <c r="AA8" s="285">
        <f t="shared" si="1"/>
        <v>1</v>
      </c>
      <c r="AB8" s="285">
        <f t="shared" si="2"/>
        <v>1</v>
      </c>
      <c r="AC8" s="285">
        <f t="shared" si="3"/>
        <v>1</v>
      </c>
    </row>
    <row r="9" s="15" customFormat="1" ht="14.4" spans="1:29">
      <c r="A9" s="62" t="s">
        <v>1444</v>
      </c>
      <c r="B9" s="63" t="s">
        <v>1445</v>
      </c>
      <c r="C9" s="64"/>
      <c r="D9" s="65">
        <v>100</v>
      </c>
      <c r="E9" s="64"/>
      <c r="F9" s="65">
        <f>SUMIF(70:70,E9,71:71)-SUMIF(70:70,C9,71:71)+100</f>
        <v>100</v>
      </c>
      <c r="G9" s="64"/>
      <c r="H9" s="65">
        <f>SUMIF(70:70,G9,71:71)-SUMIF(70:70,C9,71:71)+100</f>
        <v>100</v>
      </c>
      <c r="I9" s="64"/>
      <c r="J9" s="65">
        <f>SUMIF(70:70,I9,71:71)-SUMIF(70:70,C9,71:71)+100</f>
        <v>100</v>
      </c>
      <c r="K9" s="209"/>
      <c r="L9" s="210"/>
      <c r="M9" s="211"/>
      <c r="N9" s="211"/>
      <c r="O9" s="213"/>
      <c r="P9" s="169" t="s">
        <v>1446</v>
      </c>
      <c r="Q9" s="270" t="str">
        <f t="shared" ref="Q9:Q15" si="5">B9</f>
        <v>用途</v>
      </c>
      <c r="R9" s="266" t="s">
        <v>1440</v>
      </c>
      <c r="S9" s="267">
        <f t="shared" ref="S9:W9" si="6">F9</f>
        <v>100</v>
      </c>
      <c r="T9" s="266" t="s">
        <v>1440</v>
      </c>
      <c r="U9" s="267">
        <f t="shared" si="6"/>
        <v>100</v>
      </c>
      <c r="V9" s="266" t="s">
        <v>1440</v>
      </c>
      <c r="W9" s="267">
        <f t="shared" si="6"/>
        <v>100</v>
      </c>
      <c r="X9" s="268"/>
      <c r="Y9" s="270" t="s">
        <v>1447</v>
      </c>
      <c r="Z9" s="286" t="str">
        <f t="shared" ref="Z9:Z15" si="7">Q9</f>
        <v>用途</v>
      </c>
      <c r="AA9" s="285">
        <f t="shared" si="1"/>
        <v>1</v>
      </c>
      <c r="AB9" s="285">
        <f t="shared" si="2"/>
        <v>1</v>
      </c>
      <c r="AC9" s="285">
        <f t="shared" si="3"/>
        <v>1</v>
      </c>
    </row>
    <row r="10" s="16" customFormat="1" ht="28.8" spans="1:29">
      <c r="A10" s="66"/>
      <c r="B10" s="67" t="s">
        <v>1448</v>
      </c>
      <c r="C10" s="68"/>
      <c r="D10" s="69">
        <v>100</v>
      </c>
      <c r="E10" s="68"/>
      <c r="F10" s="69">
        <f>ROUND(100/'数据-取费表'!G16,0)</f>
        <v>111</v>
      </c>
      <c r="G10" s="68"/>
      <c r="H10" s="69">
        <f>ROUND(100/'数据-取费表'!G16,0)</f>
        <v>111</v>
      </c>
      <c r="I10" s="68"/>
      <c r="J10" s="69">
        <f>ROUND(100/'数据-取费表'!G16,0)</f>
        <v>111</v>
      </c>
      <c r="K10" s="214"/>
      <c r="L10" s="215"/>
      <c r="M10" s="216"/>
      <c r="N10" s="216"/>
      <c r="O10" s="217"/>
      <c r="P10" s="169"/>
      <c r="Q10" s="270" t="str">
        <f t="shared" si="5"/>
        <v>土地使用年限（年）</v>
      </c>
      <c r="R10" s="266" t="s">
        <v>1440</v>
      </c>
      <c r="S10" s="267">
        <f t="shared" ref="S10:W10" si="8">F10</f>
        <v>111</v>
      </c>
      <c r="T10" s="266" t="s">
        <v>1440</v>
      </c>
      <c r="U10" s="267">
        <f t="shared" si="8"/>
        <v>111</v>
      </c>
      <c r="V10" s="266" t="s">
        <v>1440</v>
      </c>
      <c r="W10" s="267">
        <f t="shared" si="8"/>
        <v>111</v>
      </c>
      <c r="X10" s="268"/>
      <c r="Y10" s="270"/>
      <c r="Z10" s="286" t="str">
        <f t="shared" si="7"/>
        <v>土地使用年限（年）</v>
      </c>
      <c r="AA10" s="285">
        <f t="shared" si="1"/>
        <v>0.900900900900901</v>
      </c>
      <c r="AB10" s="285">
        <f t="shared" si="2"/>
        <v>0.900900900900901</v>
      </c>
      <c r="AC10" s="285">
        <f t="shared" si="3"/>
        <v>0.900900900900901</v>
      </c>
    </row>
    <row r="11" ht="15" spans="1:29">
      <c r="A11" s="70"/>
      <c r="B11" s="67" t="s">
        <v>1449</v>
      </c>
      <c r="C11" s="71">
        <v>0.29</v>
      </c>
      <c r="D11" s="69">
        <v>100</v>
      </c>
      <c r="E11" s="71">
        <v>1.8</v>
      </c>
      <c r="F11" s="69">
        <f>LOOKUP(E11,75:75,76:76)-LOOKUP(C11,75:75,76:76)+100</f>
        <v>115</v>
      </c>
      <c r="G11" s="72">
        <v>1.8</v>
      </c>
      <c r="H11" s="69">
        <f>LOOKUP(G11,75:75,76:76)-LOOKUP(C11,75:75,76:76)+100</f>
        <v>115</v>
      </c>
      <c r="I11" s="71">
        <v>1.5</v>
      </c>
      <c r="J11" s="69">
        <f>LOOKUP(I11,75:75,76:76)-LOOKUP(C11,75:75,76:76)+100</f>
        <v>110</v>
      </c>
      <c r="K11" s="218">
        <v>5</v>
      </c>
      <c r="L11" s="219"/>
      <c r="M11" s="205"/>
      <c r="N11" s="205"/>
      <c r="O11" s="220"/>
      <c r="P11" s="169"/>
      <c r="Q11" s="270" t="str">
        <f t="shared" si="5"/>
        <v>容积率</v>
      </c>
      <c r="R11" s="266" t="s">
        <v>1440</v>
      </c>
      <c r="S11" s="267">
        <f t="shared" ref="S11:W11" si="9">F11</f>
        <v>115</v>
      </c>
      <c r="T11" s="266" t="s">
        <v>1440</v>
      </c>
      <c r="U11" s="267">
        <f t="shared" si="9"/>
        <v>115</v>
      </c>
      <c r="V11" s="266" t="s">
        <v>1440</v>
      </c>
      <c r="W11" s="267">
        <f t="shared" si="9"/>
        <v>110</v>
      </c>
      <c r="X11" s="268"/>
      <c r="Y11" s="270"/>
      <c r="Z11" s="286" t="str">
        <f t="shared" si="7"/>
        <v>容积率</v>
      </c>
      <c r="AA11" s="285">
        <f t="shared" si="1"/>
        <v>0.869565217391304</v>
      </c>
      <c r="AB11" s="285">
        <f t="shared" si="2"/>
        <v>0.869565217391304</v>
      </c>
      <c r="AC11" s="285">
        <f t="shared" si="3"/>
        <v>0.909090909090909</v>
      </c>
    </row>
    <row r="12" s="15" customFormat="1" ht="15" spans="1:29">
      <c r="A12" s="73"/>
      <c r="B12" s="74">
        <v>111</v>
      </c>
      <c r="C12" s="68"/>
      <c r="D12" s="75">
        <v>100</v>
      </c>
      <c r="E12" s="76"/>
      <c r="F12" s="69">
        <f>SUMIF(77:77,E12,78:78)-SUMIF(77:77,C12,78:78)+100</f>
        <v>100</v>
      </c>
      <c r="G12" s="77"/>
      <c r="H12" s="69">
        <f>SUMIF(77:77,G12,78:78)-SUMIF(77:77,C12,78:78)+100</f>
        <v>100</v>
      </c>
      <c r="I12" s="76"/>
      <c r="J12" s="69">
        <f>SUMIF(77:77,I12,78:78)-SUMIF(77:77,C12,78:78)+100</f>
        <v>100</v>
      </c>
      <c r="K12" s="214"/>
      <c r="L12" s="210"/>
      <c r="M12" s="211"/>
      <c r="N12" s="211"/>
      <c r="O12" s="213"/>
      <c r="P12" s="169"/>
      <c r="Q12" s="270">
        <f t="shared" si="5"/>
        <v>111</v>
      </c>
      <c r="R12" s="266" t="s">
        <v>1440</v>
      </c>
      <c r="S12" s="267">
        <f t="shared" ref="S12:W12" si="10">F12</f>
        <v>100</v>
      </c>
      <c r="T12" s="266" t="s">
        <v>1440</v>
      </c>
      <c r="U12" s="267">
        <f t="shared" si="10"/>
        <v>100</v>
      </c>
      <c r="V12" s="266" t="s">
        <v>1440</v>
      </c>
      <c r="W12" s="267">
        <f t="shared" si="10"/>
        <v>100</v>
      </c>
      <c r="X12" s="268"/>
      <c r="Y12" s="270"/>
      <c r="Z12" s="286">
        <f t="shared" si="7"/>
        <v>111</v>
      </c>
      <c r="AA12" s="285">
        <f t="shared" si="1"/>
        <v>1</v>
      </c>
      <c r="AB12" s="285">
        <f t="shared" si="2"/>
        <v>1</v>
      </c>
      <c r="AC12" s="285">
        <f t="shared" si="3"/>
        <v>1</v>
      </c>
    </row>
    <row r="13" ht="15" spans="1:29">
      <c r="A13" s="70"/>
      <c r="B13" s="74">
        <v>111</v>
      </c>
      <c r="C13" s="78"/>
      <c r="D13" s="79">
        <v>100</v>
      </c>
      <c r="E13" s="76"/>
      <c r="F13" s="69">
        <f>SUMIF(79:79,E13,80:80)-SUMIF(79:79,C13,80:80)+100</f>
        <v>100</v>
      </c>
      <c r="G13" s="77"/>
      <c r="H13" s="79">
        <f>SUMIF(79:79,G13,80:80)-SUMIF(79:79,C13,80:80)+100</f>
        <v>100</v>
      </c>
      <c r="I13" s="76"/>
      <c r="J13" s="79">
        <f>SUMIF(79:79,I13,80:80)-SUMIF(79:79,C13,80:80)+100</f>
        <v>100</v>
      </c>
      <c r="K13" s="214"/>
      <c r="L13" s="221"/>
      <c r="M13" s="205"/>
      <c r="N13" s="205"/>
      <c r="O13" s="220"/>
      <c r="P13" s="169"/>
      <c r="Q13" s="270">
        <f t="shared" si="5"/>
        <v>111</v>
      </c>
      <c r="R13" s="266" t="s">
        <v>1440</v>
      </c>
      <c r="S13" s="267">
        <f t="shared" ref="S13:W13" si="11">F13</f>
        <v>100</v>
      </c>
      <c r="T13" s="266" t="s">
        <v>1440</v>
      </c>
      <c r="U13" s="267">
        <f t="shared" si="11"/>
        <v>100</v>
      </c>
      <c r="V13" s="266" t="s">
        <v>1440</v>
      </c>
      <c r="W13" s="267">
        <f t="shared" si="11"/>
        <v>100</v>
      </c>
      <c r="X13" s="268"/>
      <c r="Y13" s="270"/>
      <c r="Z13" s="286">
        <f t="shared" si="7"/>
        <v>111</v>
      </c>
      <c r="AA13" s="285">
        <f t="shared" si="1"/>
        <v>1</v>
      </c>
      <c r="AB13" s="285">
        <f t="shared" si="2"/>
        <v>1</v>
      </c>
      <c r="AC13" s="285">
        <f t="shared" si="3"/>
        <v>1</v>
      </c>
    </row>
    <row r="14" ht="15.75" spans="1:29">
      <c r="A14" s="80"/>
      <c r="B14" s="81">
        <v>111</v>
      </c>
      <c r="C14" s="82"/>
      <c r="D14" s="83">
        <v>100</v>
      </c>
      <c r="E14" s="76"/>
      <c r="F14" s="83">
        <f>SUMIF(81:81,E14,82:82)-SUMIF(81:81,C14,82:82)+100</f>
        <v>100</v>
      </c>
      <c r="G14" s="77"/>
      <c r="H14" s="83">
        <f>SUMIF(81:81,G14,82:82)-SUMIF(81:81,C14,82:82)+100</f>
        <v>100</v>
      </c>
      <c r="I14" s="76"/>
      <c r="J14" s="83">
        <f>SUMIF(81:81,I14,82:82)-SUMIF(81:81,C14,82:82)+100</f>
        <v>100</v>
      </c>
      <c r="K14" s="214"/>
      <c r="L14" s="221"/>
      <c r="M14" s="205"/>
      <c r="N14" s="205"/>
      <c r="O14" s="220"/>
      <c r="P14" s="169"/>
      <c r="Q14" s="270">
        <f t="shared" si="5"/>
        <v>111</v>
      </c>
      <c r="R14" s="266" t="s">
        <v>1440</v>
      </c>
      <c r="S14" s="267">
        <f t="shared" ref="S14:W14" si="12">F14</f>
        <v>100</v>
      </c>
      <c r="T14" s="266" t="s">
        <v>1440</v>
      </c>
      <c r="U14" s="267">
        <f t="shared" si="12"/>
        <v>100</v>
      </c>
      <c r="V14" s="266" t="s">
        <v>1440</v>
      </c>
      <c r="W14" s="267">
        <f t="shared" si="12"/>
        <v>100</v>
      </c>
      <c r="X14" s="268"/>
      <c r="Y14" s="270"/>
      <c r="Z14" s="286">
        <f t="shared" si="7"/>
        <v>111</v>
      </c>
      <c r="AA14" s="285">
        <f t="shared" si="1"/>
        <v>1</v>
      </c>
      <c r="AB14" s="285">
        <f t="shared" si="2"/>
        <v>1</v>
      </c>
      <c r="AC14" s="285">
        <f t="shared" si="3"/>
        <v>1</v>
      </c>
    </row>
    <row r="15" ht="72" spans="1:29">
      <c r="A15" s="84" t="s">
        <v>1450</v>
      </c>
      <c r="B15" s="85" t="s">
        <v>1540</v>
      </c>
      <c r="C15" s="86" t="str">
        <f>估价对象房地状况!G15</f>
        <v>估价对象位于XX开发区，园区建设成熟度XX，产业集聚程度XX</v>
      </c>
      <c r="D15" s="87">
        <v>100</v>
      </c>
      <c r="E15" s="88"/>
      <c r="F15" s="87">
        <f t="shared" ref="F15:F19" si="13">SUMIF(83:83,E16,84:84)-SUMIF(83:83,C16,84:84)+100</f>
        <v>98</v>
      </c>
      <c r="G15" s="88"/>
      <c r="H15" s="87">
        <f t="shared" ref="H15:H19" si="14">SUMIF(83:83,G16,84:84)-SUMIF(83:83,C16,84:84)+100</f>
        <v>98</v>
      </c>
      <c r="I15" s="222"/>
      <c r="J15" s="87">
        <f t="shared" ref="J15:J19" si="15">SUMIF(83:83,I16,84:84)-SUMIF(83:83,C16,84:84)+100</f>
        <v>100</v>
      </c>
      <c r="K15" s="218">
        <v>2</v>
      </c>
      <c r="L15" s="221"/>
      <c r="M15" s="205"/>
      <c r="N15" s="205"/>
      <c r="O15" s="220"/>
      <c r="P15" s="223" t="s">
        <v>1452</v>
      </c>
      <c r="Q15" s="169" t="str">
        <f t="shared" si="5"/>
        <v>产业集聚程度</v>
      </c>
      <c r="R15" s="271" t="s">
        <v>1440</v>
      </c>
      <c r="S15" s="272">
        <f t="shared" ref="S15:W15" si="16">F15</f>
        <v>98</v>
      </c>
      <c r="T15" s="271" t="s">
        <v>1440</v>
      </c>
      <c r="U15" s="272">
        <f t="shared" si="16"/>
        <v>98</v>
      </c>
      <c r="V15" s="271" t="s">
        <v>1440</v>
      </c>
      <c r="W15" s="272">
        <f t="shared" si="16"/>
        <v>100</v>
      </c>
      <c r="X15" s="258"/>
      <c r="Y15" s="223" t="s">
        <v>1452</v>
      </c>
      <c r="Z15" s="244" t="str">
        <f t="shared" si="7"/>
        <v>产业集聚程度</v>
      </c>
      <c r="AA15" s="287">
        <f t="shared" si="1"/>
        <v>1.02040816326531</v>
      </c>
      <c r="AB15" s="287">
        <f t="shared" si="2"/>
        <v>1.02040816326531</v>
      </c>
      <c r="AC15" s="287">
        <f t="shared" si="3"/>
        <v>1</v>
      </c>
    </row>
    <row r="16" ht="15" spans="1:29">
      <c r="A16" s="70"/>
      <c r="B16" s="89"/>
      <c r="C16" s="90" t="s">
        <v>1603</v>
      </c>
      <c r="D16" s="91"/>
      <c r="E16" s="92" t="s">
        <v>1604</v>
      </c>
      <c r="F16" s="91"/>
      <c r="G16" s="92" t="s">
        <v>1604</v>
      </c>
      <c r="H16" s="93"/>
      <c r="I16" s="92" t="s">
        <v>1603</v>
      </c>
      <c r="J16" s="91"/>
      <c r="K16" s="214"/>
      <c r="L16" s="221"/>
      <c r="M16" s="205"/>
      <c r="N16" s="205"/>
      <c r="O16" s="220"/>
      <c r="P16" s="224"/>
      <c r="Q16" s="169"/>
      <c r="R16" s="271"/>
      <c r="S16" s="272"/>
      <c r="T16" s="271"/>
      <c r="U16" s="272"/>
      <c r="V16" s="271"/>
      <c r="W16" s="272"/>
      <c r="X16" s="258"/>
      <c r="Y16" s="224"/>
      <c r="Z16" s="244"/>
      <c r="AA16" s="287">
        <v>1</v>
      </c>
      <c r="AB16" s="287">
        <v>1</v>
      </c>
      <c r="AC16" s="287">
        <v>1</v>
      </c>
    </row>
    <row r="17" ht="100.8" spans="1:29">
      <c r="A17" s="70"/>
      <c r="B17" s="94" t="s">
        <v>1453</v>
      </c>
      <c r="C17" s="95" t="str">
        <f>估价对象房地状况!G16</f>
        <v>估价对象周边道路状况、公共交通通达情况、停车便捷程度，综合评价交通便捷度较好</v>
      </c>
      <c r="D17" s="93">
        <v>100</v>
      </c>
      <c r="E17" s="96"/>
      <c r="F17" s="97">
        <f t="shared" si="13"/>
        <v>98</v>
      </c>
      <c r="G17" s="96"/>
      <c r="H17" s="97">
        <f t="shared" si="14"/>
        <v>98</v>
      </c>
      <c r="I17" s="225"/>
      <c r="J17" s="93">
        <f t="shared" si="15"/>
        <v>100</v>
      </c>
      <c r="K17" s="218">
        <v>2</v>
      </c>
      <c r="L17" s="221"/>
      <c r="M17" s="205"/>
      <c r="N17" s="205"/>
      <c r="O17" s="220"/>
      <c r="P17" s="224"/>
      <c r="Q17" s="169" t="str">
        <f t="shared" ref="Q17:Q21" si="17">B17</f>
        <v>交通便捷度</v>
      </c>
      <c r="R17" s="271" t="s">
        <v>1440</v>
      </c>
      <c r="S17" s="272">
        <f t="shared" ref="S17:W17" si="18">F17</f>
        <v>98</v>
      </c>
      <c r="T17" s="271" t="s">
        <v>1440</v>
      </c>
      <c r="U17" s="272">
        <f t="shared" si="18"/>
        <v>98</v>
      </c>
      <c r="V17" s="271" t="s">
        <v>1440</v>
      </c>
      <c r="W17" s="272">
        <f t="shared" si="18"/>
        <v>100</v>
      </c>
      <c r="X17" s="258"/>
      <c r="Y17" s="224"/>
      <c r="Z17" s="244" t="str">
        <f t="shared" ref="Z17:Z21" si="19">Q17</f>
        <v>交通便捷度</v>
      </c>
      <c r="AA17" s="287">
        <f t="shared" ref="AA17:AA21" si="20">D17/F17</f>
        <v>1.02040816326531</v>
      </c>
      <c r="AB17" s="287">
        <f t="shared" ref="AB17:AB21" si="21">D17/H17</f>
        <v>1.02040816326531</v>
      </c>
      <c r="AC17" s="287">
        <f t="shared" ref="AC17:AC21" si="22">D17/J17</f>
        <v>1</v>
      </c>
    </row>
    <row r="18" ht="15" spans="1:29">
      <c r="A18" s="70"/>
      <c r="B18" s="98"/>
      <c r="C18" s="90" t="s">
        <v>1603</v>
      </c>
      <c r="D18" s="91"/>
      <c r="E18" s="99" t="s">
        <v>1604</v>
      </c>
      <c r="F18" s="91"/>
      <c r="G18" s="99" t="s">
        <v>1604</v>
      </c>
      <c r="H18" s="91"/>
      <c r="I18" s="99" t="s">
        <v>1603</v>
      </c>
      <c r="J18" s="91"/>
      <c r="K18" s="214"/>
      <c r="L18" s="221"/>
      <c r="M18" s="205"/>
      <c r="N18" s="205"/>
      <c r="O18" s="220"/>
      <c r="P18" s="224"/>
      <c r="Q18" s="169"/>
      <c r="R18" s="271"/>
      <c r="S18" s="272"/>
      <c r="T18" s="271"/>
      <c r="U18" s="272"/>
      <c r="V18" s="271"/>
      <c r="W18" s="272"/>
      <c r="X18" s="258"/>
      <c r="Y18" s="224"/>
      <c r="Z18" s="244"/>
      <c r="AA18" s="287">
        <v>1</v>
      </c>
      <c r="AB18" s="287">
        <v>1</v>
      </c>
      <c r="AC18" s="287">
        <v>1</v>
      </c>
    </row>
    <row r="19" ht="28.8" spans="1:29">
      <c r="A19" s="70"/>
      <c r="B19" s="94" t="s">
        <v>1562</v>
      </c>
      <c r="C19" s="95">
        <f>估价对象房地状况!G17</f>
        <v>0</v>
      </c>
      <c r="D19" s="93">
        <v>100</v>
      </c>
      <c r="E19" s="96"/>
      <c r="F19" s="97">
        <f t="shared" si="13"/>
        <v>100</v>
      </c>
      <c r="G19" s="96"/>
      <c r="H19" s="97">
        <f t="shared" si="14"/>
        <v>100</v>
      </c>
      <c r="I19" s="96"/>
      <c r="J19" s="97">
        <f t="shared" si="15"/>
        <v>100</v>
      </c>
      <c r="K19" s="218"/>
      <c r="L19" s="221"/>
      <c r="M19" s="205"/>
      <c r="N19" s="205"/>
      <c r="O19" s="220"/>
      <c r="P19" s="224"/>
      <c r="Q19" s="169" t="str">
        <f t="shared" si="17"/>
        <v>区域土地利用方向</v>
      </c>
      <c r="R19" s="271" t="s">
        <v>1440</v>
      </c>
      <c r="S19" s="272">
        <f t="shared" ref="S19:W19" si="23">F19</f>
        <v>100</v>
      </c>
      <c r="T19" s="271" t="s">
        <v>1440</v>
      </c>
      <c r="U19" s="272">
        <f t="shared" si="23"/>
        <v>100</v>
      </c>
      <c r="V19" s="271" t="s">
        <v>1440</v>
      </c>
      <c r="W19" s="272">
        <f t="shared" si="23"/>
        <v>100</v>
      </c>
      <c r="X19" s="258"/>
      <c r="Y19" s="224"/>
      <c r="Z19" s="244" t="str">
        <f t="shared" si="19"/>
        <v>区域土地利用方向</v>
      </c>
      <c r="AA19" s="287">
        <f t="shared" si="20"/>
        <v>1</v>
      </c>
      <c r="AB19" s="287">
        <f t="shared" si="21"/>
        <v>1</v>
      </c>
      <c r="AC19" s="287">
        <f t="shared" si="22"/>
        <v>1</v>
      </c>
    </row>
    <row r="20" ht="15" spans="1:29">
      <c r="A20" s="42"/>
      <c r="B20" s="98"/>
      <c r="C20" s="90"/>
      <c r="D20" s="91"/>
      <c r="E20" s="99"/>
      <c r="F20" s="91"/>
      <c r="G20" s="99"/>
      <c r="H20" s="91"/>
      <c r="I20" s="99"/>
      <c r="J20" s="91"/>
      <c r="K20" s="226"/>
      <c r="L20" s="221"/>
      <c r="M20" s="205"/>
      <c r="N20" s="205"/>
      <c r="O20" s="220"/>
      <c r="P20" s="224"/>
      <c r="Q20" s="169"/>
      <c r="R20" s="271"/>
      <c r="S20" s="272"/>
      <c r="T20" s="271"/>
      <c r="U20" s="272"/>
      <c r="V20" s="271"/>
      <c r="W20" s="272"/>
      <c r="X20" s="258"/>
      <c r="Y20" s="224"/>
      <c r="Z20" s="244"/>
      <c r="AA20" s="287"/>
      <c r="AB20" s="287"/>
      <c r="AC20" s="287"/>
    </row>
    <row r="21" ht="86.4" spans="1:29">
      <c r="A21" s="42"/>
      <c r="B21" s="94" t="s">
        <v>1605</v>
      </c>
      <c r="C21" s="95" t="str">
        <f>估价对象房地状况!G18</f>
        <v>该园区内是否有污染型企业，绿化情况，卫生条件，整体环境状况判断</v>
      </c>
      <c r="D21" s="93">
        <v>100</v>
      </c>
      <c r="E21" s="96"/>
      <c r="F21" s="93">
        <f t="shared" ref="F21:F25" si="24">SUMIF(89:89,E22,90:90)-SUMIF(89:89,C22,90:90)+100</f>
        <v>100</v>
      </c>
      <c r="G21" s="96"/>
      <c r="H21" s="93">
        <f t="shared" ref="H21:H25" si="25">SUMIF(89:89,G22,90:90)-SUMIF(89:89,C22,90:90)+100</f>
        <v>100</v>
      </c>
      <c r="I21" s="225"/>
      <c r="J21" s="93">
        <f t="shared" ref="J21:J25" si="26">SUMIF(89:89,I22,90:90)-SUMIF(89:89,C22,90:90)+100</f>
        <v>100</v>
      </c>
      <c r="K21" s="218">
        <v>2</v>
      </c>
      <c r="L21" s="221"/>
      <c r="M21" s="205"/>
      <c r="N21" s="205"/>
      <c r="O21" s="220"/>
      <c r="P21" s="224"/>
      <c r="Q21" s="169" t="str">
        <f t="shared" si="17"/>
        <v>环境状况</v>
      </c>
      <c r="R21" s="271" t="s">
        <v>1440</v>
      </c>
      <c r="S21" s="272">
        <f t="shared" ref="S21:W21" si="27">F21</f>
        <v>100</v>
      </c>
      <c r="T21" s="271" t="s">
        <v>1440</v>
      </c>
      <c r="U21" s="272">
        <f t="shared" si="27"/>
        <v>100</v>
      </c>
      <c r="V21" s="271" t="s">
        <v>1440</v>
      </c>
      <c r="W21" s="272">
        <f t="shared" si="27"/>
        <v>100</v>
      </c>
      <c r="X21" s="258"/>
      <c r="Y21" s="224"/>
      <c r="Z21" s="244" t="str">
        <f t="shared" si="19"/>
        <v>环境状况</v>
      </c>
      <c r="AA21" s="287">
        <f t="shared" si="20"/>
        <v>1</v>
      </c>
      <c r="AB21" s="287">
        <f t="shared" si="21"/>
        <v>1</v>
      </c>
      <c r="AC21" s="287">
        <f t="shared" si="22"/>
        <v>1</v>
      </c>
    </row>
    <row r="22" ht="15" spans="1:29">
      <c r="A22" s="42"/>
      <c r="B22" s="98"/>
      <c r="C22" s="90" t="s">
        <v>1603</v>
      </c>
      <c r="D22" s="91"/>
      <c r="E22" s="90" t="s">
        <v>1603</v>
      </c>
      <c r="F22" s="91"/>
      <c r="G22" s="90" t="s">
        <v>1603</v>
      </c>
      <c r="H22" s="91"/>
      <c r="I22" s="90" t="s">
        <v>1603</v>
      </c>
      <c r="J22" s="91"/>
      <c r="K22" s="214"/>
      <c r="L22" s="221"/>
      <c r="M22" s="205"/>
      <c r="N22" s="205"/>
      <c r="O22" s="220"/>
      <c r="P22" s="224"/>
      <c r="Q22" s="169"/>
      <c r="R22" s="271"/>
      <c r="S22" s="272"/>
      <c r="T22" s="271"/>
      <c r="U22" s="272"/>
      <c r="V22" s="271"/>
      <c r="W22" s="272"/>
      <c r="X22" s="258"/>
      <c r="Y22" s="224"/>
      <c r="Z22" s="244"/>
      <c r="AA22" s="287">
        <v>1</v>
      </c>
      <c r="AB22" s="287">
        <v>1</v>
      </c>
      <c r="AC22" s="287">
        <v>1</v>
      </c>
    </row>
    <row r="23" s="15" customFormat="1" ht="43.2" spans="1:29">
      <c r="A23" s="100"/>
      <c r="B23" s="101" t="s">
        <v>1454</v>
      </c>
      <c r="C23" s="95" t="str">
        <f>估价对象房地状况!G19</f>
        <v>估价对象所在区域公共配套设施齐备情况</v>
      </c>
      <c r="D23" s="93">
        <v>100</v>
      </c>
      <c r="E23" s="96"/>
      <c r="F23" s="93">
        <f t="shared" si="24"/>
        <v>98</v>
      </c>
      <c r="G23" s="96"/>
      <c r="H23" s="93">
        <f t="shared" si="25"/>
        <v>98</v>
      </c>
      <c r="I23" s="225"/>
      <c r="J23" s="93">
        <f t="shared" si="26"/>
        <v>100</v>
      </c>
      <c r="K23" s="218">
        <v>2</v>
      </c>
      <c r="L23" s="210"/>
      <c r="M23" s="211"/>
      <c r="N23" s="211"/>
      <c r="O23" s="213"/>
      <c r="P23" s="224"/>
      <c r="Q23" s="270" t="str">
        <f t="shared" ref="Q23:Q28" si="28">B23</f>
        <v>公共配套设施</v>
      </c>
      <c r="R23" s="266" t="s">
        <v>1440</v>
      </c>
      <c r="S23" s="267">
        <f t="shared" ref="S23:W23" si="29">F23</f>
        <v>98</v>
      </c>
      <c r="T23" s="266" t="s">
        <v>1440</v>
      </c>
      <c r="U23" s="267">
        <f t="shared" si="29"/>
        <v>98</v>
      </c>
      <c r="V23" s="266" t="s">
        <v>1440</v>
      </c>
      <c r="W23" s="267">
        <f t="shared" si="29"/>
        <v>100</v>
      </c>
      <c r="X23" s="268"/>
      <c r="Y23" s="224"/>
      <c r="Z23" s="286" t="str">
        <f t="shared" ref="Z23:Z28" si="30">Q23</f>
        <v>公共配套设施</v>
      </c>
      <c r="AA23" s="287">
        <f t="shared" ref="AA23:AA28" si="31">D23/F23</f>
        <v>1.02040816326531</v>
      </c>
      <c r="AB23" s="287">
        <f t="shared" ref="AB23:AB28" si="32">D23/H23</f>
        <v>1.02040816326531</v>
      </c>
      <c r="AC23" s="287">
        <f t="shared" ref="AC23:AC28" si="33">D23/J23</f>
        <v>1</v>
      </c>
    </row>
    <row r="24" s="15" customFormat="1" ht="15" spans="1:29">
      <c r="A24" s="100"/>
      <c r="B24" s="98"/>
      <c r="C24" s="102" t="s">
        <v>1603</v>
      </c>
      <c r="D24" s="91"/>
      <c r="E24" s="92" t="s">
        <v>1604</v>
      </c>
      <c r="F24" s="91"/>
      <c r="G24" s="92" t="s">
        <v>1604</v>
      </c>
      <c r="H24" s="91"/>
      <c r="I24" s="92" t="s">
        <v>1603</v>
      </c>
      <c r="J24" s="91"/>
      <c r="K24" s="214"/>
      <c r="L24" s="210"/>
      <c r="M24" s="211"/>
      <c r="N24" s="211"/>
      <c r="O24" s="213"/>
      <c r="P24" s="224"/>
      <c r="Q24" s="270"/>
      <c r="R24" s="266"/>
      <c r="S24" s="267"/>
      <c r="T24" s="266"/>
      <c r="U24" s="267"/>
      <c r="V24" s="266"/>
      <c r="W24" s="267"/>
      <c r="X24" s="268"/>
      <c r="Y24" s="224"/>
      <c r="Z24" s="286"/>
      <c r="AA24" s="285">
        <v>1</v>
      </c>
      <c r="AB24" s="285">
        <v>1</v>
      </c>
      <c r="AC24" s="285">
        <v>1</v>
      </c>
    </row>
    <row r="25" s="15" customFormat="1" ht="43.2" spans="1:29">
      <c r="A25" s="100"/>
      <c r="B25" s="101" t="s">
        <v>1455</v>
      </c>
      <c r="C25" s="95" t="str">
        <f>估价对象房地状况!G20</f>
        <v>估价对象所在区域基础设施水平</v>
      </c>
      <c r="D25" s="93">
        <v>100</v>
      </c>
      <c r="E25" s="96"/>
      <c r="F25" s="93">
        <f t="shared" si="24"/>
        <v>100</v>
      </c>
      <c r="G25" s="96"/>
      <c r="H25" s="93">
        <f t="shared" si="25"/>
        <v>100</v>
      </c>
      <c r="I25" s="225"/>
      <c r="J25" s="93">
        <f t="shared" si="26"/>
        <v>100</v>
      </c>
      <c r="K25" s="218"/>
      <c r="L25" s="210"/>
      <c r="M25" s="211"/>
      <c r="N25" s="211"/>
      <c r="O25" s="213"/>
      <c r="P25" s="224"/>
      <c r="Q25" s="270" t="str">
        <f t="shared" si="28"/>
        <v>基础设施水平</v>
      </c>
      <c r="R25" s="266" t="s">
        <v>1440</v>
      </c>
      <c r="S25" s="267">
        <f t="shared" ref="S25:W25" si="34">F25</f>
        <v>100</v>
      </c>
      <c r="T25" s="266" t="s">
        <v>1440</v>
      </c>
      <c r="U25" s="267">
        <f t="shared" si="34"/>
        <v>100</v>
      </c>
      <c r="V25" s="266" t="s">
        <v>1440</v>
      </c>
      <c r="W25" s="267">
        <f t="shared" si="34"/>
        <v>100</v>
      </c>
      <c r="X25" s="268"/>
      <c r="Y25" s="224"/>
      <c r="Z25" s="286" t="str">
        <f t="shared" si="30"/>
        <v>基础设施水平</v>
      </c>
      <c r="AA25" s="287">
        <f t="shared" si="31"/>
        <v>1</v>
      </c>
      <c r="AB25" s="287">
        <f t="shared" si="32"/>
        <v>1</v>
      </c>
      <c r="AC25" s="287">
        <f t="shared" si="33"/>
        <v>1</v>
      </c>
    </row>
    <row r="26" s="15" customFormat="1" ht="15" spans="1:29">
      <c r="A26" s="100"/>
      <c r="B26" s="98"/>
      <c r="C26" s="102"/>
      <c r="D26" s="91"/>
      <c r="E26" s="103"/>
      <c r="F26" s="91"/>
      <c r="G26" s="103"/>
      <c r="H26" s="91"/>
      <c r="I26" s="103"/>
      <c r="J26" s="91"/>
      <c r="K26" s="214"/>
      <c r="L26" s="210"/>
      <c r="M26" s="211"/>
      <c r="N26" s="211"/>
      <c r="O26" s="213"/>
      <c r="P26" s="224"/>
      <c r="Q26" s="270"/>
      <c r="R26" s="266"/>
      <c r="S26" s="267"/>
      <c r="T26" s="266"/>
      <c r="U26" s="267"/>
      <c r="V26" s="266"/>
      <c r="W26" s="267"/>
      <c r="X26" s="268"/>
      <c r="Y26" s="224"/>
      <c r="Z26" s="286"/>
      <c r="AA26" s="285">
        <v>1</v>
      </c>
      <c r="AB26" s="285">
        <v>1</v>
      </c>
      <c r="AC26" s="285">
        <v>1</v>
      </c>
    </row>
    <row r="27" ht="15" spans="1:29">
      <c r="A27" s="70"/>
      <c r="B27" s="98" t="s">
        <v>1521</v>
      </c>
      <c r="C27" s="104"/>
      <c r="D27" s="79">
        <v>100</v>
      </c>
      <c r="E27" s="105"/>
      <c r="F27" s="79">
        <f>SUMIF(95:95,E27,96:96)-SUMIF(95:95,C27,96:96)+100</f>
        <v>100</v>
      </c>
      <c r="G27" s="105"/>
      <c r="H27" s="79">
        <f>SUMIF(95:95,G27,96:96)-SUMIF(95:95,C27,96:96)+100</f>
        <v>100</v>
      </c>
      <c r="I27" s="105"/>
      <c r="J27" s="79">
        <f>SUMIF(95:95,I27,96:96)-SUMIF(95:95,C27,96:96)+100</f>
        <v>100</v>
      </c>
      <c r="K27" s="218"/>
      <c r="L27" s="221"/>
      <c r="M27" s="205"/>
      <c r="N27" s="205"/>
      <c r="O27" s="220"/>
      <c r="P27" s="224"/>
      <c r="Q27" s="169" t="str">
        <f t="shared" si="28"/>
        <v>临街状况</v>
      </c>
      <c r="R27" s="271" t="s">
        <v>1440</v>
      </c>
      <c r="S27" s="272">
        <f t="shared" ref="S27:W27" si="35">F27</f>
        <v>100</v>
      </c>
      <c r="T27" s="271" t="s">
        <v>1440</v>
      </c>
      <c r="U27" s="272">
        <f t="shared" si="35"/>
        <v>100</v>
      </c>
      <c r="V27" s="271" t="s">
        <v>1440</v>
      </c>
      <c r="W27" s="272">
        <f t="shared" si="35"/>
        <v>100</v>
      </c>
      <c r="X27" s="258"/>
      <c r="Y27" s="224"/>
      <c r="Z27" s="244" t="str">
        <f t="shared" si="30"/>
        <v>临街状况</v>
      </c>
      <c r="AA27" s="287">
        <f t="shared" si="31"/>
        <v>1</v>
      </c>
      <c r="AB27" s="287">
        <f t="shared" si="32"/>
        <v>1</v>
      </c>
      <c r="AC27" s="287">
        <f t="shared" si="33"/>
        <v>1</v>
      </c>
    </row>
    <row r="28" ht="28.8" spans="1:29">
      <c r="A28" s="70"/>
      <c r="B28" s="101" t="s">
        <v>1535</v>
      </c>
      <c r="C28" s="106">
        <f>估价对象房地状况!G22</f>
        <v>0</v>
      </c>
      <c r="D28" s="93">
        <v>100</v>
      </c>
      <c r="E28" s="96"/>
      <c r="F28" s="93">
        <f>SUMIF(97:97,E29,98:98)-SUMIF(97:97,C29,98:98)+100</f>
        <v>100</v>
      </c>
      <c r="G28" s="96"/>
      <c r="H28" s="93">
        <f>SUMIF(97:97,G29,98:98)-SUMIF(97:97,C29,98:98)+100</f>
        <v>100</v>
      </c>
      <c r="I28" s="225"/>
      <c r="J28" s="93">
        <f>SUMIF(97:97,I29,98:98)-SUMIF(97:97,C29,98:98)+100</f>
        <v>100</v>
      </c>
      <c r="K28" s="218"/>
      <c r="L28" s="221"/>
      <c r="M28" s="205"/>
      <c r="N28" s="205"/>
      <c r="O28" s="220"/>
      <c r="P28" s="224"/>
      <c r="Q28" s="169" t="str">
        <f t="shared" si="28"/>
        <v>毗邻道路的类型与等级</v>
      </c>
      <c r="R28" s="271" t="s">
        <v>1440</v>
      </c>
      <c r="S28" s="272">
        <f t="shared" ref="S28:W28" si="36">F28</f>
        <v>100</v>
      </c>
      <c r="T28" s="271" t="s">
        <v>1440</v>
      </c>
      <c r="U28" s="272">
        <f t="shared" si="36"/>
        <v>100</v>
      </c>
      <c r="V28" s="271" t="s">
        <v>1440</v>
      </c>
      <c r="W28" s="272">
        <f t="shared" si="36"/>
        <v>100</v>
      </c>
      <c r="X28" s="258"/>
      <c r="Y28" s="224"/>
      <c r="Z28" s="244" t="str">
        <f t="shared" si="30"/>
        <v>毗邻道路的类型与等级</v>
      </c>
      <c r="AA28" s="287">
        <f t="shared" si="31"/>
        <v>1</v>
      </c>
      <c r="AB28" s="287">
        <f t="shared" si="32"/>
        <v>1</v>
      </c>
      <c r="AC28" s="287">
        <f t="shared" si="33"/>
        <v>1</v>
      </c>
    </row>
    <row r="29" ht="15" spans="1:29">
      <c r="A29" s="70"/>
      <c r="B29" s="98"/>
      <c r="C29" s="90"/>
      <c r="D29" s="91"/>
      <c r="E29" s="92"/>
      <c r="F29" s="91"/>
      <c r="G29" s="92"/>
      <c r="H29" s="91"/>
      <c r="I29" s="92"/>
      <c r="J29" s="91"/>
      <c r="K29" s="227"/>
      <c r="L29" s="221"/>
      <c r="M29" s="205"/>
      <c r="N29" s="205"/>
      <c r="O29" s="220"/>
      <c r="P29" s="224"/>
      <c r="Q29" s="169"/>
      <c r="R29" s="271"/>
      <c r="S29" s="272"/>
      <c r="T29" s="271"/>
      <c r="U29" s="272"/>
      <c r="V29" s="271"/>
      <c r="W29" s="272"/>
      <c r="X29" s="258"/>
      <c r="Y29" s="224"/>
      <c r="Z29" s="244"/>
      <c r="AA29" s="287">
        <v>1</v>
      </c>
      <c r="AB29" s="287">
        <v>1</v>
      </c>
      <c r="AC29" s="287">
        <v>1</v>
      </c>
    </row>
    <row r="30" ht="15" spans="1:29">
      <c r="A30" s="70"/>
      <c r="B30" s="107" t="s">
        <v>1564</v>
      </c>
      <c r="C30" s="108" t="str">
        <f>估价对象房地状况!G23</f>
        <v>六级</v>
      </c>
      <c r="D30" s="79">
        <v>100</v>
      </c>
      <c r="E30" s="105" t="s">
        <v>286</v>
      </c>
      <c r="F30" s="79">
        <f>SUMIF(99:99,E30,100:100)-SUMIF(99:99,C30,100:100)+100</f>
        <v>97</v>
      </c>
      <c r="G30" s="105" t="s">
        <v>286</v>
      </c>
      <c r="H30" s="79">
        <f>SUMIF(99:99,G30,100:100)-SUMIF(99:99,C30,100:100)+100</f>
        <v>97</v>
      </c>
      <c r="I30" s="105" t="s">
        <v>273</v>
      </c>
      <c r="J30" s="79">
        <f>SUMIF(99:99,I30,100:100)-SUMIF(99:99,C30,100:100)+100</f>
        <v>100</v>
      </c>
      <c r="K30" s="228">
        <v>1</v>
      </c>
      <c r="L30" s="221"/>
      <c r="M30" s="205"/>
      <c r="N30" s="205"/>
      <c r="O30" s="220"/>
      <c r="P30" s="224"/>
      <c r="Q30" s="169" t="str">
        <f t="shared" ref="Q30:Q40" si="37">B30</f>
        <v>土地级别</v>
      </c>
      <c r="R30" s="271" t="s">
        <v>1440</v>
      </c>
      <c r="S30" s="272">
        <f t="shared" ref="S30:W30" si="38">F30</f>
        <v>97</v>
      </c>
      <c r="T30" s="271" t="s">
        <v>1440</v>
      </c>
      <c r="U30" s="272">
        <f t="shared" si="38"/>
        <v>97</v>
      </c>
      <c r="V30" s="271" t="s">
        <v>1440</v>
      </c>
      <c r="W30" s="272">
        <f t="shared" si="38"/>
        <v>100</v>
      </c>
      <c r="X30" s="258"/>
      <c r="Y30" s="224"/>
      <c r="Z30" s="244" t="str">
        <f t="shared" ref="Z30:Z40" si="39">Q30</f>
        <v>土地级别</v>
      </c>
      <c r="AA30" s="287">
        <f t="shared" ref="AA30:AA40" si="40">D30/F30</f>
        <v>1.03092783505155</v>
      </c>
      <c r="AB30" s="287">
        <f t="shared" ref="AB30:AB40" si="41">D30/H30</f>
        <v>1.03092783505155</v>
      </c>
      <c r="AC30" s="287">
        <f t="shared" ref="AC30:AC40" si="42">D30/J30</f>
        <v>1</v>
      </c>
    </row>
    <row r="31" ht="15" spans="1:29">
      <c r="A31" s="42"/>
      <c r="B31" s="109">
        <v>111</v>
      </c>
      <c r="C31" s="77"/>
      <c r="D31" s="79">
        <v>100</v>
      </c>
      <c r="E31" s="110"/>
      <c r="F31" s="79">
        <f>SUMIF(101:101,E31,102:102)-SUMIF(101:101,C31,102:102)+100</f>
        <v>100</v>
      </c>
      <c r="G31" s="110"/>
      <c r="H31" s="79">
        <f>SUMIF(101:101,G31,102:102)-SUMIF(101:101,C31,102:102)+100</f>
        <v>100</v>
      </c>
      <c r="I31" s="76"/>
      <c r="J31" s="79">
        <f>SUMIF(101:101,I31,102:102)-SUMIF(101:101,C31,102:102)+100</f>
        <v>100</v>
      </c>
      <c r="K31" s="227"/>
      <c r="L31" s="221"/>
      <c r="M31" s="205"/>
      <c r="N31" s="205"/>
      <c r="O31" s="220"/>
      <c r="P31" s="224"/>
      <c r="Q31" s="169">
        <f t="shared" si="37"/>
        <v>111</v>
      </c>
      <c r="R31" s="271" t="s">
        <v>1440</v>
      </c>
      <c r="S31" s="272">
        <f t="shared" ref="S31:W31" si="43">F31</f>
        <v>100</v>
      </c>
      <c r="T31" s="271" t="s">
        <v>1440</v>
      </c>
      <c r="U31" s="272">
        <f t="shared" si="43"/>
        <v>100</v>
      </c>
      <c r="V31" s="271" t="s">
        <v>1440</v>
      </c>
      <c r="W31" s="272">
        <f t="shared" si="43"/>
        <v>100</v>
      </c>
      <c r="X31" s="258"/>
      <c r="Y31" s="224"/>
      <c r="Z31" s="244">
        <f t="shared" si="39"/>
        <v>111</v>
      </c>
      <c r="AA31" s="287">
        <f t="shared" si="40"/>
        <v>1</v>
      </c>
      <c r="AB31" s="287">
        <f t="shared" si="41"/>
        <v>1</v>
      </c>
      <c r="AC31" s="287">
        <f t="shared" si="42"/>
        <v>1</v>
      </c>
    </row>
    <row r="32" ht="15" spans="1:29">
      <c r="A32" s="111"/>
      <c r="B32" s="112">
        <v>111</v>
      </c>
      <c r="C32" s="77"/>
      <c r="D32" s="79">
        <v>100</v>
      </c>
      <c r="E32" s="110"/>
      <c r="F32" s="79">
        <f>SUMIF(103:103,E33,104:104)-SUMIF(103:103,C33,104:104)+100</f>
        <v>100</v>
      </c>
      <c r="G32" s="110"/>
      <c r="H32" s="79">
        <f>SUMIF(103:103,G32,104:104)-SUMIF(103:103,C32,104:104)+100</f>
        <v>100</v>
      </c>
      <c r="I32" s="77"/>
      <c r="J32" s="79">
        <f>SUMIF(103:103,I32,104:104)-SUMIF(103:103,C32,104:104)+100</f>
        <v>100</v>
      </c>
      <c r="K32" s="227"/>
      <c r="L32" s="221"/>
      <c r="M32" s="205"/>
      <c r="N32" s="205"/>
      <c r="O32" s="220"/>
      <c r="P32" s="229" t="s">
        <v>1461</v>
      </c>
      <c r="Q32" s="169">
        <f t="shared" si="37"/>
        <v>111</v>
      </c>
      <c r="R32" s="271" t="s">
        <v>1440</v>
      </c>
      <c r="S32" s="272">
        <f t="shared" ref="S32:W32" si="44">F32</f>
        <v>100</v>
      </c>
      <c r="T32" s="271" t="s">
        <v>1440</v>
      </c>
      <c r="U32" s="272">
        <f t="shared" si="44"/>
        <v>100</v>
      </c>
      <c r="V32" s="271" t="s">
        <v>1440</v>
      </c>
      <c r="W32" s="272">
        <f t="shared" si="44"/>
        <v>100</v>
      </c>
      <c r="X32" s="258"/>
      <c r="Y32" s="232" t="s">
        <v>1461</v>
      </c>
      <c r="Z32" s="244">
        <f t="shared" si="39"/>
        <v>111</v>
      </c>
      <c r="AA32" s="287">
        <f t="shared" si="40"/>
        <v>1</v>
      </c>
      <c r="AB32" s="287">
        <f t="shared" si="41"/>
        <v>1</v>
      </c>
      <c r="AC32" s="287">
        <f t="shared" si="42"/>
        <v>1</v>
      </c>
    </row>
    <row r="33" s="17" customFormat="1" ht="15.75" spans="1:29">
      <c r="A33" s="113"/>
      <c r="B33" s="114">
        <v>111</v>
      </c>
      <c r="C33" s="115"/>
      <c r="D33" s="116">
        <v>100</v>
      </c>
      <c r="E33" s="117"/>
      <c r="F33" s="83">
        <f>SUMIF(105:105,E33,106:106)-SUMIF(105:105,C33,106:106)+100</f>
        <v>100</v>
      </c>
      <c r="G33" s="117"/>
      <c r="H33" s="83">
        <f>SUMIF(105:105,G33,106:106)-SUMIF(105:105,C33,106:106)+100</f>
        <v>100</v>
      </c>
      <c r="I33" s="115"/>
      <c r="J33" s="83">
        <f>SUMIF(105:105,I33,106:106)-SUMIF(105:105,C33,106:106)+100</f>
        <v>100</v>
      </c>
      <c r="K33" s="227"/>
      <c r="L33" s="219"/>
      <c r="M33" s="230"/>
      <c r="N33" s="230"/>
      <c r="O33" s="231"/>
      <c r="P33" s="232"/>
      <c r="Q33" s="169">
        <f t="shared" si="37"/>
        <v>111</v>
      </c>
      <c r="R33" s="273" t="s">
        <v>1440</v>
      </c>
      <c r="S33" s="274">
        <f t="shared" ref="S33:W33" si="45">F33</f>
        <v>100</v>
      </c>
      <c r="T33" s="273" t="s">
        <v>1440</v>
      </c>
      <c r="U33" s="274">
        <f t="shared" si="45"/>
        <v>100</v>
      </c>
      <c r="V33" s="273" t="s">
        <v>1440</v>
      </c>
      <c r="W33" s="274">
        <f t="shared" si="45"/>
        <v>100</v>
      </c>
      <c r="X33" s="275"/>
      <c r="Y33" s="232"/>
      <c r="Z33" s="288">
        <f t="shared" si="39"/>
        <v>111</v>
      </c>
      <c r="AA33" s="287">
        <f t="shared" si="40"/>
        <v>1</v>
      </c>
      <c r="AB33" s="287">
        <f t="shared" si="41"/>
        <v>1</v>
      </c>
      <c r="AC33" s="287">
        <f t="shared" si="42"/>
        <v>1</v>
      </c>
    </row>
    <row r="34" ht="15" spans="1:29">
      <c r="A34" s="84" t="s">
        <v>1459</v>
      </c>
      <c r="B34" s="118" t="s">
        <v>1565</v>
      </c>
      <c r="C34" s="119">
        <f>'数据-汇总表'!D6</f>
        <v>15415.9</v>
      </c>
      <c r="D34" s="120">
        <v>100</v>
      </c>
      <c r="E34" s="119">
        <f>土地案例!D7</f>
        <v>16627.21</v>
      </c>
      <c r="F34" s="120">
        <f>LOOKUP(E34,108:108,109:109)-LOOKUP(C34,108:108,109:109)+100</f>
        <v>100</v>
      </c>
      <c r="G34" s="119">
        <f>土地案例!D9</f>
        <v>19340</v>
      </c>
      <c r="H34" s="120">
        <f>LOOKUP(G34,108:108,109:109)-LOOKUP(C34,108:108,109:109)+100</f>
        <v>100</v>
      </c>
      <c r="I34" s="233">
        <f>土地案例!D20</f>
        <v>59880.32</v>
      </c>
      <c r="J34" s="120">
        <f>LOOKUP(I34,108:108,109:109)-LOOKUP(C34,108:108,109:109)+100</f>
        <v>104</v>
      </c>
      <c r="K34" s="227"/>
      <c r="L34" s="221"/>
      <c r="M34" s="205"/>
      <c r="N34" s="205"/>
      <c r="O34" s="220"/>
      <c r="P34" s="232"/>
      <c r="Q34" s="169" t="str">
        <f t="shared" si="37"/>
        <v>宗地面积</v>
      </c>
      <c r="R34" s="271" t="s">
        <v>1440</v>
      </c>
      <c r="S34" s="272">
        <f t="shared" ref="S34:W34" si="46">F34</f>
        <v>100</v>
      </c>
      <c r="T34" s="271" t="s">
        <v>1440</v>
      </c>
      <c r="U34" s="272">
        <f t="shared" si="46"/>
        <v>100</v>
      </c>
      <c r="V34" s="271" t="s">
        <v>1440</v>
      </c>
      <c r="W34" s="272">
        <f t="shared" si="46"/>
        <v>104</v>
      </c>
      <c r="X34" s="258"/>
      <c r="Y34" s="232"/>
      <c r="Z34" s="244" t="str">
        <f t="shared" si="39"/>
        <v>宗地面积</v>
      </c>
      <c r="AA34" s="287">
        <f t="shared" si="40"/>
        <v>1</v>
      </c>
      <c r="AB34" s="287">
        <f t="shared" si="41"/>
        <v>1</v>
      </c>
      <c r="AC34" s="287">
        <f t="shared" si="42"/>
        <v>0.961538461538462</v>
      </c>
    </row>
    <row r="35" ht="15" spans="1:29">
      <c r="A35" s="121"/>
      <c r="B35" s="67" t="s">
        <v>1566</v>
      </c>
      <c r="C35" s="122"/>
      <c r="D35" s="79">
        <v>100</v>
      </c>
      <c r="E35" s="122"/>
      <c r="F35" s="79">
        <f>SUMIF(110:110,E35,111:111)-SUMIF(110:110,C35,111:111)+100</f>
        <v>100</v>
      </c>
      <c r="G35" s="122"/>
      <c r="H35" s="79">
        <f>SUMIF(110:110,G35,111:111)-SUMIF(110:110,C35,111:111)+100</f>
        <v>100</v>
      </c>
      <c r="I35" s="122"/>
      <c r="J35" s="79">
        <f>SUMIF(110:110,I35,111:111)-SUMIF(110:110,C35,111:111)+100</f>
        <v>100</v>
      </c>
      <c r="K35" s="228"/>
      <c r="L35" s="221"/>
      <c r="M35" s="205"/>
      <c r="N35" s="205"/>
      <c r="O35" s="220"/>
      <c r="P35" s="232"/>
      <c r="Q35" s="169" t="str">
        <f t="shared" si="37"/>
        <v>宗地形状</v>
      </c>
      <c r="R35" s="271" t="s">
        <v>1440</v>
      </c>
      <c r="S35" s="272">
        <f t="shared" ref="S35:W35" si="47">F35</f>
        <v>100</v>
      </c>
      <c r="T35" s="271" t="s">
        <v>1440</v>
      </c>
      <c r="U35" s="272">
        <f t="shared" si="47"/>
        <v>100</v>
      </c>
      <c r="V35" s="271" t="s">
        <v>1440</v>
      </c>
      <c r="W35" s="272">
        <f t="shared" si="47"/>
        <v>100</v>
      </c>
      <c r="X35" s="258"/>
      <c r="Y35" s="232"/>
      <c r="Z35" s="244" t="str">
        <f t="shared" si="39"/>
        <v>宗地形状</v>
      </c>
      <c r="AA35" s="287">
        <f t="shared" si="40"/>
        <v>1</v>
      </c>
      <c r="AB35" s="287">
        <f t="shared" si="41"/>
        <v>1</v>
      </c>
      <c r="AC35" s="287">
        <f t="shared" si="42"/>
        <v>1</v>
      </c>
    </row>
    <row r="36" s="15" customFormat="1" ht="15" spans="1:29">
      <c r="A36" s="123"/>
      <c r="B36" s="67" t="s">
        <v>1568</v>
      </c>
      <c r="C36" s="124" t="s">
        <v>246</v>
      </c>
      <c r="D36" s="69">
        <v>100</v>
      </c>
      <c r="E36" s="124" t="s">
        <v>236</v>
      </c>
      <c r="F36" s="79">
        <f>SUMIF(112:112,E36,113:113)-SUMIF(112:112,C36,113:113)+100</f>
        <v>101</v>
      </c>
      <c r="G36" s="124" t="s">
        <v>236</v>
      </c>
      <c r="H36" s="79">
        <f>SUMIF(112:112,G36,113:113)-SUMIF(112:112,C36,113:113)+100</f>
        <v>101</v>
      </c>
      <c r="I36" s="124" t="s">
        <v>246</v>
      </c>
      <c r="J36" s="79">
        <f>SUMIF(112:112,I36,113:113)-SUMIF(112:112,C36,113:113)+100</f>
        <v>100</v>
      </c>
      <c r="K36" s="228">
        <v>1</v>
      </c>
      <c r="L36" s="210"/>
      <c r="M36" s="211"/>
      <c r="N36" s="211"/>
      <c r="O36" s="213"/>
      <c r="P36" s="232"/>
      <c r="Q36" s="169" t="str">
        <f t="shared" si="37"/>
        <v>宗地开发程度</v>
      </c>
      <c r="R36" s="266" t="s">
        <v>1440</v>
      </c>
      <c r="S36" s="267">
        <f t="shared" ref="S36:W36" si="48">F36</f>
        <v>101</v>
      </c>
      <c r="T36" s="266" t="s">
        <v>1440</v>
      </c>
      <c r="U36" s="267">
        <f t="shared" si="48"/>
        <v>101</v>
      </c>
      <c r="V36" s="266" t="s">
        <v>1440</v>
      </c>
      <c r="W36" s="267">
        <f t="shared" si="48"/>
        <v>100</v>
      </c>
      <c r="X36" s="268"/>
      <c r="Y36" s="232"/>
      <c r="Z36" s="286" t="str">
        <f t="shared" si="39"/>
        <v>宗地开发程度</v>
      </c>
      <c r="AA36" s="285">
        <f t="shared" si="40"/>
        <v>0.99009900990099</v>
      </c>
      <c r="AB36" s="285">
        <f t="shared" si="41"/>
        <v>0.99009900990099</v>
      </c>
      <c r="AC36" s="285">
        <f t="shared" si="42"/>
        <v>1</v>
      </c>
    </row>
    <row r="37" ht="15" spans="1:29">
      <c r="A37" s="121"/>
      <c r="B37" s="67" t="s">
        <v>1569</v>
      </c>
      <c r="C37" s="122"/>
      <c r="D37" s="79">
        <v>100</v>
      </c>
      <c r="E37" s="122"/>
      <c r="F37" s="79">
        <f>SUMIF(114:114,E37,115:115)-SUMIF(114:114,C37,115:115)+100</f>
        <v>100</v>
      </c>
      <c r="G37" s="122"/>
      <c r="H37" s="79">
        <f>SUMIF(114:114,G37,115:115)-SUMIF(114:114,C37,115:115)+100</f>
        <v>100</v>
      </c>
      <c r="I37" s="122"/>
      <c r="J37" s="79">
        <f>SUMIF(114:114,I37,115:115)-SUMIF(114:114,C37,115:115)+100</f>
        <v>100</v>
      </c>
      <c r="K37" s="228"/>
      <c r="L37" s="221"/>
      <c r="M37" s="205"/>
      <c r="N37" s="205"/>
      <c r="O37" s="220"/>
      <c r="P37" s="232" t="s">
        <v>1461</v>
      </c>
      <c r="Q37" s="169" t="str">
        <f t="shared" si="37"/>
        <v>工程地质条件</v>
      </c>
      <c r="R37" s="271" t="s">
        <v>1440</v>
      </c>
      <c r="S37" s="272">
        <f t="shared" ref="S37:W37" si="49">F37</f>
        <v>100</v>
      </c>
      <c r="T37" s="271" t="s">
        <v>1440</v>
      </c>
      <c r="U37" s="272">
        <f t="shared" si="49"/>
        <v>100</v>
      </c>
      <c r="V37" s="271" t="s">
        <v>1440</v>
      </c>
      <c r="W37" s="272">
        <f t="shared" si="49"/>
        <v>100</v>
      </c>
      <c r="X37" s="258"/>
      <c r="Y37" s="232" t="s">
        <v>1461</v>
      </c>
      <c r="Z37" s="244" t="str">
        <f t="shared" si="39"/>
        <v>工程地质条件</v>
      </c>
      <c r="AA37" s="287">
        <f t="shared" si="40"/>
        <v>1</v>
      </c>
      <c r="AB37" s="287">
        <f t="shared" si="41"/>
        <v>1</v>
      </c>
      <c r="AC37" s="287">
        <f t="shared" si="42"/>
        <v>1</v>
      </c>
    </row>
    <row r="38" ht="15" spans="1:29">
      <c r="A38" s="121"/>
      <c r="B38" s="125">
        <v>111</v>
      </c>
      <c r="C38" s="77"/>
      <c r="D38" s="79">
        <v>100</v>
      </c>
      <c r="E38" s="77"/>
      <c r="F38" s="79">
        <f>SUMIF(116:116,E38,117:117)-SUMIF(116:116,C38,117:117)+100</f>
        <v>100</v>
      </c>
      <c r="G38" s="77"/>
      <c r="H38" s="79">
        <f>SUMIF(116:116,G38,117:117)-SUMIF(116:116,C38,117:117)+100</f>
        <v>100</v>
      </c>
      <c r="I38" s="76"/>
      <c r="J38" s="79">
        <f>SUMIF(116:116,I38,117:117)-SUMIF(116:116,C38,117:117)+100</f>
        <v>100</v>
      </c>
      <c r="K38" s="227"/>
      <c r="L38" s="221"/>
      <c r="M38" s="205"/>
      <c r="N38" s="205"/>
      <c r="O38" s="220"/>
      <c r="P38" s="232"/>
      <c r="Q38" s="169">
        <f t="shared" si="37"/>
        <v>111</v>
      </c>
      <c r="R38" s="271" t="s">
        <v>1440</v>
      </c>
      <c r="S38" s="272">
        <f t="shared" ref="S38:W38" si="50">F38</f>
        <v>100</v>
      </c>
      <c r="T38" s="271" t="s">
        <v>1440</v>
      </c>
      <c r="U38" s="272">
        <f t="shared" si="50"/>
        <v>100</v>
      </c>
      <c r="V38" s="271" t="s">
        <v>1440</v>
      </c>
      <c r="W38" s="272">
        <f t="shared" si="50"/>
        <v>100</v>
      </c>
      <c r="X38" s="258"/>
      <c r="Y38" s="232"/>
      <c r="Z38" s="244">
        <f t="shared" si="39"/>
        <v>111</v>
      </c>
      <c r="AA38" s="287">
        <f t="shared" si="40"/>
        <v>1</v>
      </c>
      <c r="AB38" s="287">
        <f t="shared" si="41"/>
        <v>1</v>
      </c>
      <c r="AC38" s="287">
        <f t="shared" si="42"/>
        <v>1</v>
      </c>
    </row>
    <row r="39" ht="15" spans="1:29">
      <c r="A39" s="121"/>
      <c r="B39" s="125">
        <v>111</v>
      </c>
      <c r="C39" s="77"/>
      <c r="D39" s="79">
        <v>100</v>
      </c>
      <c r="E39" s="77"/>
      <c r="F39" s="79">
        <f>SUMIF(118:118,E39,119:119)-SUMIF(118:118,C39,119:119)+100</f>
        <v>100</v>
      </c>
      <c r="G39" s="77"/>
      <c r="H39" s="79">
        <f>SUMIF(118:118,G39,119:119)-SUMIF(118:118,C39,119:119)+100</f>
        <v>100</v>
      </c>
      <c r="I39" s="76"/>
      <c r="J39" s="79">
        <f>SUMIF(118:118,I39,119:119)-SUMIF(118:118,C39,119:119)+100</f>
        <v>100</v>
      </c>
      <c r="K39" s="227"/>
      <c r="L39" s="221"/>
      <c r="M39" s="205"/>
      <c r="N39" s="205"/>
      <c r="O39" s="220"/>
      <c r="P39" s="232"/>
      <c r="Q39" s="169">
        <f t="shared" si="37"/>
        <v>111</v>
      </c>
      <c r="R39" s="271" t="s">
        <v>1440</v>
      </c>
      <c r="S39" s="272">
        <f t="shared" ref="S39:W39" si="51">F39</f>
        <v>100</v>
      </c>
      <c r="T39" s="271" t="s">
        <v>1440</v>
      </c>
      <c r="U39" s="272">
        <f t="shared" si="51"/>
        <v>100</v>
      </c>
      <c r="V39" s="271" t="s">
        <v>1440</v>
      </c>
      <c r="W39" s="272">
        <f t="shared" si="51"/>
        <v>100</v>
      </c>
      <c r="X39" s="258"/>
      <c r="Y39" s="232"/>
      <c r="Z39" s="244">
        <f t="shared" si="39"/>
        <v>111</v>
      </c>
      <c r="AA39" s="287">
        <f t="shared" si="40"/>
        <v>1</v>
      </c>
      <c r="AB39" s="287">
        <f t="shared" si="41"/>
        <v>1</v>
      </c>
      <c r="AC39" s="287">
        <f t="shared" si="42"/>
        <v>1</v>
      </c>
    </row>
    <row r="40" s="17" customFormat="1" ht="15.75" spans="1:29">
      <c r="A40" s="126"/>
      <c r="B40" s="125">
        <v>111</v>
      </c>
      <c r="C40" s="127"/>
      <c r="D40" s="116">
        <v>100</v>
      </c>
      <c r="E40" s="77"/>
      <c r="F40" s="83">
        <f>SUMIF(120:120,E40,121:121)-SUMIF(120:120,C40,121:121)+100</f>
        <v>100</v>
      </c>
      <c r="G40" s="77"/>
      <c r="H40" s="83">
        <f>SUMIF(120:120,G40,121:121)-SUMIF(120:120,C40,121:121)+100</f>
        <v>100</v>
      </c>
      <c r="I40" s="76"/>
      <c r="J40" s="83">
        <f>SUMIF(120:120,I40,121:121)-SUMIF(120:120,C40,121:121)+100</f>
        <v>100</v>
      </c>
      <c r="K40" s="234"/>
      <c r="L40" s="219"/>
      <c r="M40" s="230"/>
      <c r="N40" s="230"/>
      <c r="O40" s="231"/>
      <c r="P40" s="232"/>
      <c r="Q40" s="169">
        <f t="shared" si="37"/>
        <v>111</v>
      </c>
      <c r="R40" s="273" t="s">
        <v>1440</v>
      </c>
      <c r="S40" s="274">
        <f t="shared" ref="S40:W40" si="52">F40</f>
        <v>100</v>
      </c>
      <c r="T40" s="273" t="s">
        <v>1440</v>
      </c>
      <c r="U40" s="274">
        <f t="shared" si="52"/>
        <v>100</v>
      </c>
      <c r="V40" s="273" t="s">
        <v>1440</v>
      </c>
      <c r="W40" s="274">
        <f t="shared" si="52"/>
        <v>100</v>
      </c>
      <c r="X40" s="275"/>
      <c r="Y40" s="232"/>
      <c r="Z40" s="288">
        <f t="shared" si="39"/>
        <v>111</v>
      </c>
      <c r="AA40" s="287">
        <f t="shared" si="40"/>
        <v>1</v>
      </c>
      <c r="AB40" s="287">
        <f t="shared" si="41"/>
        <v>1</v>
      </c>
      <c r="AC40" s="287">
        <f t="shared" si="42"/>
        <v>1</v>
      </c>
    </row>
    <row r="41" ht="14.4" spans="1:29">
      <c r="A41" s="128" t="s">
        <v>1552</v>
      </c>
      <c r="B41" s="129" t="s">
        <v>1606</v>
      </c>
      <c r="C41" s="130" t="s">
        <v>124</v>
      </c>
      <c r="D41" s="131"/>
      <c r="E41" s="132">
        <f>土地案例!T7</f>
        <v>4503</v>
      </c>
      <c r="F41" s="133"/>
      <c r="G41" s="134">
        <f>土地案例!T9</f>
        <v>4367</v>
      </c>
      <c r="H41" s="135"/>
      <c r="I41" s="132">
        <f>土地案例!T20</f>
        <v>3696</v>
      </c>
      <c r="J41" s="135"/>
      <c r="K41" s="235"/>
      <c r="L41" s="236"/>
      <c r="M41" s="205"/>
      <c r="N41" s="205"/>
      <c r="O41" s="145"/>
      <c r="P41" s="169" t="str">
        <f t="shared" ref="P41:P43" si="53">A41</f>
        <v>成交单价</v>
      </c>
      <c r="Q41" s="169"/>
      <c r="R41" s="244">
        <f t="shared" ref="R41:V41" si="54">E41</f>
        <v>4503</v>
      </c>
      <c r="S41" s="244"/>
      <c r="T41" s="244">
        <f t="shared" si="54"/>
        <v>4367</v>
      </c>
      <c r="U41" s="244"/>
      <c r="V41" s="244">
        <f t="shared" si="54"/>
        <v>3696</v>
      </c>
      <c r="W41" s="244"/>
      <c r="X41" s="193"/>
      <c r="Y41" s="289"/>
      <c r="Z41" s="193"/>
      <c r="AA41" s="193"/>
      <c r="AB41" s="193"/>
      <c r="AC41" s="193"/>
    </row>
    <row r="42" ht="15.15" spans="1:29">
      <c r="A42" s="136" t="s">
        <v>1473</v>
      </c>
      <c r="B42" s="137"/>
      <c r="C42" s="138">
        <f>R43</f>
        <v>3573</v>
      </c>
      <c r="D42" s="139" t="s">
        <v>1474</v>
      </c>
      <c r="E42" s="138">
        <f t="shared" ref="E42:I42" si="55">R42</f>
        <v>3904</v>
      </c>
      <c r="F42" s="140"/>
      <c r="G42" s="141">
        <f t="shared" si="55"/>
        <v>3905</v>
      </c>
      <c r="H42" s="140"/>
      <c r="I42" s="138">
        <f t="shared" si="55"/>
        <v>2911</v>
      </c>
      <c r="J42" s="140"/>
      <c r="K42" s="237">
        <f>F42+H42+J42</f>
        <v>0</v>
      </c>
      <c r="L42" s="236"/>
      <c r="M42" s="205"/>
      <c r="N42" s="205"/>
      <c r="O42" s="145"/>
      <c r="P42" s="169" t="str">
        <f t="shared" si="53"/>
        <v>比较价值（元/平方米）</v>
      </c>
      <c r="Q42" s="169"/>
      <c r="R42" s="276">
        <f>ROUND(PRODUCT(R41,AA7:AA40),0)</f>
        <v>3904</v>
      </c>
      <c r="S42" s="276"/>
      <c r="T42" s="276">
        <f>ROUND(PRODUCT(T41,AB7:AB40),0)</f>
        <v>3905</v>
      </c>
      <c r="U42" s="276"/>
      <c r="V42" s="276">
        <f>ROUND(PRODUCT(V41,AC7:AC40),0)</f>
        <v>2911</v>
      </c>
      <c r="W42" s="276"/>
      <c r="X42" s="193"/>
      <c r="Y42" s="193"/>
      <c r="Z42" s="193"/>
      <c r="AA42" s="193"/>
      <c r="AB42" s="193"/>
      <c r="AC42" s="193"/>
    </row>
    <row r="43" ht="15.15" spans="1:29">
      <c r="A43" s="142" t="s">
        <v>1475</v>
      </c>
      <c r="B43" s="143"/>
      <c r="C43" s="144">
        <f>R43</f>
        <v>3573</v>
      </c>
      <c r="D43" s="144"/>
      <c r="E43" s="144"/>
      <c r="F43" s="144"/>
      <c r="G43" s="144"/>
      <c r="H43" s="144"/>
      <c r="I43" s="144"/>
      <c r="J43" s="144"/>
      <c r="K43" s="238"/>
      <c r="L43" s="236"/>
      <c r="M43" s="205"/>
      <c r="N43" s="205"/>
      <c r="O43" s="145"/>
      <c r="P43" s="239" t="str">
        <f t="shared" si="53"/>
        <v>估价对象XX用房的比较价值（楼面单价，元/平方米）</v>
      </c>
      <c r="Q43" s="277"/>
      <c r="R43" s="278">
        <f>ROUND(IF(D42="简单平均",AVERAGE(R42:W42),R42*F42+T42*H42+V42*J42),0)</f>
        <v>3573</v>
      </c>
      <c r="S43" s="278"/>
      <c r="T43" s="278"/>
      <c r="U43" s="278"/>
      <c r="V43" s="278"/>
      <c r="W43" s="278"/>
      <c r="X43" s="193"/>
      <c r="Y43" s="193"/>
      <c r="Z43" s="193"/>
      <c r="AA43" s="193"/>
      <c r="AB43" s="193"/>
      <c r="AC43" s="193"/>
    </row>
    <row r="44" spans="1:31">
      <c r="A44" s="145"/>
      <c r="B44" s="145"/>
      <c r="C44" s="145"/>
      <c r="D44" s="145"/>
      <c r="E44" s="145"/>
      <c r="F44" s="145"/>
      <c r="G44" s="146"/>
      <c r="H44" s="145"/>
      <c r="I44" s="145"/>
      <c r="J44" s="145"/>
      <c r="K44" s="240"/>
      <c r="L44" s="241"/>
      <c r="M44" s="205"/>
      <c r="N44" s="205"/>
      <c r="O44" s="145"/>
      <c r="P44" s="145"/>
      <c r="Q44" s="145"/>
      <c r="R44" s="145"/>
      <c r="S44" s="145"/>
      <c r="T44" s="145"/>
      <c r="U44" s="145"/>
      <c r="V44" s="145"/>
      <c r="W44" s="145"/>
      <c r="X44" s="145"/>
      <c r="Y44" s="145"/>
      <c r="Z44" s="145"/>
      <c r="AA44" s="145"/>
      <c r="AB44" s="145"/>
      <c r="AC44" s="145"/>
      <c r="AD44" s="145"/>
      <c r="AE44" s="145"/>
    </row>
    <row r="45" spans="1:31">
      <c r="A45" s="145"/>
      <c r="B45" s="145"/>
      <c r="C45" s="145"/>
      <c r="D45" s="145"/>
      <c r="E45" s="145"/>
      <c r="F45" s="145"/>
      <c r="G45" s="145"/>
      <c r="H45" s="145"/>
      <c r="I45" s="145"/>
      <c r="J45" s="145"/>
      <c r="K45" s="240"/>
      <c r="L45" s="241"/>
      <c r="M45" s="205"/>
      <c r="N45" s="205"/>
      <c r="O45" s="145"/>
      <c r="P45" s="145"/>
      <c r="Q45" s="145"/>
      <c r="R45" s="145"/>
      <c r="S45" s="145"/>
      <c r="T45" s="145"/>
      <c r="U45" s="145"/>
      <c r="V45" s="145"/>
      <c r="W45" s="145"/>
      <c r="X45" s="145"/>
      <c r="Y45" s="145"/>
      <c r="Z45" s="145"/>
      <c r="AA45" s="145"/>
      <c r="AB45" s="145"/>
      <c r="AC45" s="145"/>
      <c r="AD45" s="145"/>
      <c r="AE45" s="145"/>
    </row>
    <row r="46" ht="13.5" customHeight="1" spans="1:31">
      <c r="A46" s="145"/>
      <c r="B46" s="145"/>
      <c r="C46" s="147" t="s">
        <v>1476</v>
      </c>
      <c r="D46" s="148"/>
      <c r="E46" s="149">
        <f t="shared" ref="E46:I46" si="56">IF(E41&lt;E42,E42/E41-1,E41/E42-1)</f>
        <v>0.15343237704918</v>
      </c>
      <c r="F46" s="150" t="str">
        <f t="shared" ref="F46:J46" si="57">IF(OR(E46&gt;=0.3,E46&lt;=-0.3),"超过30%","")</f>
        <v/>
      </c>
      <c r="G46" s="149">
        <f t="shared" si="56"/>
        <v>0.11830985915493</v>
      </c>
      <c r="H46" s="150" t="str">
        <f t="shared" si="57"/>
        <v/>
      </c>
      <c r="I46" s="149">
        <f t="shared" si="56"/>
        <v>0.269666781174854</v>
      </c>
      <c r="J46" s="150" t="str">
        <f t="shared" si="57"/>
        <v/>
      </c>
      <c r="K46" s="240"/>
      <c r="L46" s="241"/>
      <c r="M46" s="205"/>
      <c r="N46" s="205"/>
      <c r="O46" s="145"/>
      <c r="P46" s="145"/>
      <c r="Q46" s="145"/>
      <c r="R46" s="145"/>
      <c r="S46" s="145"/>
      <c r="T46" s="145"/>
      <c r="U46" s="145"/>
      <c r="V46" s="145"/>
      <c r="W46" s="145"/>
      <c r="X46" s="145"/>
      <c r="Y46" s="145"/>
      <c r="Z46" s="145"/>
      <c r="AA46" s="145"/>
      <c r="AB46" s="145"/>
      <c r="AC46" s="145"/>
      <c r="AD46" s="145"/>
      <c r="AE46" s="145"/>
    </row>
    <row r="47" ht="13.5" customHeight="1" spans="1:31">
      <c r="A47" s="145"/>
      <c r="B47" s="145"/>
      <c r="C47" s="147" t="s">
        <v>1477</v>
      </c>
      <c r="D47" s="151"/>
      <c r="E47" s="149">
        <f>IF(E42&lt;G42,G42/E42-1,E42/G42-1)</f>
        <v>0.000256147540983687</v>
      </c>
      <c r="F47" s="150" t="str">
        <f t="shared" ref="F47:J47" si="58">IF(OR(E47&gt;=0.2,E47&lt;=-0.2),"超过20%","")</f>
        <v/>
      </c>
      <c r="G47" s="149">
        <f>IF(G42&lt;I42,I42/G42-1,G42/I42-1)</f>
        <v>0.341463414634146</v>
      </c>
      <c r="H47" s="150" t="str">
        <f t="shared" si="58"/>
        <v>超过20%</v>
      </c>
      <c r="I47" s="149">
        <f>IF(I42&lt;E42,E42/I42-1,I42/E42-1)</f>
        <v>0.34111989007214</v>
      </c>
      <c r="J47" s="150" t="str">
        <f t="shared" si="58"/>
        <v>超过20%</v>
      </c>
      <c r="K47" s="240"/>
      <c r="L47" s="241"/>
      <c r="M47" s="145"/>
      <c r="N47" s="145"/>
      <c r="O47" s="145"/>
      <c r="P47" s="145"/>
      <c r="Q47" s="145"/>
      <c r="R47" s="145"/>
      <c r="S47" s="145"/>
      <c r="T47" s="145"/>
      <c r="U47" s="145"/>
      <c r="V47" s="145"/>
      <c r="W47" s="145"/>
      <c r="X47" s="145"/>
      <c r="Y47" s="145"/>
      <c r="Z47" s="145"/>
      <c r="AA47" s="145"/>
      <c r="AB47" s="145"/>
      <c r="AC47" s="145"/>
      <c r="AD47" s="145"/>
      <c r="AE47" s="145"/>
    </row>
    <row r="48" s="18" customFormat="1" ht="13.5" customHeight="1" spans="1:31">
      <c r="A48" s="152"/>
      <c r="B48" s="152"/>
      <c r="C48" s="147" t="s">
        <v>1478</v>
      </c>
      <c r="D48" s="151"/>
      <c r="E48" s="149">
        <f>IF(E41&lt;G41,G41/E41-1,E41/G41-1)</f>
        <v>0.0311426608655827</v>
      </c>
      <c r="F48" s="150" t="str">
        <f t="shared" ref="F48:J48" si="59">IF(OR(E48&gt;=0.3,E48&lt;=-0.3),"超过30%","")</f>
        <v/>
      </c>
      <c r="G48" s="149">
        <f>IF(G41&lt;I41,I41/G41-1,G41/I41-1)</f>
        <v>0.181547619047619</v>
      </c>
      <c r="H48" s="150" t="str">
        <f t="shared" si="59"/>
        <v/>
      </c>
      <c r="I48" s="149">
        <f>IF(I41&lt;E41,E41/I41-1,I41/E41-1)</f>
        <v>0.218344155844156</v>
      </c>
      <c r="J48" s="150" t="str">
        <f t="shared" si="59"/>
        <v/>
      </c>
      <c r="K48" s="242"/>
      <c r="L48" s="243"/>
      <c r="M48" s="152"/>
      <c r="N48" s="152"/>
      <c r="O48" s="152"/>
      <c r="P48" s="152"/>
      <c r="Q48" s="152"/>
      <c r="R48" s="152"/>
      <c r="S48" s="152"/>
      <c r="T48" s="152"/>
      <c r="U48" s="152"/>
      <c r="V48" s="152"/>
      <c r="W48" s="152"/>
      <c r="X48" s="152"/>
      <c r="Y48" s="152"/>
      <c r="Z48" s="152"/>
      <c r="AA48" s="152"/>
      <c r="AB48" s="152"/>
      <c r="AC48" s="152"/>
      <c r="AD48" s="152"/>
      <c r="AE48" s="152"/>
    </row>
    <row r="49" s="18" customFormat="1" ht="14.55" spans="1:31">
      <c r="A49" s="152"/>
      <c r="B49" s="153"/>
      <c r="C49" s="154"/>
      <c r="D49" s="155"/>
      <c r="E49" s="155"/>
      <c r="F49" s="155"/>
      <c r="G49" s="155"/>
      <c r="H49" s="155"/>
      <c r="I49" s="155"/>
      <c r="J49" s="155"/>
      <c r="K49" s="242"/>
      <c r="L49" s="243"/>
      <c r="M49" s="152"/>
      <c r="N49" s="152"/>
      <c r="O49" s="152"/>
      <c r="P49" s="152"/>
      <c r="Q49" s="152"/>
      <c r="R49" s="152"/>
      <c r="S49" s="152"/>
      <c r="T49" s="152"/>
      <c r="U49" s="152"/>
      <c r="V49" s="152"/>
      <c r="W49" s="152"/>
      <c r="X49" s="152"/>
      <c r="Y49" s="152"/>
      <c r="Z49" s="152"/>
      <c r="AA49" s="152"/>
      <c r="AB49" s="152"/>
      <c r="AC49" s="152"/>
      <c r="AD49" s="152"/>
      <c r="AE49" s="152"/>
    </row>
    <row r="50" ht="28.8" spans="1:31">
      <c r="A50" s="156" t="s">
        <v>1572</v>
      </c>
      <c r="B50" s="157" t="s">
        <v>1573</v>
      </c>
      <c r="C50" s="158" t="s">
        <v>1574</v>
      </c>
      <c r="D50" s="159" t="s">
        <v>1575</v>
      </c>
      <c r="E50" s="160" t="s">
        <v>1576</v>
      </c>
      <c r="F50" s="161" t="s">
        <v>1577</v>
      </c>
      <c r="G50" s="38" t="s">
        <v>1578</v>
      </c>
      <c r="H50" s="162"/>
      <c r="I50" s="244" t="s">
        <v>1607</v>
      </c>
      <c r="J50" s="244">
        <f>项目基本情况!F35</f>
        <v>0</v>
      </c>
      <c r="K50" s="245" t="s">
        <v>1580</v>
      </c>
      <c r="L50" s="241"/>
      <c r="M50" s="145"/>
      <c r="N50" s="145"/>
      <c r="O50" s="145"/>
      <c r="P50" s="145"/>
      <c r="Q50" s="145"/>
      <c r="R50" s="145"/>
      <c r="S50" s="145"/>
      <c r="T50" s="145"/>
      <c r="U50" s="145"/>
      <c r="V50" s="145"/>
      <c r="W50" s="145"/>
      <c r="X50" s="145"/>
      <c r="Y50" s="145"/>
      <c r="Z50" s="145"/>
      <c r="AA50" s="145"/>
      <c r="AB50" s="145"/>
      <c r="AC50" s="145"/>
      <c r="AD50" s="145"/>
      <c r="AE50" s="145"/>
    </row>
    <row r="51" s="19" customFormat="1" spans="1:31">
      <c r="A51" s="163" t="s">
        <v>1581</v>
      </c>
      <c r="B51" s="164">
        <f>C43</f>
        <v>3573</v>
      </c>
      <c r="C51" s="165">
        <v>1</v>
      </c>
      <c r="D51" s="166">
        <v>1</v>
      </c>
      <c r="E51" s="165">
        <f>'数据-汇总表'!E8+'数据-汇总表'!E9</f>
        <v>4363.97</v>
      </c>
      <c r="F51" s="167">
        <f t="shared" ref="F51:F54" si="60">ROUND(B51*E51/10000,0)</f>
        <v>1559</v>
      </c>
      <c r="G51" s="168"/>
      <c r="H51" s="169"/>
      <c r="I51" s="246">
        <v>1</v>
      </c>
      <c r="J51" s="246">
        <v>1</v>
      </c>
      <c r="K51" s="152"/>
      <c r="L51" s="247"/>
      <c r="M51" s="247"/>
      <c r="N51" s="247"/>
      <c r="O51" s="247"/>
      <c r="P51" s="247"/>
      <c r="Q51" s="247"/>
      <c r="R51" s="247"/>
      <c r="S51" s="247"/>
      <c r="T51" s="247"/>
      <c r="U51" s="247"/>
      <c r="V51" s="247"/>
      <c r="W51" s="247"/>
      <c r="X51" s="247"/>
      <c r="Y51" s="247"/>
      <c r="Z51" s="247"/>
      <c r="AA51" s="247"/>
      <c r="AB51" s="247"/>
      <c r="AC51" s="247"/>
      <c r="AD51" s="247"/>
      <c r="AE51" s="247"/>
    </row>
    <row r="52" s="19" customFormat="1" spans="1:31">
      <c r="A52" s="170" t="s">
        <v>1582</v>
      </c>
      <c r="B52" s="171">
        <f t="shared" ref="B52:B54" si="61">ROUND($C$43*C52*D52,0)</f>
        <v>0</v>
      </c>
      <c r="C52" s="172">
        <f t="shared" ref="C52:C54" si="62">IF($C$50="北京市系数",I52,J52)</f>
        <v>0</v>
      </c>
      <c r="D52" s="173">
        <v>0.25</v>
      </c>
      <c r="E52" s="174"/>
      <c r="F52" s="167">
        <f t="shared" si="60"/>
        <v>0</v>
      </c>
      <c r="G52" s="175" t="s">
        <v>1583</v>
      </c>
      <c r="H52" s="176">
        <f>项目基本情况!B37</f>
        <v>0</v>
      </c>
      <c r="I52" s="246">
        <f>SUMIF(修正!A57:A68,H52,修正!B57:B68)</f>
        <v>0</v>
      </c>
      <c r="J52" s="248"/>
      <c r="K52" s="145"/>
      <c r="L52" s="247"/>
      <c r="M52" s="247"/>
      <c r="N52" s="247"/>
      <c r="O52" s="247"/>
      <c r="P52" s="247"/>
      <c r="Q52" s="247"/>
      <c r="R52" s="247"/>
      <c r="S52" s="247"/>
      <c r="T52" s="247"/>
      <c r="U52" s="247"/>
      <c r="V52" s="247"/>
      <c r="W52" s="247"/>
      <c r="X52" s="247"/>
      <c r="Y52" s="247"/>
      <c r="Z52" s="247"/>
      <c r="AA52" s="247"/>
      <c r="AB52" s="247"/>
      <c r="AC52" s="247"/>
      <c r="AD52" s="247"/>
      <c r="AE52" s="247"/>
    </row>
    <row r="53" s="19" customFormat="1" spans="1:31">
      <c r="A53" s="170" t="s">
        <v>1584</v>
      </c>
      <c r="B53" s="171">
        <f t="shared" si="61"/>
        <v>0</v>
      </c>
      <c r="C53" s="172">
        <f t="shared" si="62"/>
        <v>0</v>
      </c>
      <c r="D53" s="173">
        <v>0.25</v>
      </c>
      <c r="E53" s="174"/>
      <c r="F53" s="167">
        <f t="shared" si="60"/>
        <v>0</v>
      </c>
      <c r="G53" s="177"/>
      <c r="H53" s="176">
        <f>项目基本情况!B37</f>
        <v>0</v>
      </c>
      <c r="I53" s="246">
        <f>SUMIF(修正!A57:A68,H53,修正!C57:C68)</f>
        <v>0</v>
      </c>
      <c r="J53" s="248"/>
      <c r="K53" s="152"/>
      <c r="L53" s="247"/>
      <c r="M53" s="247"/>
      <c r="N53" s="247"/>
      <c r="O53" s="247"/>
      <c r="P53" s="247"/>
      <c r="Q53" s="247"/>
      <c r="R53" s="247"/>
      <c r="S53" s="247"/>
      <c r="T53" s="247"/>
      <c r="U53" s="247"/>
      <c r="V53" s="247"/>
      <c r="W53" s="247"/>
      <c r="X53" s="247"/>
      <c r="Y53" s="247"/>
      <c r="Z53" s="247"/>
      <c r="AA53" s="247"/>
      <c r="AB53" s="247"/>
      <c r="AC53" s="247"/>
      <c r="AD53" s="247"/>
      <c r="AE53" s="247"/>
    </row>
    <row r="54" s="19" customFormat="1" spans="1:31">
      <c r="A54" s="170" t="s">
        <v>1585</v>
      </c>
      <c r="B54" s="171">
        <f t="shared" si="61"/>
        <v>0</v>
      </c>
      <c r="C54" s="172">
        <f t="shared" si="62"/>
        <v>0</v>
      </c>
      <c r="D54" s="173">
        <v>0.25</v>
      </c>
      <c r="E54" s="174"/>
      <c r="F54" s="167">
        <f t="shared" si="60"/>
        <v>0</v>
      </c>
      <c r="G54" s="177"/>
      <c r="H54" s="176">
        <f>项目基本情况!B37</f>
        <v>0</v>
      </c>
      <c r="I54" s="246">
        <f>SUMIF(修正!A57:A68,H54,修正!D57:D68)</f>
        <v>0</v>
      </c>
      <c r="J54" s="248"/>
      <c r="K54" s="145"/>
      <c r="L54" s="247"/>
      <c r="M54" s="247"/>
      <c r="N54" s="247"/>
      <c r="O54" s="247"/>
      <c r="P54" s="247"/>
      <c r="Q54" s="247"/>
      <c r="R54" s="247"/>
      <c r="S54" s="247"/>
      <c r="T54" s="247"/>
      <c r="U54" s="247"/>
      <c r="V54" s="247"/>
      <c r="W54" s="247"/>
      <c r="X54" s="247"/>
      <c r="Y54" s="247"/>
      <c r="Z54" s="247"/>
      <c r="AA54" s="247"/>
      <c r="AB54" s="247"/>
      <c r="AC54" s="247"/>
      <c r="AD54" s="247"/>
      <c r="AE54" s="247"/>
    </row>
    <row r="55" s="19" customFormat="1" hidden="1" spans="1:31">
      <c r="A55" s="170"/>
      <c r="B55" s="171"/>
      <c r="C55" s="172"/>
      <c r="D55" s="173"/>
      <c r="E55" s="174"/>
      <c r="F55" s="167"/>
      <c r="G55" s="178"/>
      <c r="H55" s="176"/>
      <c r="I55" s="246"/>
      <c r="J55" s="248"/>
      <c r="K55" s="152"/>
      <c r="L55" s="247"/>
      <c r="M55" s="247"/>
      <c r="N55" s="247"/>
      <c r="O55" s="247"/>
      <c r="P55" s="247"/>
      <c r="Q55" s="247"/>
      <c r="R55" s="247"/>
      <c r="S55" s="247"/>
      <c r="T55" s="247"/>
      <c r="U55" s="247"/>
      <c r="V55" s="247"/>
      <c r="W55" s="247"/>
      <c r="X55" s="247"/>
      <c r="Y55" s="247"/>
      <c r="Z55" s="247"/>
      <c r="AA55" s="247"/>
      <c r="AB55" s="247"/>
      <c r="AC55" s="247"/>
      <c r="AD55" s="247"/>
      <c r="AE55" s="247"/>
    </row>
    <row r="56" s="19" customFormat="1" spans="1:31">
      <c r="A56" s="170" t="s">
        <v>1586</v>
      </c>
      <c r="B56" s="171">
        <f t="shared" ref="B56:B60" si="63">ROUND($C$43*C56*D56,0)</f>
        <v>223</v>
      </c>
      <c r="C56" s="172">
        <f t="shared" ref="C56:C60" si="64">IF($C$50="北京市系数",I56,J56)</f>
        <v>0.25</v>
      </c>
      <c r="D56" s="173">
        <v>0.25</v>
      </c>
      <c r="E56" s="179">
        <f>'数据-汇总表'!E11</f>
        <v>0</v>
      </c>
      <c r="F56" s="167">
        <f t="shared" ref="F56:F60" si="65">ROUND(B56*E56/10000,0)</f>
        <v>0</v>
      </c>
      <c r="G56" s="180" t="s">
        <v>1587</v>
      </c>
      <c r="H56" s="176" t="str">
        <f>项目基本情况!C37</f>
        <v>六级</v>
      </c>
      <c r="I56" s="246">
        <f>SUMIF(修正!A57:A68,H56,修正!E57:E68)</f>
        <v>0.25</v>
      </c>
      <c r="J56" s="248"/>
      <c r="K56" s="145"/>
      <c r="L56" s="247"/>
      <c r="M56" s="247"/>
      <c r="N56" s="247"/>
      <c r="O56" s="247"/>
      <c r="P56" s="247"/>
      <c r="Q56" s="247"/>
      <c r="R56" s="247"/>
      <c r="S56" s="247"/>
      <c r="T56" s="247"/>
      <c r="U56" s="247"/>
      <c r="V56" s="247"/>
      <c r="W56" s="247"/>
      <c r="X56" s="247"/>
      <c r="Y56" s="247"/>
      <c r="Z56" s="247"/>
      <c r="AA56" s="247"/>
      <c r="AB56" s="247"/>
      <c r="AC56" s="247"/>
      <c r="AD56" s="247"/>
      <c r="AE56" s="247"/>
    </row>
    <row r="57" s="19" customFormat="1" spans="1:31">
      <c r="A57" s="170" t="s">
        <v>1588</v>
      </c>
      <c r="B57" s="171">
        <f t="shared" si="63"/>
        <v>223</v>
      </c>
      <c r="C57" s="172">
        <f t="shared" si="64"/>
        <v>0.25</v>
      </c>
      <c r="D57" s="173">
        <v>0.25</v>
      </c>
      <c r="E57" s="179">
        <f>'数据-汇总表'!E12</f>
        <v>0</v>
      </c>
      <c r="F57" s="167">
        <f t="shared" si="65"/>
        <v>0</v>
      </c>
      <c r="G57" s="181" t="s">
        <v>1589</v>
      </c>
      <c r="H57" s="176" t="str">
        <f>IF(G57="商业",项目基本情况!B37,IF(G57="办公",项目基本情况!C37,IF(G57="住宅",项目基本情况!D37,项目基本情况!E37)))</f>
        <v>六级</v>
      </c>
      <c r="I57" s="246">
        <f>SUMIF(修正!A57:A68,H57,修正!F57:F68)</f>
        <v>0.25</v>
      </c>
      <c r="J57" s="248"/>
      <c r="K57" s="152"/>
      <c r="L57" s="247"/>
      <c r="M57" s="247"/>
      <c r="N57" s="247"/>
      <c r="O57" s="247"/>
      <c r="P57" s="247"/>
      <c r="Q57" s="247"/>
      <c r="R57" s="247"/>
      <c r="S57" s="247"/>
      <c r="T57" s="247"/>
      <c r="U57" s="247"/>
      <c r="V57" s="247"/>
      <c r="W57" s="247"/>
      <c r="X57" s="247"/>
      <c r="Y57" s="247"/>
      <c r="Z57" s="247"/>
      <c r="AA57" s="247"/>
      <c r="AB57" s="247"/>
      <c r="AC57" s="247"/>
      <c r="AD57" s="247"/>
      <c r="AE57" s="247"/>
    </row>
    <row r="58" s="19" customFormat="1" spans="1:31">
      <c r="A58" s="170" t="s">
        <v>1590</v>
      </c>
      <c r="B58" s="171">
        <f t="shared" si="63"/>
        <v>134</v>
      </c>
      <c r="C58" s="172">
        <f t="shared" si="64"/>
        <v>0.15</v>
      </c>
      <c r="D58" s="173">
        <v>0.25</v>
      </c>
      <c r="E58" s="179">
        <f>'数据-汇总表'!E13</f>
        <v>8266.82</v>
      </c>
      <c r="F58" s="167">
        <f t="shared" si="65"/>
        <v>111</v>
      </c>
      <c r="G58" s="181" t="s">
        <v>454</v>
      </c>
      <c r="H58" s="176" t="str">
        <f>IF(G58="商业",项目基本情况!B37,IF(G58="办公",项目基本情况!C37,IF(G58="住宅",项目基本情况!D37,项目基本情况!E37)))</f>
        <v>六级</v>
      </c>
      <c r="I58" s="246">
        <f>SUMIF(修正!A57:A68,H58,修正!G57:G68)</f>
        <v>0.15</v>
      </c>
      <c r="J58" s="248"/>
      <c r="K58" s="145"/>
      <c r="L58" s="247"/>
      <c r="M58" s="247"/>
      <c r="N58" s="247"/>
      <c r="O58" s="247"/>
      <c r="P58" s="247"/>
      <c r="Q58" s="247"/>
      <c r="R58" s="247"/>
      <c r="S58" s="247"/>
      <c r="T58" s="247"/>
      <c r="U58" s="247"/>
      <c r="V58" s="247"/>
      <c r="W58" s="247"/>
      <c r="X58" s="247"/>
      <c r="Y58" s="247"/>
      <c r="Z58" s="247"/>
      <c r="AA58" s="247"/>
      <c r="AB58" s="247"/>
      <c r="AC58" s="247"/>
      <c r="AD58" s="247"/>
      <c r="AE58" s="247"/>
    </row>
    <row r="59" s="19" customFormat="1" spans="1:31">
      <c r="A59" s="170" t="s">
        <v>1592</v>
      </c>
      <c r="B59" s="171">
        <f t="shared" si="63"/>
        <v>0</v>
      </c>
      <c r="C59" s="172">
        <f t="shared" si="64"/>
        <v>0</v>
      </c>
      <c r="D59" s="173">
        <v>0.25</v>
      </c>
      <c r="E59" s="179">
        <f>'数据-汇总表'!E14</f>
        <v>0</v>
      </c>
      <c r="F59" s="167">
        <f t="shared" si="65"/>
        <v>0</v>
      </c>
      <c r="G59" s="180" t="s">
        <v>1583</v>
      </c>
      <c r="H59" s="176">
        <f>项目基本情况!B37</f>
        <v>0</v>
      </c>
      <c r="I59" s="246">
        <f>SUMIF(修正!A57:A68,H59,修正!G57:G68)</f>
        <v>0</v>
      </c>
      <c r="J59" s="248"/>
      <c r="K59" s="152"/>
      <c r="L59" s="247"/>
      <c r="M59" s="247"/>
      <c r="N59" s="247"/>
      <c r="O59" s="247"/>
      <c r="P59" s="247"/>
      <c r="Q59" s="247"/>
      <c r="R59" s="247"/>
      <c r="S59" s="247"/>
      <c r="T59" s="247"/>
      <c r="U59" s="247"/>
      <c r="V59" s="247"/>
      <c r="W59" s="247"/>
      <c r="X59" s="247"/>
      <c r="Y59" s="247"/>
      <c r="Z59" s="247"/>
      <c r="AA59" s="247"/>
      <c r="AB59" s="247"/>
      <c r="AC59" s="247"/>
      <c r="AD59" s="247"/>
      <c r="AE59" s="247"/>
    </row>
    <row r="60" s="19" customFormat="1" ht="14.55" spans="1:31">
      <c r="A60" s="170" t="s">
        <v>1593</v>
      </c>
      <c r="B60" s="171">
        <f t="shared" si="63"/>
        <v>134</v>
      </c>
      <c r="C60" s="172">
        <f t="shared" si="64"/>
        <v>0.15</v>
      </c>
      <c r="D60" s="173">
        <v>0.25</v>
      </c>
      <c r="E60" s="179">
        <f>'数据-汇总表'!E15</f>
        <v>0</v>
      </c>
      <c r="F60" s="167">
        <f t="shared" si="65"/>
        <v>0</v>
      </c>
      <c r="G60" s="182" t="s">
        <v>1587</v>
      </c>
      <c r="H60" s="183" t="str">
        <f>项目基本情况!C37</f>
        <v>六级</v>
      </c>
      <c r="I60" s="246">
        <f>SUMIF(修正!A57:A68,H60,修正!G57:G68)</f>
        <v>0.15</v>
      </c>
      <c r="J60" s="248"/>
      <c r="K60" s="145"/>
      <c r="L60" s="247"/>
      <c r="M60" s="247"/>
      <c r="N60" s="247"/>
      <c r="O60" s="247"/>
      <c r="P60" s="247"/>
      <c r="Q60" s="247"/>
      <c r="R60" s="247"/>
      <c r="S60" s="247"/>
      <c r="T60" s="247"/>
      <c r="U60" s="247"/>
      <c r="V60" s="247"/>
      <c r="W60" s="247"/>
      <c r="X60" s="247"/>
      <c r="Y60" s="247"/>
      <c r="Z60" s="247"/>
      <c r="AA60" s="247"/>
      <c r="AB60" s="247"/>
      <c r="AC60" s="247"/>
      <c r="AD60" s="247"/>
      <c r="AE60" s="247"/>
    </row>
    <row r="61" s="19" customFormat="1" ht="14.55" spans="1:31">
      <c r="A61" s="184" t="s">
        <v>1594</v>
      </c>
      <c r="B61" s="185" t="s">
        <v>1530</v>
      </c>
      <c r="C61" s="185" t="s">
        <v>1530</v>
      </c>
      <c r="D61" s="185" t="s">
        <v>1530</v>
      </c>
      <c r="E61" s="185">
        <f>IF(B41="楼面地价",SUM(E51:E60),'数据-汇总表'!D3)</f>
        <v>15415.9</v>
      </c>
      <c r="F61" s="186">
        <f>IF(B41="楼面地价",SUM(F51:F60),ROUND(C43*E61/10000,0))</f>
        <v>5508</v>
      </c>
      <c r="G61" s="187"/>
      <c r="H61" s="187"/>
      <c r="I61" s="187"/>
      <c r="J61" s="187"/>
      <c r="K61" s="240"/>
      <c r="L61" s="247"/>
      <c r="M61" s="247"/>
      <c r="N61" s="247"/>
      <c r="O61" s="247"/>
      <c r="P61" s="247"/>
      <c r="Q61" s="247"/>
      <c r="R61" s="247"/>
      <c r="S61" s="247"/>
      <c r="T61" s="247"/>
      <c r="U61" s="247"/>
      <c r="V61" s="247"/>
      <c r="W61" s="247"/>
      <c r="X61" s="247"/>
      <c r="Y61" s="247"/>
      <c r="Z61" s="247"/>
      <c r="AA61" s="247"/>
      <c r="AB61" s="247"/>
      <c r="AC61" s="247"/>
      <c r="AD61" s="247"/>
      <c r="AE61" s="247"/>
    </row>
    <row r="62" spans="1:31">
      <c r="A62" s="188"/>
      <c r="B62" s="189"/>
      <c r="C62" s="190"/>
      <c r="D62" s="188"/>
      <c r="E62" s="188"/>
      <c r="F62" s="188"/>
      <c r="G62" s="188"/>
      <c r="H62" s="188"/>
      <c r="I62" s="188"/>
      <c r="J62" s="188"/>
      <c r="K62" s="249"/>
      <c r="L62" s="250"/>
      <c r="M62" s="188"/>
      <c r="N62" s="188"/>
      <c r="O62" s="188"/>
      <c r="P62" s="145"/>
      <c r="Q62" s="145"/>
      <c r="R62" s="145"/>
      <c r="S62" s="145"/>
      <c r="T62" s="145"/>
      <c r="U62" s="145"/>
      <c r="V62" s="145"/>
      <c r="W62" s="145"/>
      <c r="X62" s="145"/>
      <c r="Y62" s="145"/>
      <c r="Z62" s="145"/>
      <c r="AA62" s="145"/>
      <c r="AB62" s="145"/>
      <c r="AC62" s="145"/>
      <c r="AD62" s="145"/>
      <c r="AE62" s="145"/>
    </row>
    <row r="63" spans="1:31">
      <c r="A63" s="188"/>
      <c r="B63" s="189"/>
      <c r="C63" s="191" t="str">
        <f>YEAR(C7)&amp;"-"&amp;MONTH(C7)&amp;"-1"</f>
        <v>2022-8-1</v>
      </c>
      <c r="D63" s="191">
        <f t="shared" ref="D63:O63" si="66">EDATE(C63,-3)</f>
        <v>44682</v>
      </c>
      <c r="E63" s="191">
        <f t="shared" si="66"/>
        <v>44593</v>
      </c>
      <c r="F63" s="191">
        <f t="shared" si="66"/>
        <v>44501</v>
      </c>
      <c r="G63" s="191">
        <f t="shared" si="66"/>
        <v>44409</v>
      </c>
      <c r="H63" s="191">
        <f t="shared" si="66"/>
        <v>44317</v>
      </c>
      <c r="I63" s="191">
        <f t="shared" si="66"/>
        <v>44228</v>
      </c>
      <c r="J63" s="191">
        <f t="shared" si="66"/>
        <v>44136</v>
      </c>
      <c r="K63" s="191">
        <f t="shared" si="66"/>
        <v>44044</v>
      </c>
      <c r="L63" s="191">
        <f t="shared" si="66"/>
        <v>43952</v>
      </c>
      <c r="M63" s="191">
        <f t="shared" si="66"/>
        <v>43862</v>
      </c>
      <c r="N63" s="191">
        <f t="shared" si="66"/>
        <v>43770</v>
      </c>
      <c r="O63" s="191">
        <f t="shared" si="66"/>
        <v>43678</v>
      </c>
      <c r="P63" s="145"/>
      <c r="Q63" s="145"/>
      <c r="R63" s="145"/>
      <c r="S63" s="145"/>
      <c r="T63" s="145"/>
      <c r="U63" s="145"/>
      <c r="V63" s="145"/>
      <c r="W63" s="145"/>
      <c r="X63" s="145"/>
      <c r="Y63" s="145"/>
      <c r="Z63" s="145"/>
      <c r="AA63" s="145"/>
      <c r="AB63" s="145"/>
      <c r="AC63" s="145"/>
      <c r="AD63" s="145"/>
      <c r="AE63" s="145"/>
    </row>
    <row r="64" ht="21.15" spans="1:31">
      <c r="A64" s="192" t="s">
        <v>1479</v>
      </c>
      <c r="B64" s="193"/>
      <c r="C64" s="194"/>
      <c r="D64" s="194"/>
      <c r="E64" s="194"/>
      <c r="F64" s="195"/>
      <c r="G64" s="195"/>
      <c r="H64" s="194"/>
      <c r="I64" s="194"/>
      <c r="J64" s="194"/>
      <c r="K64" s="251"/>
      <c r="L64" s="252"/>
      <c r="M64" s="194"/>
      <c r="N64" s="194"/>
      <c r="O64" s="253"/>
      <c r="P64" s="254"/>
      <c r="Q64" s="279"/>
      <c r="R64" s="145"/>
      <c r="S64" s="145"/>
      <c r="T64" s="145"/>
      <c r="U64" s="145"/>
      <c r="V64" s="145"/>
      <c r="W64" s="145"/>
      <c r="X64" s="145"/>
      <c r="Y64" s="145"/>
      <c r="Z64" s="145"/>
      <c r="AA64" s="145"/>
      <c r="AB64" s="145"/>
      <c r="AC64" s="145"/>
      <c r="AD64" s="145"/>
      <c r="AE64" s="145"/>
    </row>
    <row r="65" s="20" customFormat="1" ht="14.4" spans="1:31">
      <c r="A65" s="290" t="s">
        <v>1595</v>
      </c>
      <c r="B65" s="291"/>
      <c r="C65" s="292" t="str">
        <f t="shared" ref="C65:O65" si="67">YEAR(C63)&amp;"-"&amp;ROUNDUP(MONTH(C63)/3,0)</f>
        <v>2022-3</v>
      </c>
      <c r="D65" s="292" t="str">
        <f t="shared" si="67"/>
        <v>2022-2</v>
      </c>
      <c r="E65" s="292" t="str">
        <f t="shared" si="67"/>
        <v>2022-1</v>
      </c>
      <c r="F65" s="292" t="str">
        <f t="shared" si="67"/>
        <v>2021-4</v>
      </c>
      <c r="G65" s="292" t="str">
        <f t="shared" si="67"/>
        <v>2021-3</v>
      </c>
      <c r="H65" s="292" t="str">
        <f t="shared" si="67"/>
        <v>2021-2</v>
      </c>
      <c r="I65" s="292" t="str">
        <f t="shared" si="67"/>
        <v>2021-1</v>
      </c>
      <c r="J65" s="292" t="str">
        <f t="shared" si="67"/>
        <v>2020-4</v>
      </c>
      <c r="K65" s="292" t="str">
        <f t="shared" si="67"/>
        <v>2020-3</v>
      </c>
      <c r="L65" s="292" t="str">
        <f t="shared" si="67"/>
        <v>2020-2</v>
      </c>
      <c r="M65" s="292" t="str">
        <f t="shared" si="67"/>
        <v>2020-1</v>
      </c>
      <c r="N65" s="292" t="str">
        <f t="shared" si="67"/>
        <v>2019-4</v>
      </c>
      <c r="O65" s="292" t="str">
        <f t="shared" si="67"/>
        <v>2019-3</v>
      </c>
      <c r="P65" s="347"/>
      <c r="Q65" s="401"/>
      <c r="R65" s="401"/>
      <c r="S65" s="401"/>
      <c r="T65" s="401"/>
      <c r="U65" s="401"/>
      <c r="V65" s="401"/>
      <c r="W65" s="401"/>
      <c r="X65" s="401"/>
      <c r="Y65" s="401"/>
      <c r="Z65" s="401"/>
      <c r="AA65" s="401"/>
      <c r="AB65" s="401"/>
      <c r="AC65" s="401"/>
      <c r="AD65" s="401"/>
      <c r="AE65" s="401"/>
    </row>
    <row r="66" s="15" customFormat="1" ht="30.75" customHeight="1" spans="1:31">
      <c r="A66" s="293" t="s">
        <v>1608</v>
      </c>
      <c r="B66" s="294" t="str">
        <f>"北京市平均增长率"&amp;TEXT(基准地价修正!P24,"0.00%")</f>
        <v>北京市平均增长率0.00%</v>
      </c>
      <c r="C66" s="295">
        <v>100</v>
      </c>
      <c r="D66" s="296">
        <v>99.5</v>
      </c>
      <c r="E66" s="296">
        <v>99</v>
      </c>
      <c r="F66" s="296">
        <v>98.5</v>
      </c>
      <c r="G66" s="296">
        <v>98</v>
      </c>
      <c r="H66" s="296">
        <v>97.5</v>
      </c>
      <c r="I66" s="296">
        <v>97</v>
      </c>
      <c r="J66" s="296">
        <v>96.5</v>
      </c>
      <c r="K66" s="296">
        <v>96</v>
      </c>
      <c r="L66" s="296">
        <v>95.5</v>
      </c>
      <c r="M66" s="296">
        <v>95</v>
      </c>
      <c r="N66" s="296">
        <v>94.5</v>
      </c>
      <c r="O66" s="296">
        <v>94</v>
      </c>
      <c r="P66" s="296">
        <v>93.5</v>
      </c>
      <c r="Q66" s="402"/>
      <c r="R66" s="402"/>
      <c r="S66" s="402"/>
      <c r="T66" s="402"/>
      <c r="U66" s="402"/>
      <c r="V66" s="402"/>
      <c r="W66" s="402"/>
      <c r="X66" s="402"/>
      <c r="Y66" s="402"/>
      <c r="Z66" s="402"/>
      <c r="AA66" s="402"/>
      <c r="AB66" s="402"/>
      <c r="AC66" s="402"/>
      <c r="AD66" s="402"/>
      <c r="AE66" s="402"/>
    </row>
    <row r="67" s="15" customFormat="1" ht="15.15" spans="1:31">
      <c r="A67" s="297" t="s">
        <v>1480</v>
      </c>
      <c r="B67" s="298"/>
      <c r="C67" s="299"/>
      <c r="D67" s="300"/>
      <c r="E67" s="300"/>
      <c r="F67" s="300"/>
      <c r="G67" s="300"/>
      <c r="H67" s="300"/>
      <c r="I67" s="300"/>
      <c r="J67" s="300"/>
      <c r="K67" s="300"/>
      <c r="L67" s="300"/>
      <c r="M67" s="348"/>
      <c r="N67" s="348"/>
      <c r="O67" s="349"/>
      <c r="P67" s="279"/>
      <c r="Q67" s="279"/>
      <c r="R67" s="402"/>
      <c r="S67" s="402"/>
      <c r="T67" s="402"/>
      <c r="U67" s="402"/>
      <c r="V67" s="402"/>
      <c r="W67" s="402"/>
      <c r="X67" s="402"/>
      <c r="Y67" s="402"/>
      <c r="Z67" s="402"/>
      <c r="AA67" s="402"/>
      <c r="AB67" s="402"/>
      <c r="AC67" s="402"/>
      <c r="AD67" s="402"/>
      <c r="AE67" s="402"/>
    </row>
    <row r="68" s="15" customFormat="1" ht="14.4" spans="1:31">
      <c r="A68" s="301" t="s">
        <v>1441</v>
      </c>
      <c r="B68" s="302"/>
      <c r="C68" s="303" t="s">
        <v>1442</v>
      </c>
      <c r="D68" s="304"/>
      <c r="E68" s="304"/>
      <c r="F68" s="304"/>
      <c r="G68" s="304"/>
      <c r="H68" s="304"/>
      <c r="I68" s="304"/>
      <c r="J68" s="304"/>
      <c r="K68" s="304"/>
      <c r="L68" s="350"/>
      <c r="M68" s="351"/>
      <c r="N68" s="352"/>
      <c r="O68" s="352"/>
      <c r="P68" s="353"/>
      <c r="Q68" s="279"/>
      <c r="R68" s="402"/>
      <c r="S68" s="402"/>
      <c r="T68" s="402"/>
      <c r="U68" s="402"/>
      <c r="V68" s="402"/>
      <c r="W68" s="402"/>
      <c r="X68" s="402"/>
      <c r="Y68" s="402"/>
      <c r="Z68" s="402"/>
      <c r="AA68" s="402"/>
      <c r="AB68" s="402"/>
      <c r="AC68" s="402"/>
      <c r="AD68" s="402"/>
      <c r="AE68" s="402"/>
    </row>
    <row r="69" s="15" customFormat="1" ht="14.55" spans="1:31">
      <c r="A69" s="301"/>
      <c r="B69" s="302"/>
      <c r="C69" s="305">
        <v>100</v>
      </c>
      <c r="D69" s="306"/>
      <c r="E69" s="306"/>
      <c r="F69" s="306"/>
      <c r="G69" s="306"/>
      <c r="H69" s="306"/>
      <c r="I69" s="306"/>
      <c r="J69" s="306"/>
      <c r="K69" s="306"/>
      <c r="L69" s="306"/>
      <c r="M69" s="354"/>
      <c r="N69" s="352"/>
      <c r="O69" s="352"/>
      <c r="P69" s="279"/>
      <c r="Q69" s="279"/>
      <c r="R69" s="402"/>
      <c r="S69" s="402"/>
      <c r="T69" s="402"/>
      <c r="U69" s="402"/>
      <c r="V69" s="402"/>
      <c r="W69" s="402"/>
      <c r="X69" s="402"/>
      <c r="Y69" s="402"/>
      <c r="Z69" s="402"/>
      <c r="AA69" s="402"/>
      <c r="AB69" s="402"/>
      <c r="AC69" s="402"/>
      <c r="AD69" s="402"/>
      <c r="AE69" s="402"/>
    </row>
    <row r="70" ht="14.4" spans="1:31">
      <c r="A70" s="307" t="s">
        <v>1481</v>
      </c>
      <c r="B70" s="308" t="s">
        <v>1445</v>
      </c>
      <c r="C70" s="233"/>
      <c r="D70" s="233"/>
      <c r="E70" s="233"/>
      <c r="F70" s="233"/>
      <c r="G70" s="233"/>
      <c r="H70" s="233"/>
      <c r="I70" s="233"/>
      <c r="J70" s="233"/>
      <c r="K70" s="355"/>
      <c r="L70" s="356"/>
      <c r="M70" s="357"/>
      <c r="N70" s="358"/>
      <c r="O70" s="358"/>
      <c r="P70" s="359"/>
      <c r="Q70" s="279"/>
      <c r="R70" s="145"/>
      <c r="S70" s="145"/>
      <c r="T70" s="145"/>
      <c r="U70" s="145"/>
      <c r="V70" s="145"/>
      <c r="W70" s="145"/>
      <c r="X70" s="145"/>
      <c r="Y70" s="145"/>
      <c r="Z70" s="145"/>
      <c r="AA70" s="145"/>
      <c r="AB70" s="145"/>
      <c r="AC70" s="145"/>
      <c r="AD70" s="145"/>
      <c r="AE70" s="145"/>
    </row>
    <row r="71" ht="14.55" spans="1:31">
      <c r="A71" s="309"/>
      <c r="B71" s="310"/>
      <c r="C71" s="311"/>
      <c r="D71" s="311"/>
      <c r="E71" s="311"/>
      <c r="F71" s="311"/>
      <c r="G71" s="311"/>
      <c r="H71" s="311"/>
      <c r="I71" s="311"/>
      <c r="J71" s="311"/>
      <c r="K71" s="311"/>
      <c r="L71" s="311"/>
      <c r="M71" s="360"/>
      <c r="N71" s="361"/>
      <c r="O71" s="361"/>
      <c r="P71" s="359"/>
      <c r="Q71" s="279"/>
      <c r="R71" s="145"/>
      <c r="S71" s="145"/>
      <c r="T71" s="145"/>
      <c r="U71" s="145"/>
      <c r="V71" s="145"/>
      <c r="W71" s="145"/>
      <c r="X71" s="145"/>
      <c r="Y71" s="145"/>
      <c r="Z71" s="145"/>
      <c r="AA71" s="145"/>
      <c r="AB71" s="145"/>
      <c r="AC71" s="145"/>
      <c r="AD71" s="145"/>
      <c r="AE71" s="145"/>
    </row>
    <row r="72" ht="29.55" spans="1:31">
      <c r="A72" s="309"/>
      <c r="B72" s="312" t="s">
        <v>1448</v>
      </c>
      <c r="C72" s="313"/>
      <c r="D72" s="313"/>
      <c r="E72" s="313"/>
      <c r="F72" s="313"/>
      <c r="G72" s="313"/>
      <c r="H72" s="313"/>
      <c r="I72" s="313"/>
      <c r="J72" s="313"/>
      <c r="K72" s="362"/>
      <c r="L72" s="363"/>
      <c r="M72" s="364"/>
      <c r="N72" s="358"/>
      <c r="O72" s="358"/>
      <c r="P72" s="359"/>
      <c r="Q72" s="279"/>
      <c r="R72" s="145"/>
      <c r="S72" s="145"/>
      <c r="T72" s="145"/>
      <c r="U72" s="145"/>
      <c r="V72" s="145"/>
      <c r="W72" s="145"/>
      <c r="X72" s="145"/>
      <c r="Y72" s="145"/>
      <c r="Z72" s="145"/>
      <c r="AA72" s="145"/>
      <c r="AB72" s="145"/>
      <c r="AC72" s="145"/>
      <c r="AD72" s="145"/>
      <c r="AE72" s="145"/>
    </row>
    <row r="73" ht="14.55" spans="1:31">
      <c r="A73" s="309"/>
      <c r="B73" s="314"/>
      <c r="C73" s="315"/>
      <c r="D73" s="315"/>
      <c r="E73" s="315"/>
      <c r="F73" s="315"/>
      <c r="G73" s="315"/>
      <c r="H73" s="315"/>
      <c r="I73" s="315"/>
      <c r="J73" s="315"/>
      <c r="K73" s="315"/>
      <c r="L73" s="315"/>
      <c r="M73" s="365"/>
      <c r="N73" s="361"/>
      <c r="O73" s="361"/>
      <c r="P73" s="359"/>
      <c r="Q73" s="279"/>
      <c r="R73" s="145"/>
      <c r="S73" s="145"/>
      <c r="T73" s="145"/>
      <c r="U73" s="145"/>
      <c r="V73" s="145"/>
      <c r="W73" s="145"/>
      <c r="X73" s="145"/>
      <c r="Y73" s="145"/>
      <c r="Z73" s="145"/>
      <c r="AA73" s="145"/>
      <c r="AB73" s="145"/>
      <c r="AC73" s="145"/>
      <c r="AD73" s="145"/>
      <c r="AE73" s="145"/>
    </row>
    <row r="74" ht="28.95" spans="1:31">
      <c r="A74" s="309"/>
      <c r="B74" s="316" t="s">
        <v>1449</v>
      </c>
      <c r="C74" s="317" t="str">
        <f t="shared" ref="C74:L74" si="68">C75&amp;"（含）"&amp;"-"&amp;D75</f>
        <v>0（含）-0.5</v>
      </c>
      <c r="D74" s="317" t="str">
        <f t="shared" si="68"/>
        <v>0.5（含）-1</v>
      </c>
      <c r="E74" s="317" t="str">
        <f t="shared" si="68"/>
        <v>1（含）-1.51</v>
      </c>
      <c r="F74" s="317" t="str">
        <f t="shared" si="68"/>
        <v>1.51（含）-2</v>
      </c>
      <c r="G74" s="317" t="str">
        <f t="shared" si="68"/>
        <v>2（含）-</v>
      </c>
      <c r="H74" s="317" t="str">
        <f t="shared" si="68"/>
        <v>（含）-</v>
      </c>
      <c r="I74" s="317" t="str">
        <f t="shared" si="68"/>
        <v>（含）-</v>
      </c>
      <c r="J74" s="317" t="str">
        <f t="shared" si="68"/>
        <v>（含）-</v>
      </c>
      <c r="K74" s="317" t="str">
        <f t="shared" si="68"/>
        <v>（含）-</v>
      </c>
      <c r="L74" s="317" t="str">
        <f t="shared" si="68"/>
        <v>（含）-</v>
      </c>
      <c r="M74" s="91" t="str">
        <f>M75&amp;"（含）"&amp;"-"&amp;P75</f>
        <v>（含）-</v>
      </c>
      <c r="N74" s="361"/>
      <c r="O74" s="361"/>
      <c r="P74" s="359"/>
      <c r="Q74" s="279"/>
      <c r="R74" s="145"/>
      <c r="S74" s="145"/>
      <c r="T74" s="145"/>
      <c r="U74" s="145"/>
      <c r="V74" s="145"/>
      <c r="W74" s="145"/>
      <c r="X74" s="145"/>
      <c r="Y74" s="145"/>
      <c r="Z74" s="145"/>
      <c r="AA74" s="145"/>
      <c r="AB74" s="145"/>
      <c r="AC74" s="145"/>
      <c r="AD74" s="145"/>
      <c r="AE74" s="145"/>
    </row>
    <row r="75" spans="1:31">
      <c r="A75" s="309"/>
      <c r="B75" s="318"/>
      <c r="C75" s="76">
        <v>0</v>
      </c>
      <c r="D75" s="76">
        <v>0.5</v>
      </c>
      <c r="E75" s="76">
        <v>1</v>
      </c>
      <c r="F75" s="76">
        <v>1.51</v>
      </c>
      <c r="G75" s="76">
        <v>2</v>
      </c>
      <c r="H75" s="76"/>
      <c r="I75" s="76"/>
      <c r="J75" s="76"/>
      <c r="K75" s="366"/>
      <c r="L75" s="367"/>
      <c r="M75" s="368"/>
      <c r="N75" s="358"/>
      <c r="O75" s="358"/>
      <c r="P75" s="359"/>
      <c r="Q75" s="279"/>
      <c r="R75" s="145"/>
      <c r="S75" s="145"/>
      <c r="T75" s="145"/>
      <c r="U75" s="145"/>
      <c r="V75" s="145"/>
      <c r="W75" s="145"/>
      <c r="X75" s="145"/>
      <c r="Y75" s="145"/>
      <c r="Z75" s="145"/>
      <c r="AA75" s="145"/>
      <c r="AB75" s="145"/>
      <c r="AC75" s="145"/>
      <c r="AD75" s="145"/>
      <c r="AE75" s="145"/>
    </row>
    <row r="76" ht="14.55" spans="1:31">
      <c r="A76" s="309"/>
      <c r="B76" s="310"/>
      <c r="C76" s="315">
        <v>100</v>
      </c>
      <c r="D76" s="315">
        <f>IF($B$41="单位面积地价",C76+$K11,C76-$K11)</f>
        <v>105</v>
      </c>
      <c r="E76" s="315">
        <f>IF($B$41="单位面积地价",D76+$K11,D76-$K11)</f>
        <v>110</v>
      </c>
      <c r="F76" s="315">
        <f>IF($B$41="单位面积地价",E76+$K11,E76-$K11)</f>
        <v>115</v>
      </c>
      <c r="G76" s="315">
        <f>IF($B$41="单位面积地价",F76+$K11,F76-$K11)</f>
        <v>120</v>
      </c>
      <c r="H76" s="315">
        <f>IF($B$41="单位面积地价",G76+$K11,G76-$K11)</f>
        <v>125</v>
      </c>
      <c r="I76" s="315">
        <f>IF($B$41="单位面积地价",H76+$K11,H76-$K11)</f>
        <v>130</v>
      </c>
      <c r="J76" s="315">
        <f>IF($B$41="单位面积地价",I76+$K11,I76-$K11)</f>
        <v>135</v>
      </c>
      <c r="K76" s="315">
        <f>IF($B$41="单位面积地价",J76+$K11,J76-$K11)</f>
        <v>140</v>
      </c>
      <c r="L76" s="315">
        <f>IF($B$41="单位面积地价",K76+$K11,K76-$K11)</f>
        <v>145</v>
      </c>
      <c r="M76" s="315">
        <f>IF($B$41="单位面积地价",L76+$K11,L76-$K11)</f>
        <v>150</v>
      </c>
      <c r="N76" s="361"/>
      <c r="O76" s="361"/>
      <c r="P76" s="359"/>
      <c r="Q76" s="279"/>
      <c r="R76" s="145"/>
      <c r="S76" s="145"/>
      <c r="T76" s="145"/>
      <c r="U76" s="145"/>
      <c r="V76" s="145"/>
      <c r="W76" s="145"/>
      <c r="X76" s="145"/>
      <c r="Y76" s="145"/>
      <c r="Z76" s="145"/>
      <c r="AA76" s="145"/>
      <c r="AB76" s="145"/>
      <c r="AC76" s="145"/>
      <c r="AD76" s="145"/>
      <c r="AE76" s="145"/>
    </row>
    <row r="77" s="17" customFormat="1" ht="14.55" spans="1:31">
      <c r="A77" s="319"/>
      <c r="B77" s="312">
        <f>B12</f>
        <v>111</v>
      </c>
      <c r="C77" s="320"/>
      <c r="D77" s="320"/>
      <c r="E77" s="320"/>
      <c r="F77" s="320"/>
      <c r="G77" s="320"/>
      <c r="H77" s="321"/>
      <c r="I77" s="321"/>
      <c r="J77" s="321"/>
      <c r="K77" s="321"/>
      <c r="L77" s="369"/>
      <c r="M77" s="370"/>
      <c r="N77" s="371"/>
      <c r="O77" s="371"/>
      <c r="P77" s="372"/>
      <c r="Q77" s="403"/>
      <c r="R77" s="404"/>
      <c r="S77" s="404"/>
      <c r="T77" s="404"/>
      <c r="U77" s="404"/>
      <c r="V77" s="404"/>
      <c r="W77" s="404"/>
      <c r="X77" s="404"/>
      <c r="Y77" s="404"/>
      <c r="Z77" s="404"/>
      <c r="AA77" s="404"/>
      <c r="AB77" s="404"/>
      <c r="AC77" s="404"/>
      <c r="AD77" s="404"/>
      <c r="AE77" s="404"/>
    </row>
    <row r="78" s="17" customFormat="1" ht="14.55" spans="1:31">
      <c r="A78" s="319"/>
      <c r="B78" s="314"/>
      <c r="C78" s="322"/>
      <c r="D78" s="311"/>
      <c r="E78" s="311"/>
      <c r="F78" s="311"/>
      <c r="G78" s="311"/>
      <c r="H78" s="311"/>
      <c r="I78" s="311"/>
      <c r="J78" s="311"/>
      <c r="K78" s="311"/>
      <c r="L78" s="311"/>
      <c r="M78" s="360"/>
      <c r="N78" s="361"/>
      <c r="O78" s="361"/>
      <c r="P78" s="372"/>
      <c r="Q78" s="403"/>
      <c r="R78" s="404"/>
      <c r="S78" s="404"/>
      <c r="T78" s="404"/>
      <c r="U78" s="404"/>
      <c r="V78" s="404"/>
      <c r="W78" s="404"/>
      <c r="X78" s="404"/>
      <c r="Y78" s="404"/>
      <c r="Z78" s="404"/>
      <c r="AA78" s="404"/>
      <c r="AB78" s="404"/>
      <c r="AC78" s="404"/>
      <c r="AD78" s="404"/>
      <c r="AE78" s="404"/>
    </row>
    <row r="79" s="17" customFormat="1" ht="14.55" spans="1:31">
      <c r="A79" s="319"/>
      <c r="B79" s="312">
        <f>B13</f>
        <v>111</v>
      </c>
      <c r="C79" s="320"/>
      <c r="D79" s="320"/>
      <c r="E79" s="320"/>
      <c r="F79" s="320"/>
      <c r="G79" s="320"/>
      <c r="H79" s="321"/>
      <c r="I79" s="321"/>
      <c r="J79" s="321"/>
      <c r="K79" s="321"/>
      <c r="L79" s="369"/>
      <c r="M79" s="370"/>
      <c r="N79" s="371"/>
      <c r="O79" s="371"/>
      <c r="P79" s="230"/>
      <c r="Q79" s="405"/>
      <c r="R79" s="404"/>
      <c r="S79" s="404"/>
      <c r="T79" s="404"/>
      <c r="U79" s="404"/>
      <c r="V79" s="404"/>
      <c r="W79" s="404"/>
      <c r="X79" s="404"/>
      <c r="Y79" s="404"/>
      <c r="Z79" s="404"/>
      <c r="AA79" s="404"/>
      <c r="AB79" s="404"/>
      <c r="AC79" s="404"/>
      <c r="AD79" s="404"/>
      <c r="AE79" s="404"/>
    </row>
    <row r="80" s="17" customFormat="1" ht="14.55" spans="1:31">
      <c r="A80" s="319"/>
      <c r="B80" s="314"/>
      <c r="C80" s="322"/>
      <c r="D80" s="322"/>
      <c r="E80" s="322"/>
      <c r="F80" s="322"/>
      <c r="G80" s="322"/>
      <c r="H80" s="323"/>
      <c r="I80" s="323"/>
      <c r="J80" s="323"/>
      <c r="K80" s="323"/>
      <c r="L80" s="323"/>
      <c r="M80" s="373"/>
      <c r="N80" s="371"/>
      <c r="O80" s="371"/>
      <c r="P80" s="372"/>
      <c r="Q80" s="403"/>
      <c r="R80" s="404"/>
      <c r="S80" s="404"/>
      <c r="T80" s="404"/>
      <c r="U80" s="404"/>
      <c r="V80" s="404"/>
      <c r="W80" s="404"/>
      <c r="X80" s="404"/>
      <c r="Y80" s="404"/>
      <c r="Z80" s="404"/>
      <c r="AA80" s="404"/>
      <c r="AB80" s="404"/>
      <c r="AC80" s="404"/>
      <c r="AD80" s="404"/>
      <c r="AE80" s="404"/>
    </row>
    <row r="81" s="17" customFormat="1" ht="14.55" spans="1:31">
      <c r="A81" s="319"/>
      <c r="B81" s="316">
        <f>B14</f>
        <v>111</v>
      </c>
      <c r="C81" s="304"/>
      <c r="D81" s="304"/>
      <c r="E81" s="304"/>
      <c r="F81" s="304"/>
      <c r="G81" s="304"/>
      <c r="H81" s="324"/>
      <c r="I81" s="324"/>
      <c r="J81" s="324"/>
      <c r="K81" s="324"/>
      <c r="L81" s="374"/>
      <c r="M81" s="375"/>
      <c r="N81" s="371"/>
      <c r="O81" s="371"/>
      <c r="P81" s="376"/>
      <c r="Q81" s="403"/>
      <c r="R81" s="404"/>
      <c r="S81" s="404"/>
      <c r="T81" s="404"/>
      <c r="U81" s="404"/>
      <c r="V81" s="404"/>
      <c r="W81" s="404"/>
      <c r="X81" s="404"/>
      <c r="Y81" s="404"/>
      <c r="Z81" s="404"/>
      <c r="AA81" s="404"/>
      <c r="AB81" s="404"/>
      <c r="AC81" s="404"/>
      <c r="AD81" s="404"/>
      <c r="AE81" s="404"/>
    </row>
    <row r="82" s="17" customFormat="1" ht="14.55" spans="1:31">
      <c r="A82" s="325"/>
      <c r="B82" s="326"/>
      <c r="C82" s="327"/>
      <c r="D82" s="327"/>
      <c r="E82" s="327"/>
      <c r="F82" s="327"/>
      <c r="G82" s="327"/>
      <c r="H82" s="328"/>
      <c r="I82" s="328"/>
      <c r="J82" s="328"/>
      <c r="K82" s="328"/>
      <c r="L82" s="328"/>
      <c r="M82" s="377"/>
      <c r="N82" s="371"/>
      <c r="O82" s="371"/>
      <c r="P82" s="372"/>
      <c r="Q82" s="403"/>
      <c r="R82" s="404"/>
      <c r="S82" s="404"/>
      <c r="T82" s="404"/>
      <c r="U82" s="404"/>
      <c r="V82" s="404"/>
      <c r="W82" s="404"/>
      <c r="X82" s="404"/>
      <c r="Y82" s="404"/>
      <c r="Z82" s="404"/>
      <c r="AA82" s="404"/>
      <c r="AB82" s="404"/>
      <c r="AC82" s="404"/>
      <c r="AD82" s="404"/>
      <c r="AE82" s="404"/>
    </row>
    <row r="83" ht="14.4" spans="1:31">
      <c r="A83" s="307" t="s">
        <v>1450</v>
      </c>
      <c r="B83" s="308" t="s">
        <v>1540</v>
      </c>
      <c r="C83" s="329" t="s">
        <v>1489</v>
      </c>
      <c r="D83" s="329" t="s">
        <v>1490</v>
      </c>
      <c r="E83" s="329" t="s">
        <v>1491</v>
      </c>
      <c r="F83" s="329" t="s">
        <v>1492</v>
      </c>
      <c r="G83" s="329" t="s">
        <v>1493</v>
      </c>
      <c r="H83" s="330"/>
      <c r="I83" s="330"/>
      <c r="J83" s="330"/>
      <c r="K83" s="378"/>
      <c r="L83" s="379"/>
      <c r="M83" s="380"/>
      <c r="N83" s="358"/>
      <c r="O83" s="358"/>
      <c r="P83" s="381"/>
      <c r="Q83" s="279"/>
      <c r="R83" s="145"/>
      <c r="S83" s="145"/>
      <c r="T83" s="145"/>
      <c r="U83" s="145"/>
      <c r="V83" s="145"/>
      <c r="W83" s="145"/>
      <c r="X83" s="145"/>
      <c r="Y83" s="145"/>
      <c r="Z83" s="145"/>
      <c r="AA83" s="145"/>
      <c r="AB83" s="145"/>
      <c r="AC83" s="145"/>
      <c r="AD83" s="145"/>
      <c r="AE83" s="145"/>
    </row>
    <row r="84" ht="14.55" spans="1:31">
      <c r="A84" s="309"/>
      <c r="B84" s="314"/>
      <c r="C84" s="315">
        <v>100</v>
      </c>
      <c r="D84" s="315">
        <f t="shared" ref="D84:G84" si="69">C84-$K15</f>
        <v>98</v>
      </c>
      <c r="E84" s="315">
        <f t="shared" si="69"/>
        <v>96</v>
      </c>
      <c r="F84" s="315">
        <f t="shared" si="69"/>
        <v>94</v>
      </c>
      <c r="G84" s="315">
        <f t="shared" si="69"/>
        <v>92</v>
      </c>
      <c r="H84" s="315"/>
      <c r="I84" s="315"/>
      <c r="J84" s="315"/>
      <c r="K84" s="315"/>
      <c r="L84" s="315"/>
      <c r="M84" s="365"/>
      <c r="N84" s="361"/>
      <c r="O84" s="361"/>
      <c r="P84" s="359"/>
      <c r="Q84" s="279"/>
      <c r="R84" s="145"/>
      <c r="S84" s="145"/>
      <c r="T84" s="145"/>
      <c r="U84" s="145"/>
      <c r="V84" s="145"/>
      <c r="W84" s="145"/>
      <c r="X84" s="145"/>
      <c r="Y84" s="145"/>
      <c r="Z84" s="145"/>
      <c r="AA84" s="145"/>
      <c r="AB84" s="145"/>
      <c r="AC84" s="145"/>
      <c r="AD84" s="145"/>
      <c r="AE84" s="145"/>
    </row>
    <row r="85" ht="15.15" spans="1:31">
      <c r="A85" s="309"/>
      <c r="B85" s="312" t="s">
        <v>1453</v>
      </c>
      <c r="C85" s="331" t="s">
        <v>1489</v>
      </c>
      <c r="D85" s="331" t="s">
        <v>1490</v>
      </c>
      <c r="E85" s="331" t="s">
        <v>1491</v>
      </c>
      <c r="F85" s="331" t="s">
        <v>1492</v>
      </c>
      <c r="G85" s="331" t="s">
        <v>1493</v>
      </c>
      <c r="H85" s="313"/>
      <c r="I85" s="313"/>
      <c r="J85" s="313"/>
      <c r="K85" s="362"/>
      <c r="L85" s="363"/>
      <c r="M85" s="364"/>
      <c r="N85" s="358"/>
      <c r="O85" s="358"/>
      <c r="P85" s="359"/>
      <c r="Q85" s="279"/>
      <c r="R85" s="145"/>
      <c r="S85" s="145"/>
      <c r="T85" s="145"/>
      <c r="U85" s="145"/>
      <c r="V85" s="145"/>
      <c r="W85" s="145"/>
      <c r="X85" s="145"/>
      <c r="Y85" s="145"/>
      <c r="Z85" s="145"/>
      <c r="AA85" s="145"/>
      <c r="AB85" s="145"/>
      <c r="AC85" s="145"/>
      <c r="AD85" s="145"/>
      <c r="AE85" s="145"/>
    </row>
    <row r="86" ht="14.55" spans="1:31">
      <c r="A86" s="309"/>
      <c r="B86" s="314"/>
      <c r="C86" s="315">
        <v>100</v>
      </c>
      <c r="D86" s="315">
        <f t="shared" ref="D86:G86" si="70">C86-$K17</f>
        <v>98</v>
      </c>
      <c r="E86" s="315">
        <f t="shared" si="70"/>
        <v>96</v>
      </c>
      <c r="F86" s="315">
        <f t="shared" si="70"/>
        <v>94</v>
      </c>
      <c r="G86" s="315">
        <f t="shared" si="70"/>
        <v>92</v>
      </c>
      <c r="H86" s="315"/>
      <c r="I86" s="315"/>
      <c r="J86" s="315"/>
      <c r="K86" s="315"/>
      <c r="L86" s="315"/>
      <c r="M86" s="365"/>
      <c r="N86" s="361"/>
      <c r="O86" s="361"/>
      <c r="P86" s="359"/>
      <c r="Q86" s="279"/>
      <c r="R86" s="145"/>
      <c r="S86" s="145"/>
      <c r="T86" s="145"/>
      <c r="U86" s="145"/>
      <c r="V86" s="145"/>
      <c r="W86" s="145"/>
      <c r="X86" s="145"/>
      <c r="Y86" s="145"/>
      <c r="Z86" s="145"/>
      <c r="AA86" s="145"/>
      <c r="AB86" s="145"/>
      <c r="AC86" s="145"/>
      <c r="AD86" s="145"/>
      <c r="AE86" s="145"/>
    </row>
    <row r="87" s="15" customFormat="1" ht="29.55" spans="1:31">
      <c r="A87" s="332"/>
      <c r="B87" s="312" t="s">
        <v>1562</v>
      </c>
      <c r="C87" s="329" t="s">
        <v>1489</v>
      </c>
      <c r="D87" s="329" t="s">
        <v>1490</v>
      </c>
      <c r="E87" s="329" t="s">
        <v>1491</v>
      </c>
      <c r="F87" s="329" t="s">
        <v>1492</v>
      </c>
      <c r="G87" s="329" t="s">
        <v>1493</v>
      </c>
      <c r="H87" s="331"/>
      <c r="I87" s="331"/>
      <c r="J87" s="331"/>
      <c r="K87" s="331"/>
      <c r="L87" s="382"/>
      <c r="M87" s="383"/>
      <c r="N87" s="352"/>
      <c r="O87" s="352"/>
      <c r="P87" s="359"/>
      <c r="Q87" s="279"/>
      <c r="R87" s="402"/>
      <c r="S87" s="402"/>
      <c r="T87" s="402"/>
      <c r="U87" s="402"/>
      <c r="V87" s="402"/>
      <c r="W87" s="402"/>
      <c r="X87" s="402"/>
      <c r="Y87" s="402"/>
      <c r="Z87" s="402"/>
      <c r="AA87" s="402"/>
      <c r="AB87" s="402"/>
      <c r="AC87" s="402"/>
      <c r="AD87" s="402"/>
      <c r="AE87" s="402"/>
    </row>
    <row r="88" s="15" customFormat="1" ht="14.55" spans="1:31">
      <c r="A88" s="332"/>
      <c r="B88" s="314"/>
      <c r="C88" s="333">
        <v>100</v>
      </c>
      <c r="D88" s="315">
        <f t="shared" ref="D88:G88" si="71">C88-$K19</f>
        <v>100</v>
      </c>
      <c r="E88" s="315">
        <f t="shared" si="71"/>
        <v>100</v>
      </c>
      <c r="F88" s="315">
        <f t="shared" si="71"/>
        <v>100</v>
      </c>
      <c r="G88" s="315">
        <f t="shared" si="71"/>
        <v>100</v>
      </c>
      <c r="H88" s="315"/>
      <c r="I88" s="315"/>
      <c r="J88" s="315"/>
      <c r="K88" s="315"/>
      <c r="L88" s="315"/>
      <c r="M88" s="365"/>
      <c r="N88" s="361"/>
      <c r="O88" s="361"/>
      <c r="P88" s="359"/>
      <c r="Q88" s="279"/>
      <c r="R88" s="402"/>
      <c r="S88" s="402"/>
      <c r="T88" s="402"/>
      <c r="U88" s="402"/>
      <c r="V88" s="402"/>
      <c r="W88" s="402"/>
      <c r="X88" s="402"/>
      <c r="Y88" s="402"/>
      <c r="Z88" s="402"/>
      <c r="AA88" s="402"/>
      <c r="AB88" s="402"/>
      <c r="AC88" s="402"/>
      <c r="AD88" s="402"/>
      <c r="AE88" s="402"/>
    </row>
    <row r="89" s="15" customFormat="1" ht="29.55" spans="1:31">
      <c r="A89" s="332"/>
      <c r="B89" s="312" t="s">
        <v>1563</v>
      </c>
      <c r="C89" s="329" t="s">
        <v>1489</v>
      </c>
      <c r="D89" s="329" t="s">
        <v>1490</v>
      </c>
      <c r="E89" s="329" t="s">
        <v>1491</v>
      </c>
      <c r="F89" s="329" t="s">
        <v>1492</v>
      </c>
      <c r="G89" s="329" t="s">
        <v>1493</v>
      </c>
      <c r="H89" s="331"/>
      <c r="I89" s="331"/>
      <c r="J89" s="331"/>
      <c r="K89" s="331"/>
      <c r="L89" s="331"/>
      <c r="M89" s="383"/>
      <c r="N89" s="352"/>
      <c r="O89" s="352"/>
      <c r="P89" s="359"/>
      <c r="Q89" s="279"/>
      <c r="R89" s="402"/>
      <c r="S89" s="402"/>
      <c r="T89" s="402"/>
      <c r="U89" s="402"/>
      <c r="V89" s="402"/>
      <c r="W89" s="402"/>
      <c r="X89" s="402"/>
      <c r="Y89" s="402"/>
      <c r="Z89" s="402"/>
      <c r="AA89" s="402"/>
      <c r="AB89" s="402"/>
      <c r="AC89" s="402"/>
      <c r="AD89" s="402"/>
      <c r="AE89" s="402"/>
    </row>
    <row r="90" s="15" customFormat="1" ht="14.55" spans="1:31">
      <c r="A90" s="332"/>
      <c r="B90" s="314"/>
      <c r="C90" s="315">
        <v>100</v>
      </c>
      <c r="D90" s="315">
        <f t="shared" ref="D90:G90" si="72">C90-$K21</f>
        <v>98</v>
      </c>
      <c r="E90" s="315">
        <f t="shared" si="72"/>
        <v>96</v>
      </c>
      <c r="F90" s="315">
        <f t="shared" si="72"/>
        <v>94</v>
      </c>
      <c r="G90" s="315">
        <f t="shared" si="72"/>
        <v>92</v>
      </c>
      <c r="H90" s="315"/>
      <c r="I90" s="315"/>
      <c r="J90" s="315"/>
      <c r="K90" s="315"/>
      <c r="L90" s="315"/>
      <c r="M90" s="365"/>
      <c r="N90" s="361"/>
      <c r="O90" s="361"/>
      <c r="P90" s="359"/>
      <c r="Q90" s="279"/>
      <c r="R90" s="402"/>
      <c r="S90" s="402"/>
      <c r="T90" s="402"/>
      <c r="U90" s="402"/>
      <c r="V90" s="402"/>
      <c r="W90" s="402"/>
      <c r="X90" s="402"/>
      <c r="Y90" s="402"/>
      <c r="Z90" s="402"/>
      <c r="AA90" s="402"/>
      <c r="AB90" s="402"/>
      <c r="AC90" s="402"/>
      <c r="AD90" s="402"/>
      <c r="AE90" s="402"/>
    </row>
    <row r="91" s="17" customFormat="1" ht="15.15" spans="1:31">
      <c r="A91" s="319"/>
      <c r="B91" s="312" t="s">
        <v>1454</v>
      </c>
      <c r="C91" s="329" t="s">
        <v>1489</v>
      </c>
      <c r="D91" s="329" t="s">
        <v>1490</v>
      </c>
      <c r="E91" s="329" t="s">
        <v>1491</v>
      </c>
      <c r="F91" s="329" t="s">
        <v>1492</v>
      </c>
      <c r="G91" s="329" t="s">
        <v>1493</v>
      </c>
      <c r="H91" s="334"/>
      <c r="I91" s="334"/>
      <c r="J91" s="334"/>
      <c r="K91" s="334"/>
      <c r="L91" s="384"/>
      <c r="M91" s="385"/>
      <c r="N91" s="371"/>
      <c r="O91" s="371"/>
      <c r="P91" s="372"/>
      <c r="Q91" s="403"/>
      <c r="R91" s="404"/>
      <c r="S91" s="404"/>
      <c r="T91" s="404"/>
      <c r="U91" s="404"/>
      <c r="V91" s="404"/>
      <c r="W91" s="404"/>
      <c r="X91" s="404"/>
      <c r="Y91" s="404"/>
      <c r="Z91" s="404"/>
      <c r="AA91" s="404"/>
      <c r="AB91" s="404"/>
      <c r="AC91" s="404"/>
      <c r="AD91" s="404"/>
      <c r="AE91" s="404"/>
    </row>
    <row r="92" s="17" customFormat="1" ht="14.55" spans="1:31">
      <c r="A92" s="319"/>
      <c r="B92" s="314"/>
      <c r="C92" s="315">
        <v>100</v>
      </c>
      <c r="D92" s="315">
        <f t="shared" ref="D92:G92" si="73">C92-$K23</f>
        <v>98</v>
      </c>
      <c r="E92" s="315">
        <f t="shared" si="73"/>
        <v>96</v>
      </c>
      <c r="F92" s="315">
        <f t="shared" si="73"/>
        <v>94</v>
      </c>
      <c r="G92" s="315">
        <f t="shared" si="73"/>
        <v>92</v>
      </c>
      <c r="H92" s="335"/>
      <c r="I92" s="335"/>
      <c r="J92" s="335"/>
      <c r="K92" s="335"/>
      <c r="L92" s="335"/>
      <c r="M92" s="386"/>
      <c r="N92" s="371"/>
      <c r="O92" s="371"/>
      <c r="P92" s="372"/>
      <c r="Q92" s="403"/>
      <c r="R92" s="404"/>
      <c r="S92" s="404"/>
      <c r="T92" s="404"/>
      <c r="U92" s="404"/>
      <c r="V92" s="404"/>
      <c r="W92" s="404"/>
      <c r="X92" s="404"/>
      <c r="Y92" s="404"/>
      <c r="Z92" s="404"/>
      <c r="AA92" s="404"/>
      <c r="AB92" s="404"/>
      <c r="AC92" s="404"/>
      <c r="AD92" s="404"/>
      <c r="AE92" s="404"/>
    </row>
    <row r="93" s="17" customFormat="1" ht="15.15" spans="1:31">
      <c r="A93" s="319"/>
      <c r="B93" s="316" t="s">
        <v>1455</v>
      </c>
      <c r="C93" s="336" t="s">
        <v>1494</v>
      </c>
      <c r="D93" s="336" t="s">
        <v>1495</v>
      </c>
      <c r="E93" s="336" t="s">
        <v>1496</v>
      </c>
      <c r="F93" s="336" t="s">
        <v>1497</v>
      </c>
      <c r="G93" s="336" t="s">
        <v>1498</v>
      </c>
      <c r="H93" s="334"/>
      <c r="I93" s="334"/>
      <c r="J93" s="334"/>
      <c r="K93" s="334"/>
      <c r="L93" s="334"/>
      <c r="M93" s="385"/>
      <c r="N93" s="371"/>
      <c r="O93" s="371"/>
      <c r="P93" s="372"/>
      <c r="Q93" s="403"/>
      <c r="R93" s="404"/>
      <c r="S93" s="404"/>
      <c r="T93" s="404"/>
      <c r="U93" s="404"/>
      <c r="V93" s="404"/>
      <c r="W93" s="404"/>
      <c r="X93" s="404"/>
      <c r="Y93" s="404"/>
      <c r="Z93" s="404"/>
      <c r="AA93" s="404"/>
      <c r="AB93" s="404"/>
      <c r="AC93" s="404"/>
      <c r="AD93" s="404"/>
      <c r="AE93" s="404"/>
    </row>
    <row r="94" s="17" customFormat="1" ht="14.55" spans="1:31">
      <c r="A94" s="319"/>
      <c r="B94" s="316"/>
      <c r="C94" s="315">
        <v>100</v>
      </c>
      <c r="D94" s="315">
        <f t="shared" ref="D94:G94" si="74">C94-$K25</f>
        <v>100</v>
      </c>
      <c r="E94" s="315">
        <f t="shared" si="74"/>
        <v>100</v>
      </c>
      <c r="F94" s="315">
        <f t="shared" si="74"/>
        <v>100</v>
      </c>
      <c r="G94" s="315">
        <f t="shared" si="74"/>
        <v>100</v>
      </c>
      <c r="H94" s="318"/>
      <c r="I94" s="318"/>
      <c r="J94" s="318"/>
      <c r="K94" s="318"/>
      <c r="L94" s="318"/>
      <c r="M94" s="387"/>
      <c r="N94" s="371"/>
      <c r="O94" s="371"/>
      <c r="P94" s="372"/>
      <c r="Q94" s="403"/>
      <c r="R94" s="404"/>
      <c r="S94" s="404"/>
      <c r="T94" s="404"/>
      <c r="U94" s="404"/>
      <c r="V94" s="404"/>
      <c r="W94" s="404"/>
      <c r="X94" s="404"/>
      <c r="Y94" s="404"/>
      <c r="Z94" s="404"/>
      <c r="AA94" s="404"/>
      <c r="AB94" s="404"/>
      <c r="AC94" s="404"/>
      <c r="AD94" s="404"/>
      <c r="AE94" s="404"/>
    </row>
    <row r="95" ht="15.15" spans="1:31">
      <c r="A95" s="309"/>
      <c r="B95" s="312" t="str">
        <f>B27</f>
        <v>临街状况</v>
      </c>
      <c r="C95" s="313" t="s">
        <v>1597</v>
      </c>
      <c r="D95" s="313" t="s">
        <v>1598</v>
      </c>
      <c r="E95" s="313" t="s">
        <v>1599</v>
      </c>
      <c r="F95" s="313" t="s">
        <v>1600</v>
      </c>
      <c r="G95" s="313"/>
      <c r="H95" s="313"/>
      <c r="I95" s="313"/>
      <c r="J95" s="313"/>
      <c r="K95" s="362"/>
      <c r="L95" s="363"/>
      <c r="M95" s="364"/>
      <c r="N95" s="358"/>
      <c r="O95" s="358"/>
      <c r="P95" s="359"/>
      <c r="Q95" s="279"/>
      <c r="R95" s="145"/>
      <c r="S95" s="145"/>
      <c r="T95" s="145"/>
      <c r="U95" s="145"/>
      <c r="V95" s="145"/>
      <c r="W95" s="145"/>
      <c r="X95" s="145"/>
      <c r="Y95" s="145"/>
      <c r="Z95" s="145"/>
      <c r="AA95" s="145"/>
      <c r="AB95" s="145"/>
      <c r="AC95" s="145"/>
      <c r="AD95" s="145"/>
      <c r="AE95" s="145"/>
    </row>
    <row r="96" ht="14.55" spans="1:31">
      <c r="A96" s="309"/>
      <c r="B96" s="314"/>
      <c r="C96" s="315">
        <v>100</v>
      </c>
      <c r="D96" s="315">
        <f t="shared" ref="D96:M96" si="75">C96-$K27</f>
        <v>100</v>
      </c>
      <c r="E96" s="315">
        <f t="shared" si="75"/>
        <v>100</v>
      </c>
      <c r="F96" s="315">
        <f t="shared" si="75"/>
        <v>100</v>
      </c>
      <c r="G96" s="315">
        <f t="shared" si="75"/>
        <v>100</v>
      </c>
      <c r="H96" s="315">
        <f t="shared" si="75"/>
        <v>100</v>
      </c>
      <c r="I96" s="315">
        <f t="shared" si="75"/>
        <v>100</v>
      </c>
      <c r="J96" s="315">
        <f t="shared" si="75"/>
        <v>100</v>
      </c>
      <c r="K96" s="315">
        <f t="shared" si="75"/>
        <v>100</v>
      </c>
      <c r="L96" s="315">
        <f t="shared" si="75"/>
        <v>100</v>
      </c>
      <c r="M96" s="315">
        <f t="shared" si="75"/>
        <v>100</v>
      </c>
      <c r="N96" s="361"/>
      <c r="O96" s="361"/>
      <c r="P96" s="359"/>
      <c r="Q96" s="279"/>
      <c r="R96" s="145"/>
      <c r="S96" s="145"/>
      <c r="T96" s="145"/>
      <c r="U96" s="145"/>
      <c r="V96" s="145"/>
      <c r="W96" s="145"/>
      <c r="X96" s="145"/>
      <c r="Y96" s="145"/>
      <c r="Z96" s="145"/>
      <c r="AA96" s="145"/>
      <c r="AB96" s="145"/>
      <c r="AC96" s="145"/>
      <c r="AD96" s="145"/>
      <c r="AE96" s="145"/>
    </row>
    <row r="97" ht="29.55" spans="1:31">
      <c r="A97" s="309"/>
      <c r="B97" s="312" t="s">
        <v>1535</v>
      </c>
      <c r="C97" s="320"/>
      <c r="D97" s="320"/>
      <c r="E97" s="320"/>
      <c r="F97" s="320"/>
      <c r="G97" s="320"/>
      <c r="H97" s="337"/>
      <c r="I97" s="337"/>
      <c r="J97" s="337"/>
      <c r="K97" s="388"/>
      <c r="L97" s="389"/>
      <c r="M97" s="390"/>
      <c r="N97" s="358"/>
      <c r="O97" s="358"/>
      <c r="P97" s="359"/>
      <c r="Q97" s="279"/>
      <c r="R97" s="145"/>
      <c r="S97" s="145"/>
      <c r="T97" s="145"/>
      <c r="U97" s="145"/>
      <c r="V97" s="145"/>
      <c r="W97" s="145"/>
      <c r="X97" s="145"/>
      <c r="Y97" s="145"/>
      <c r="Z97" s="145"/>
      <c r="AA97" s="145"/>
      <c r="AB97" s="145"/>
      <c r="AC97" s="145"/>
      <c r="AD97" s="145"/>
      <c r="AE97" s="145"/>
    </row>
    <row r="98" ht="14.55" spans="1:31">
      <c r="A98" s="309"/>
      <c r="B98" s="314"/>
      <c r="C98" s="315">
        <v>100</v>
      </c>
      <c r="D98" s="315">
        <f t="shared" ref="D98:M98" si="76">C98-$K28</f>
        <v>100</v>
      </c>
      <c r="E98" s="315">
        <f t="shared" si="76"/>
        <v>100</v>
      </c>
      <c r="F98" s="315">
        <f t="shared" si="76"/>
        <v>100</v>
      </c>
      <c r="G98" s="315">
        <f t="shared" si="76"/>
        <v>100</v>
      </c>
      <c r="H98" s="315">
        <f t="shared" si="76"/>
        <v>100</v>
      </c>
      <c r="I98" s="315">
        <f t="shared" si="76"/>
        <v>100</v>
      </c>
      <c r="J98" s="315">
        <f t="shared" si="76"/>
        <v>100</v>
      </c>
      <c r="K98" s="315">
        <f t="shared" si="76"/>
        <v>100</v>
      </c>
      <c r="L98" s="315">
        <f t="shared" si="76"/>
        <v>100</v>
      </c>
      <c r="M98" s="315">
        <f t="shared" si="76"/>
        <v>100</v>
      </c>
      <c r="N98" s="361"/>
      <c r="O98" s="361"/>
      <c r="P98" s="359"/>
      <c r="Q98" s="279"/>
      <c r="R98" s="145"/>
      <c r="S98" s="145"/>
      <c r="T98" s="145"/>
      <c r="U98" s="145"/>
      <c r="V98" s="145"/>
      <c r="W98" s="145"/>
      <c r="X98" s="145"/>
      <c r="Y98" s="145"/>
      <c r="Z98" s="145"/>
      <c r="AA98" s="145"/>
      <c r="AB98" s="145"/>
      <c r="AC98" s="145"/>
      <c r="AD98" s="145"/>
      <c r="AE98" s="145"/>
    </row>
    <row r="99" ht="15.15" spans="1:31">
      <c r="A99" s="309"/>
      <c r="B99" s="312" t="s">
        <v>1564</v>
      </c>
      <c r="C99" s="338" t="s">
        <v>273</v>
      </c>
      <c r="D99" s="338" t="s">
        <v>278</v>
      </c>
      <c r="E99" s="338" t="s">
        <v>283</v>
      </c>
      <c r="F99" s="338" t="s">
        <v>286</v>
      </c>
      <c r="G99" s="337"/>
      <c r="H99" s="337"/>
      <c r="I99" s="337"/>
      <c r="J99" s="337"/>
      <c r="K99" s="388"/>
      <c r="L99" s="389"/>
      <c r="M99" s="390"/>
      <c r="N99" s="358"/>
      <c r="O99" s="358"/>
      <c r="P99" s="359"/>
      <c r="Q99" s="279"/>
      <c r="R99" s="145"/>
      <c r="S99" s="145"/>
      <c r="T99" s="145"/>
      <c r="U99" s="145"/>
      <c r="V99" s="145"/>
      <c r="W99" s="145"/>
      <c r="X99" s="145"/>
      <c r="Y99" s="145"/>
      <c r="Z99" s="145"/>
      <c r="AA99" s="145"/>
      <c r="AB99" s="145"/>
      <c r="AC99" s="145"/>
      <c r="AD99" s="145"/>
      <c r="AE99" s="145"/>
    </row>
    <row r="100" ht="14.55" spans="1:31">
      <c r="A100" s="309"/>
      <c r="B100" s="314"/>
      <c r="C100" s="315">
        <v>100</v>
      </c>
      <c r="D100" s="315">
        <f t="shared" ref="D100:M100" si="77">C100-$K30</f>
        <v>99</v>
      </c>
      <c r="E100" s="315">
        <f t="shared" si="77"/>
        <v>98</v>
      </c>
      <c r="F100" s="315">
        <f t="shared" si="77"/>
        <v>97</v>
      </c>
      <c r="G100" s="315">
        <f t="shared" si="77"/>
        <v>96</v>
      </c>
      <c r="H100" s="315">
        <f t="shared" si="77"/>
        <v>95</v>
      </c>
      <c r="I100" s="315">
        <f t="shared" si="77"/>
        <v>94</v>
      </c>
      <c r="J100" s="315">
        <f t="shared" si="77"/>
        <v>93</v>
      </c>
      <c r="K100" s="315">
        <f t="shared" si="77"/>
        <v>92</v>
      </c>
      <c r="L100" s="315">
        <f t="shared" si="77"/>
        <v>91</v>
      </c>
      <c r="M100" s="315">
        <f t="shared" si="77"/>
        <v>90</v>
      </c>
      <c r="N100" s="361"/>
      <c r="O100" s="361"/>
      <c r="P100" s="359"/>
      <c r="Q100" s="279"/>
      <c r="R100" s="145"/>
      <c r="S100" s="145"/>
      <c r="T100" s="145"/>
      <c r="U100" s="145"/>
      <c r="V100" s="145"/>
      <c r="W100" s="145"/>
      <c r="X100" s="145"/>
      <c r="Y100" s="145"/>
      <c r="Z100" s="145"/>
      <c r="AA100" s="145"/>
      <c r="AB100" s="145"/>
      <c r="AC100" s="145"/>
      <c r="AD100" s="145"/>
      <c r="AE100" s="145"/>
    </row>
    <row r="101" ht="14.55" spans="1:31">
      <c r="A101" s="309"/>
      <c r="B101" s="316">
        <f>B31</f>
        <v>111</v>
      </c>
      <c r="C101" s="320"/>
      <c r="D101" s="320"/>
      <c r="E101" s="320"/>
      <c r="F101" s="320"/>
      <c r="G101" s="339"/>
      <c r="H101" s="339"/>
      <c r="I101" s="339"/>
      <c r="J101" s="339"/>
      <c r="K101" s="391"/>
      <c r="L101" s="392"/>
      <c r="M101" s="393"/>
      <c r="N101" s="358"/>
      <c r="O101" s="358"/>
      <c r="P101" s="359"/>
      <c r="Q101" s="279"/>
      <c r="R101" s="145"/>
      <c r="S101" s="145"/>
      <c r="T101" s="145"/>
      <c r="U101" s="145"/>
      <c r="V101" s="145"/>
      <c r="W101" s="145"/>
      <c r="X101" s="145"/>
      <c r="Y101" s="145"/>
      <c r="Z101" s="145"/>
      <c r="AA101" s="145"/>
      <c r="AB101" s="145"/>
      <c r="AC101" s="145"/>
      <c r="AD101" s="145"/>
      <c r="AE101" s="145"/>
    </row>
    <row r="102" ht="14.55" spans="1:31">
      <c r="A102" s="309"/>
      <c r="B102" s="326"/>
      <c r="C102" s="322"/>
      <c r="D102" s="311"/>
      <c r="E102" s="311"/>
      <c r="F102" s="311"/>
      <c r="G102" s="340"/>
      <c r="H102" s="340"/>
      <c r="I102" s="340"/>
      <c r="J102" s="340"/>
      <c r="K102" s="340"/>
      <c r="L102" s="340"/>
      <c r="M102" s="394"/>
      <c r="N102" s="361"/>
      <c r="O102" s="361"/>
      <c r="P102" s="359"/>
      <c r="Q102" s="279"/>
      <c r="R102" s="145"/>
      <c r="S102" s="145"/>
      <c r="T102" s="145"/>
      <c r="U102" s="145"/>
      <c r="V102" s="145"/>
      <c r="W102" s="145"/>
      <c r="X102" s="145"/>
      <c r="Y102" s="145"/>
      <c r="Z102" s="145"/>
      <c r="AA102" s="145"/>
      <c r="AB102" s="145"/>
      <c r="AC102" s="145"/>
      <c r="AD102" s="145"/>
      <c r="AE102" s="145"/>
    </row>
    <row r="103" ht="14.55" spans="1:31">
      <c r="A103" s="111"/>
      <c r="B103" s="312">
        <f>B32</f>
        <v>111</v>
      </c>
      <c r="C103" s="320"/>
      <c r="D103" s="320"/>
      <c r="E103" s="320"/>
      <c r="F103" s="320"/>
      <c r="G103" s="337"/>
      <c r="H103" s="337"/>
      <c r="I103" s="337"/>
      <c r="J103" s="337"/>
      <c r="K103" s="388"/>
      <c r="L103" s="389"/>
      <c r="M103" s="390"/>
      <c r="N103" s="358"/>
      <c r="O103" s="358"/>
      <c r="P103" s="359"/>
      <c r="Q103" s="279"/>
      <c r="R103" s="145"/>
      <c r="S103" s="145"/>
      <c r="T103" s="145"/>
      <c r="U103" s="145"/>
      <c r="V103" s="145"/>
      <c r="W103" s="145"/>
      <c r="X103" s="145"/>
      <c r="Y103" s="145"/>
      <c r="Z103" s="145"/>
      <c r="AA103" s="145"/>
      <c r="AB103" s="145"/>
      <c r="AC103" s="145"/>
      <c r="AD103" s="145"/>
      <c r="AE103" s="145"/>
    </row>
    <row r="104" ht="14.55" spans="1:31">
      <c r="A104" s="309"/>
      <c r="B104" s="314"/>
      <c r="C104" s="322"/>
      <c r="D104" s="322"/>
      <c r="E104" s="322"/>
      <c r="F104" s="322"/>
      <c r="G104" s="311"/>
      <c r="H104" s="311"/>
      <c r="I104" s="311"/>
      <c r="J104" s="311"/>
      <c r="K104" s="311"/>
      <c r="L104" s="311"/>
      <c r="M104" s="360"/>
      <c r="N104" s="361"/>
      <c r="O104" s="361"/>
      <c r="P104" s="359"/>
      <c r="Q104" s="279"/>
      <c r="R104" s="145"/>
      <c r="S104" s="145"/>
      <c r="T104" s="145"/>
      <c r="U104" s="145"/>
      <c r="V104" s="145"/>
      <c r="W104" s="145"/>
      <c r="X104" s="145"/>
      <c r="Y104" s="145"/>
      <c r="Z104" s="145"/>
      <c r="AA104" s="145"/>
      <c r="AB104" s="145"/>
      <c r="AC104" s="145"/>
      <c r="AD104" s="145"/>
      <c r="AE104" s="145"/>
    </row>
    <row r="105" s="17" customFormat="1" ht="14.55" spans="1:31">
      <c r="A105" s="341"/>
      <c r="B105" s="342">
        <f>B33</f>
        <v>111</v>
      </c>
      <c r="C105" s="304"/>
      <c r="D105" s="304"/>
      <c r="E105" s="304"/>
      <c r="F105" s="304"/>
      <c r="G105" s="296"/>
      <c r="H105" s="296"/>
      <c r="I105" s="296"/>
      <c r="J105" s="395"/>
      <c r="K105" s="395"/>
      <c r="L105" s="396"/>
      <c r="M105" s="397"/>
      <c r="N105" s="371"/>
      <c r="O105" s="371"/>
      <c r="P105" s="372"/>
      <c r="Q105" s="403"/>
      <c r="R105" s="404"/>
      <c r="S105" s="404"/>
      <c r="T105" s="404"/>
      <c r="U105" s="404"/>
      <c r="V105" s="404"/>
      <c r="W105" s="404"/>
      <c r="X105" s="404"/>
      <c r="Y105" s="404"/>
      <c r="Z105" s="404"/>
      <c r="AA105" s="404"/>
      <c r="AB105" s="404"/>
      <c r="AC105" s="404"/>
      <c r="AD105" s="404"/>
      <c r="AE105" s="404"/>
    </row>
    <row r="106" s="17" customFormat="1" ht="14.55" spans="1:31">
      <c r="A106" s="319"/>
      <c r="B106" s="316"/>
      <c r="C106" s="327"/>
      <c r="D106" s="327"/>
      <c r="E106" s="327"/>
      <c r="F106" s="327"/>
      <c r="G106" s="343"/>
      <c r="H106" s="343"/>
      <c r="I106" s="343"/>
      <c r="J106" s="343"/>
      <c r="K106" s="343"/>
      <c r="L106" s="343"/>
      <c r="M106" s="398"/>
      <c r="N106" s="361"/>
      <c r="O106" s="361"/>
      <c r="P106" s="372"/>
      <c r="Q106" s="403"/>
      <c r="R106" s="404"/>
      <c r="S106" s="404"/>
      <c r="T106" s="404"/>
      <c r="U106" s="404"/>
      <c r="V106" s="404"/>
      <c r="W106" s="404"/>
      <c r="X106" s="404"/>
      <c r="Y106" s="404"/>
      <c r="Z106" s="404"/>
      <c r="AA106" s="404"/>
      <c r="AB106" s="404"/>
      <c r="AC106" s="404"/>
      <c r="AD106" s="404"/>
      <c r="AE106" s="404"/>
    </row>
    <row r="107" ht="28.2" spans="1:31">
      <c r="A107" s="307" t="s">
        <v>1459</v>
      </c>
      <c r="B107" s="308" t="s">
        <v>1565</v>
      </c>
      <c r="C107" s="330" t="str">
        <f t="shared" ref="C107:L107" si="78">C108&amp;"(含)"&amp;"-"&amp;D108</f>
        <v>0(含)-20000</v>
      </c>
      <c r="D107" s="330" t="str">
        <f t="shared" si="78"/>
        <v>20000(含)-40000</v>
      </c>
      <c r="E107" s="330" t="str">
        <f t="shared" si="78"/>
        <v>40000(含)-60000</v>
      </c>
      <c r="F107" s="330" t="str">
        <f t="shared" si="78"/>
        <v>60000(含)-80000</v>
      </c>
      <c r="G107" s="330" t="str">
        <f t="shared" si="78"/>
        <v>80000(含)-100000</v>
      </c>
      <c r="H107" s="330" t="str">
        <f t="shared" si="78"/>
        <v>100000(含)-</v>
      </c>
      <c r="I107" s="330" t="str">
        <f t="shared" si="78"/>
        <v>(含)-</v>
      </c>
      <c r="J107" s="330" t="str">
        <f t="shared" si="78"/>
        <v>(含)-</v>
      </c>
      <c r="K107" s="399" t="str">
        <f t="shared" si="78"/>
        <v>(含)-</v>
      </c>
      <c r="L107" s="399" t="str">
        <f t="shared" si="78"/>
        <v>(含)-</v>
      </c>
      <c r="M107" s="400" t="str">
        <f>M108&amp;"(含)"&amp;"-"&amp;P108</f>
        <v>(含)-</v>
      </c>
      <c r="N107" s="358"/>
      <c r="O107" s="358"/>
      <c r="P107" s="359"/>
      <c r="Q107" s="279"/>
      <c r="R107" s="145"/>
      <c r="S107" s="145"/>
      <c r="T107" s="145"/>
      <c r="U107" s="145"/>
      <c r="V107" s="145"/>
      <c r="W107" s="145"/>
      <c r="X107" s="145"/>
      <c r="Y107" s="145"/>
      <c r="Z107" s="145"/>
      <c r="AA107" s="145"/>
      <c r="AB107" s="145"/>
      <c r="AC107" s="145"/>
      <c r="AD107" s="145"/>
      <c r="AE107" s="145"/>
    </row>
    <row r="108" spans="1:31">
      <c r="A108" s="309"/>
      <c r="B108" s="316"/>
      <c r="C108" s="296">
        <v>0</v>
      </c>
      <c r="D108" s="296">
        <v>20000</v>
      </c>
      <c r="E108" s="296">
        <v>40000</v>
      </c>
      <c r="F108" s="296">
        <v>60000</v>
      </c>
      <c r="G108" s="296">
        <v>80000</v>
      </c>
      <c r="H108" s="296">
        <v>100000</v>
      </c>
      <c r="I108" s="296"/>
      <c r="J108" s="395"/>
      <c r="K108" s="395"/>
      <c r="L108" s="396"/>
      <c r="M108" s="397"/>
      <c r="N108" s="358"/>
      <c r="O108" s="358"/>
      <c r="P108" s="359"/>
      <c r="Q108" s="279"/>
      <c r="R108" s="145"/>
      <c r="S108" s="145"/>
      <c r="T108" s="145"/>
      <c r="U108" s="145"/>
      <c r="V108" s="145"/>
      <c r="W108" s="145"/>
      <c r="X108" s="145"/>
      <c r="Y108" s="145"/>
      <c r="Z108" s="145"/>
      <c r="AA108" s="145"/>
      <c r="AB108" s="145"/>
      <c r="AC108" s="145"/>
      <c r="AD108" s="145"/>
      <c r="AE108" s="145"/>
    </row>
    <row r="109" ht="14.55" spans="1:31">
      <c r="A109" s="309"/>
      <c r="B109" s="314"/>
      <c r="C109" s="327">
        <v>100</v>
      </c>
      <c r="D109" s="340">
        <v>102</v>
      </c>
      <c r="E109" s="327">
        <v>104</v>
      </c>
      <c r="F109" s="340">
        <v>106</v>
      </c>
      <c r="G109" s="327">
        <v>108</v>
      </c>
      <c r="H109" s="340">
        <v>110</v>
      </c>
      <c r="I109" s="340"/>
      <c r="J109" s="340"/>
      <c r="K109" s="340"/>
      <c r="L109" s="340"/>
      <c r="M109" s="394"/>
      <c r="N109" s="361"/>
      <c r="O109" s="361"/>
      <c r="P109" s="359"/>
      <c r="Q109" s="279"/>
      <c r="R109" s="145"/>
      <c r="S109" s="145"/>
      <c r="T109" s="145"/>
      <c r="U109" s="145"/>
      <c r="V109" s="145"/>
      <c r="W109" s="145"/>
      <c r="X109" s="145"/>
      <c r="Y109" s="145"/>
      <c r="Z109" s="145"/>
      <c r="AA109" s="145"/>
      <c r="AB109" s="145"/>
      <c r="AC109" s="145"/>
      <c r="AD109" s="145"/>
      <c r="AE109" s="145"/>
    </row>
    <row r="110" ht="15.15" spans="1:31">
      <c r="A110" s="344"/>
      <c r="B110" s="312" t="s">
        <v>1566</v>
      </c>
      <c r="C110" s="337"/>
      <c r="D110" s="337"/>
      <c r="E110" s="337"/>
      <c r="F110" s="337"/>
      <c r="G110" s="337"/>
      <c r="H110" s="337"/>
      <c r="I110" s="337"/>
      <c r="J110" s="337"/>
      <c r="K110" s="388"/>
      <c r="L110" s="389"/>
      <c r="M110" s="390"/>
      <c r="N110" s="358"/>
      <c r="O110" s="358"/>
      <c r="P110" s="359"/>
      <c r="Q110" s="279"/>
      <c r="R110" s="145"/>
      <c r="S110" s="145"/>
      <c r="T110" s="145"/>
      <c r="U110" s="145"/>
      <c r="V110" s="145"/>
      <c r="W110" s="145"/>
      <c r="X110" s="145"/>
      <c r="Y110" s="145"/>
      <c r="Z110" s="145"/>
      <c r="AA110" s="145"/>
      <c r="AB110" s="145"/>
      <c r="AC110" s="145"/>
      <c r="AD110" s="145"/>
      <c r="AE110" s="145"/>
    </row>
    <row r="111" ht="14.55" spans="1:31">
      <c r="A111" s="309"/>
      <c r="B111" s="314"/>
      <c r="C111" s="315">
        <v>100</v>
      </c>
      <c r="D111" s="315">
        <f t="shared" ref="D111:M111" si="79">C111-$K35</f>
        <v>100</v>
      </c>
      <c r="E111" s="315">
        <f t="shared" si="79"/>
        <v>100</v>
      </c>
      <c r="F111" s="315">
        <f t="shared" si="79"/>
        <v>100</v>
      </c>
      <c r="G111" s="315">
        <f t="shared" si="79"/>
        <v>100</v>
      </c>
      <c r="H111" s="315">
        <f t="shared" si="79"/>
        <v>100</v>
      </c>
      <c r="I111" s="315">
        <f t="shared" si="79"/>
        <v>100</v>
      </c>
      <c r="J111" s="315">
        <f t="shared" si="79"/>
        <v>100</v>
      </c>
      <c r="K111" s="315">
        <f t="shared" si="79"/>
        <v>100</v>
      </c>
      <c r="L111" s="315">
        <f t="shared" si="79"/>
        <v>100</v>
      </c>
      <c r="M111" s="365">
        <f t="shared" si="79"/>
        <v>100</v>
      </c>
      <c r="N111" s="361"/>
      <c r="O111" s="361"/>
      <c r="P111" s="359"/>
      <c r="Q111" s="279"/>
      <c r="R111" s="145"/>
      <c r="S111" s="145"/>
      <c r="T111" s="145"/>
      <c r="U111" s="145"/>
      <c r="V111" s="145"/>
      <c r="W111" s="145"/>
      <c r="X111" s="145"/>
      <c r="Y111" s="145"/>
      <c r="Z111" s="145"/>
      <c r="AA111" s="145"/>
      <c r="AB111" s="145"/>
      <c r="AC111" s="145"/>
      <c r="AD111" s="145"/>
      <c r="AE111" s="145"/>
    </row>
    <row r="112" s="17" customFormat="1" ht="15.15" spans="1:31">
      <c r="A112" s="341"/>
      <c r="B112" s="312" t="s">
        <v>1568</v>
      </c>
      <c r="C112" s="345" t="s">
        <v>236</v>
      </c>
      <c r="D112" s="345" t="s">
        <v>246</v>
      </c>
      <c r="E112" s="320"/>
      <c r="F112" s="320"/>
      <c r="G112" s="320"/>
      <c r="H112" s="337"/>
      <c r="I112" s="337"/>
      <c r="J112" s="337"/>
      <c r="K112" s="388"/>
      <c r="L112" s="389"/>
      <c r="M112" s="390"/>
      <c r="N112" s="371"/>
      <c r="O112" s="371"/>
      <c r="P112" s="372"/>
      <c r="Q112" s="403"/>
      <c r="R112" s="404"/>
      <c r="S112" s="404"/>
      <c r="T112" s="404"/>
      <c r="U112" s="404"/>
      <c r="V112" s="404"/>
      <c r="W112" s="404"/>
      <c r="X112" s="404"/>
      <c r="Y112" s="404"/>
      <c r="Z112" s="404"/>
      <c r="AA112" s="404"/>
      <c r="AB112" s="404"/>
      <c r="AC112" s="404"/>
      <c r="AD112" s="404"/>
      <c r="AE112" s="404"/>
    </row>
    <row r="113" s="17" customFormat="1" ht="14.55" spans="1:31">
      <c r="A113" s="319"/>
      <c r="B113" s="314"/>
      <c r="C113" s="315">
        <v>100</v>
      </c>
      <c r="D113" s="315">
        <f t="shared" ref="D113:M113" si="80">C113-$K36</f>
        <v>99</v>
      </c>
      <c r="E113" s="315">
        <f t="shared" si="80"/>
        <v>98</v>
      </c>
      <c r="F113" s="315">
        <f t="shared" si="80"/>
        <v>97</v>
      </c>
      <c r="G113" s="315">
        <f t="shared" si="80"/>
        <v>96</v>
      </c>
      <c r="H113" s="315">
        <f t="shared" si="80"/>
        <v>95</v>
      </c>
      <c r="I113" s="315">
        <f t="shared" si="80"/>
        <v>94</v>
      </c>
      <c r="J113" s="315">
        <f t="shared" si="80"/>
        <v>93</v>
      </c>
      <c r="K113" s="315">
        <f t="shared" si="80"/>
        <v>92</v>
      </c>
      <c r="L113" s="315">
        <f t="shared" si="80"/>
        <v>91</v>
      </c>
      <c r="M113" s="365">
        <f t="shared" si="80"/>
        <v>90</v>
      </c>
      <c r="N113" s="371"/>
      <c r="O113" s="371"/>
      <c r="P113" s="372"/>
      <c r="Q113" s="403"/>
      <c r="R113" s="404"/>
      <c r="S113" s="404"/>
      <c r="T113" s="404"/>
      <c r="U113" s="404"/>
      <c r="V113" s="404"/>
      <c r="W113" s="404"/>
      <c r="X113" s="404"/>
      <c r="Y113" s="404"/>
      <c r="Z113" s="404"/>
      <c r="AA113" s="404"/>
      <c r="AB113" s="404"/>
      <c r="AC113" s="404"/>
      <c r="AD113" s="404"/>
      <c r="AE113" s="404"/>
    </row>
    <row r="114" ht="15.15" spans="1:31">
      <c r="A114" s="344"/>
      <c r="B114" s="312" t="s">
        <v>1569</v>
      </c>
      <c r="C114" s="320"/>
      <c r="D114" s="320"/>
      <c r="E114" s="337"/>
      <c r="F114" s="337"/>
      <c r="G114" s="337"/>
      <c r="H114" s="337"/>
      <c r="I114" s="337"/>
      <c r="J114" s="337"/>
      <c r="K114" s="388"/>
      <c r="L114" s="389"/>
      <c r="M114" s="390"/>
      <c r="N114" s="358"/>
      <c r="O114" s="358"/>
      <c r="P114" s="359"/>
      <c r="Q114" s="279"/>
      <c r="R114" s="145"/>
      <c r="S114" s="145"/>
      <c r="T114" s="145"/>
      <c r="U114" s="145"/>
      <c r="V114" s="145"/>
      <c r="W114" s="145"/>
      <c r="X114" s="145"/>
      <c r="Y114" s="145"/>
      <c r="Z114" s="145"/>
      <c r="AA114" s="145"/>
      <c r="AB114" s="145"/>
      <c r="AC114" s="145"/>
      <c r="AD114" s="145"/>
      <c r="AE114" s="145"/>
    </row>
    <row r="115" ht="14.55" spans="1:31">
      <c r="A115" s="309"/>
      <c r="B115" s="314"/>
      <c r="C115" s="315">
        <v>100</v>
      </c>
      <c r="D115" s="315">
        <f t="shared" ref="D115:M115" si="81">C115-$K37</f>
        <v>100</v>
      </c>
      <c r="E115" s="315">
        <f t="shared" si="81"/>
        <v>100</v>
      </c>
      <c r="F115" s="315">
        <f t="shared" si="81"/>
        <v>100</v>
      </c>
      <c r="G115" s="315">
        <f t="shared" si="81"/>
        <v>100</v>
      </c>
      <c r="H115" s="315">
        <f t="shared" si="81"/>
        <v>100</v>
      </c>
      <c r="I115" s="315">
        <f t="shared" si="81"/>
        <v>100</v>
      </c>
      <c r="J115" s="315">
        <f t="shared" si="81"/>
        <v>100</v>
      </c>
      <c r="K115" s="315">
        <f t="shared" si="81"/>
        <v>100</v>
      </c>
      <c r="L115" s="315">
        <f t="shared" si="81"/>
        <v>100</v>
      </c>
      <c r="M115" s="365">
        <f t="shared" si="81"/>
        <v>100</v>
      </c>
      <c r="N115" s="361"/>
      <c r="O115" s="361"/>
      <c r="P115" s="359"/>
      <c r="Q115" s="279"/>
      <c r="R115" s="145"/>
      <c r="S115" s="145"/>
      <c r="T115" s="145"/>
      <c r="U115" s="145"/>
      <c r="V115" s="145"/>
      <c r="W115" s="145"/>
      <c r="X115" s="145"/>
      <c r="Y115" s="145"/>
      <c r="Z115" s="145"/>
      <c r="AA115" s="145"/>
      <c r="AB115" s="145"/>
      <c r="AC115" s="145"/>
      <c r="AD115" s="145"/>
      <c r="AE115" s="145"/>
    </row>
    <row r="116" ht="14.55" spans="1:31">
      <c r="A116" s="344"/>
      <c r="B116" s="312">
        <f>B38</f>
        <v>111</v>
      </c>
      <c r="C116" s="320"/>
      <c r="D116" s="320"/>
      <c r="E116" s="320"/>
      <c r="F116" s="320"/>
      <c r="G116" s="320"/>
      <c r="H116" s="337"/>
      <c r="I116" s="337"/>
      <c r="J116" s="337"/>
      <c r="K116" s="388"/>
      <c r="L116" s="389"/>
      <c r="M116" s="390"/>
      <c r="N116" s="358"/>
      <c r="O116" s="358"/>
      <c r="P116" s="359"/>
      <c r="Q116" s="279"/>
      <c r="R116" s="145"/>
      <c r="S116" s="145"/>
      <c r="T116" s="145"/>
      <c r="U116" s="145"/>
      <c r="V116" s="145"/>
      <c r="W116" s="145"/>
      <c r="X116" s="145"/>
      <c r="Y116" s="145"/>
      <c r="Z116" s="145"/>
      <c r="AA116" s="145"/>
      <c r="AB116" s="145"/>
      <c r="AC116" s="145"/>
      <c r="AD116" s="145"/>
      <c r="AE116" s="145"/>
    </row>
    <row r="117" ht="14.55" spans="1:31">
      <c r="A117" s="309"/>
      <c r="B117" s="314"/>
      <c r="C117" s="322"/>
      <c r="D117" s="311"/>
      <c r="E117" s="311"/>
      <c r="F117" s="311"/>
      <c r="G117" s="311"/>
      <c r="H117" s="311"/>
      <c r="I117" s="311"/>
      <c r="J117" s="311"/>
      <c r="K117" s="311"/>
      <c r="L117" s="311"/>
      <c r="M117" s="360"/>
      <c r="N117" s="361"/>
      <c r="O117" s="361"/>
      <c r="P117" s="359"/>
      <c r="Q117" s="279"/>
      <c r="R117" s="145"/>
      <c r="S117" s="145"/>
      <c r="T117" s="145"/>
      <c r="U117" s="145"/>
      <c r="V117" s="145"/>
      <c r="W117" s="145"/>
      <c r="X117" s="145"/>
      <c r="Y117" s="145"/>
      <c r="Z117" s="145"/>
      <c r="AA117" s="145"/>
      <c r="AB117" s="145"/>
      <c r="AC117" s="145"/>
      <c r="AD117" s="145"/>
      <c r="AE117" s="145"/>
    </row>
    <row r="118" ht="14.55" spans="1:31">
      <c r="A118" s="344"/>
      <c r="B118" s="312">
        <f>B39</f>
        <v>111</v>
      </c>
      <c r="C118" s="320"/>
      <c r="D118" s="320"/>
      <c r="E118" s="320"/>
      <c r="F118" s="320"/>
      <c r="G118" s="337"/>
      <c r="H118" s="337"/>
      <c r="I118" s="337"/>
      <c r="J118" s="337"/>
      <c r="K118" s="388"/>
      <c r="L118" s="389"/>
      <c r="M118" s="390"/>
      <c r="N118" s="358"/>
      <c r="O118" s="358"/>
      <c r="P118" s="359"/>
      <c r="Q118" s="279"/>
      <c r="R118" s="145"/>
      <c r="S118" s="145"/>
      <c r="T118" s="145"/>
      <c r="U118" s="145"/>
      <c r="V118" s="145"/>
      <c r="W118" s="145"/>
      <c r="X118" s="145"/>
      <c r="Y118" s="145"/>
      <c r="Z118" s="145"/>
      <c r="AA118" s="145"/>
      <c r="AB118" s="145"/>
      <c r="AC118" s="145"/>
      <c r="AD118" s="145"/>
      <c r="AE118" s="145"/>
    </row>
    <row r="119" ht="14.55" spans="1:31">
      <c r="A119" s="309"/>
      <c r="B119" s="314"/>
      <c r="C119" s="322"/>
      <c r="D119" s="322"/>
      <c r="E119" s="322"/>
      <c r="F119" s="322"/>
      <c r="G119" s="311"/>
      <c r="H119" s="311"/>
      <c r="I119" s="311"/>
      <c r="J119" s="311"/>
      <c r="K119" s="311"/>
      <c r="L119" s="311"/>
      <c r="M119" s="360"/>
      <c r="N119" s="361"/>
      <c r="O119" s="361"/>
      <c r="P119" s="359"/>
      <c r="Q119" s="279"/>
      <c r="R119" s="145"/>
      <c r="S119" s="145"/>
      <c r="T119" s="145"/>
      <c r="U119" s="145"/>
      <c r="V119" s="145"/>
      <c r="W119" s="145"/>
      <c r="X119" s="145"/>
      <c r="Y119" s="145"/>
      <c r="Z119" s="145"/>
      <c r="AA119" s="145"/>
      <c r="AB119" s="145"/>
      <c r="AC119" s="145"/>
      <c r="AD119" s="145"/>
      <c r="AE119" s="145"/>
    </row>
    <row r="120" s="17" customFormat="1" ht="14.55" spans="1:31">
      <c r="A120" s="341"/>
      <c r="B120" s="312">
        <f>B40</f>
        <v>111</v>
      </c>
      <c r="C120" s="304"/>
      <c r="D120" s="304"/>
      <c r="E120" s="304"/>
      <c r="F120" s="304"/>
      <c r="G120" s="321"/>
      <c r="H120" s="321"/>
      <c r="I120" s="321"/>
      <c r="J120" s="321"/>
      <c r="K120" s="321"/>
      <c r="L120" s="369"/>
      <c r="M120" s="370"/>
      <c r="N120" s="371"/>
      <c r="O120" s="371"/>
      <c r="P120" s="372"/>
      <c r="Q120" s="403"/>
      <c r="R120" s="404"/>
      <c r="S120" s="404"/>
      <c r="T120" s="404"/>
      <c r="U120" s="404"/>
      <c r="V120" s="404"/>
      <c r="W120" s="404"/>
      <c r="X120" s="404"/>
      <c r="Y120" s="404"/>
      <c r="Z120" s="404"/>
      <c r="AA120" s="404"/>
      <c r="AB120" s="404"/>
      <c r="AC120" s="404"/>
      <c r="AD120" s="404"/>
      <c r="AE120" s="404"/>
    </row>
    <row r="121" s="17" customFormat="1" ht="14.55" spans="1:31">
      <c r="A121" s="325"/>
      <c r="B121" s="346"/>
      <c r="C121" s="327"/>
      <c r="D121" s="327"/>
      <c r="E121" s="327"/>
      <c r="F121" s="327"/>
      <c r="G121" s="340"/>
      <c r="H121" s="340"/>
      <c r="I121" s="340"/>
      <c r="J121" s="340"/>
      <c r="K121" s="340"/>
      <c r="L121" s="340"/>
      <c r="M121" s="394"/>
      <c r="N121" s="371"/>
      <c r="O121" s="371"/>
      <c r="P121" s="372"/>
      <c r="Q121" s="403"/>
      <c r="R121" s="404"/>
      <c r="S121" s="404"/>
      <c r="T121" s="404"/>
      <c r="U121" s="404"/>
      <c r="V121" s="404"/>
      <c r="W121" s="404"/>
      <c r="X121" s="404"/>
      <c r="Y121" s="404"/>
      <c r="Z121" s="404"/>
      <c r="AA121" s="404"/>
      <c r="AB121" s="404"/>
      <c r="AC121" s="404"/>
      <c r="AD121" s="404"/>
      <c r="AE121" s="404"/>
    </row>
    <row r="122" spans="14:31">
      <c r="N122" s="145"/>
      <c r="O122" s="145"/>
      <c r="P122" s="145"/>
      <c r="Q122" s="145"/>
      <c r="R122" s="145"/>
      <c r="S122" s="145"/>
      <c r="T122" s="145"/>
      <c r="U122" s="145"/>
      <c r="V122" s="145"/>
      <c r="W122" s="145"/>
      <c r="X122" s="145"/>
      <c r="Y122" s="145"/>
      <c r="Z122" s="145"/>
      <c r="AA122" s="145"/>
      <c r="AB122" s="145"/>
      <c r="AC122" s="145"/>
      <c r="AD122" s="145"/>
      <c r="AE122" s="145"/>
    </row>
    <row r="123" spans="16:31">
      <c r="P123" s="145"/>
      <c r="Q123" s="145"/>
      <c r="R123" s="145"/>
      <c r="S123" s="145"/>
      <c r="T123" s="145"/>
      <c r="U123" s="145"/>
      <c r="V123" s="145"/>
      <c r="W123" s="145"/>
      <c r="X123" s="145"/>
      <c r="Y123" s="145"/>
      <c r="Z123" s="145"/>
      <c r="AA123" s="145"/>
      <c r="AB123" s="145"/>
      <c r="AC123" s="145"/>
      <c r="AD123" s="145"/>
      <c r="AE123" s="145"/>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Y4:Z6"/>
    <mergeCell ref="G50:H51"/>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2"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18"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4" stopIfTrue="1" operator="between" text="超过">
      <formula>NOT(ISERROR(SEARCH("超过",F48)))</formula>
    </cfRule>
  </conditionalFormatting>
  <conditionalFormatting sqref="G48">
    <cfRule type="expression" dxfId="12" priority="11" stopIfTrue="1">
      <formula>$H$48="超过30%"</formula>
    </cfRule>
  </conditionalFormatting>
  <conditionalFormatting sqref="H48">
    <cfRule type="containsText" dxfId="13" priority="15"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6"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7" stopIfTrue="1" operator="between" text="超过">
      <formula>NOT(ISERROR(SEARCH("超过",F46)))</formula>
    </cfRule>
  </conditionalFormatting>
  <conditionalFormatting sqref="F47 H47 J47">
    <cfRule type="containsText" dxfId="13" priority="13" stopIfTrue="1" operator="between" text="超过">
      <formula>NOT(ISERROR(SEARCH("超过",F47)))</formula>
    </cfRule>
  </conditionalFormatting>
  <dataValidations count="20">
    <dataValidation type="list" allowBlank="1" showInputMessage="1" showErrorMessage="1" sqref="C26 E26 G26 I26">
      <formula1>基础设施水平</formula1>
    </dataValidation>
    <dataValidation type="list" allowBlank="1" showInputMessage="1" showErrorMessage="1" sqref="C8 E8 G8 I8">
      <formula1>套工交易情况</formula1>
    </dataValidation>
    <dataValidation type="list" allowBlank="1" showInputMessage="1" showErrorMessage="1" sqref="E30 G30 I30">
      <formula1>'土地比较法-换案例'!套工土地级别</formula1>
    </dataValidation>
    <dataValidation type="list" allowBlank="1" showInputMessage="1" showErrorMessage="1" sqref="C24 E24 G24 I24">
      <formula1>公共配套设施</formula1>
    </dataValidation>
    <dataValidation type="list" allowBlank="1" showInputMessage="1" showErrorMessage="1" sqref="C9 E9 G9 I9">
      <formula1>'土地比较法-换案例'!套工用途</formula1>
    </dataValidation>
    <dataValidation type="list" allowBlank="1" showInputMessage="1" showErrorMessage="1" sqref="D52:D60">
      <formula1>"25%,1"</formula1>
    </dataValidation>
    <dataValidation type="list" allowBlank="1" showInputMessage="1" showErrorMessage="1" sqref="C16 E16 G16 I16">
      <formula1>产业集聚程度</formula1>
    </dataValidation>
    <dataValidation type="list" allowBlank="1" showInputMessage="1" showErrorMessage="1" sqref="C22 E22 G22 I22">
      <formula1>环境</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7 E27 G27 I27">
      <formula1>临街状况</formula1>
    </dataValidation>
    <dataValidation type="list" allowBlank="1" showInputMessage="1" showErrorMessage="1" sqref="C29 E29 G29 I29">
      <formula1>'土地比较法-换案例'!套工道路等级</formula1>
    </dataValidation>
    <dataValidation type="list" allowBlank="1" showInputMessage="1" showErrorMessage="1" sqref="C35 E35 G35 I35">
      <formula1>'土地比较法-换案例'!套工宗地形状</formula1>
    </dataValidation>
    <dataValidation type="list" allowBlank="1" showInputMessage="1" showErrorMessage="1" sqref="D42">
      <formula1>"简单平均,加权平均"</formula1>
    </dataValidation>
    <dataValidation type="list" allowBlank="1" showInputMessage="1" showErrorMessage="1" sqref="C36 E36 G36 I36">
      <formula1>'土地比较法-换案例'!套工宗地开发程度</formula1>
    </dataValidation>
    <dataValidation type="list" allowBlank="1" showInputMessage="1" showErrorMessage="1" sqref="C37 E37 G37 I37">
      <formula1>'土地比较法-换案例'!套工地质条件</formula1>
    </dataValidation>
    <dataValidation type="list" allowBlank="1" showInputMessage="1" showErrorMessage="1" sqref="B41">
      <formula1>单价内涵</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7"/>
  <sheetViews>
    <sheetView workbookViewId="0">
      <selection activeCell="K25" sqref="K25"/>
    </sheetView>
  </sheetViews>
  <sheetFormatPr defaultColWidth="9" defaultRowHeight="14.4"/>
  <sheetData>
    <row r="1" ht="27.6" spans="1:6">
      <c r="A1" s="1" t="s">
        <v>2781</v>
      </c>
      <c r="E1" s="2" t="s">
        <v>2782</v>
      </c>
      <c r="F1" s="3" t="s">
        <v>2783</v>
      </c>
    </row>
    <row r="2" ht="19.8" spans="1:1">
      <c r="A2" s="4" t="s">
        <v>2784</v>
      </c>
    </row>
    <row r="3" ht="15.6" spans="1:1">
      <c r="A3" s="5" t="s">
        <v>2785</v>
      </c>
    </row>
    <row r="4" spans="1:13">
      <c r="A4" s="6" t="s">
        <v>2786</v>
      </c>
      <c r="B4" s="7" t="s">
        <v>1796</v>
      </c>
      <c r="C4" s="8"/>
      <c r="D4" s="9"/>
      <c r="E4" s="7" t="s">
        <v>1797</v>
      </c>
      <c r="F4" s="8"/>
      <c r="G4" s="9"/>
      <c r="H4" s="7" t="s">
        <v>2787</v>
      </c>
      <c r="I4" s="8"/>
      <c r="J4" s="9"/>
      <c r="K4" s="7" t="s">
        <v>454</v>
      </c>
      <c r="L4" s="8"/>
      <c r="M4" s="9"/>
    </row>
    <row r="5" spans="1:13">
      <c r="A5" s="10" t="s">
        <v>208</v>
      </c>
      <c r="B5" s="6" t="s">
        <v>2788</v>
      </c>
      <c r="C5" s="6" t="s">
        <v>2789</v>
      </c>
      <c r="D5" s="6" t="s">
        <v>597</v>
      </c>
      <c r="E5" s="6" t="s">
        <v>2788</v>
      </c>
      <c r="F5" s="6" t="s">
        <v>2789</v>
      </c>
      <c r="G5" s="6" t="s">
        <v>597</v>
      </c>
      <c r="H5" s="6" t="s">
        <v>2788</v>
      </c>
      <c r="I5" s="6" t="s">
        <v>2789</v>
      </c>
      <c r="J5" s="6" t="s">
        <v>597</v>
      </c>
      <c r="K5" s="6" t="s">
        <v>2788</v>
      </c>
      <c r="L5" s="6" t="s">
        <v>2789</v>
      </c>
      <c r="M5" s="6" t="s">
        <v>597</v>
      </c>
    </row>
    <row r="6" spans="1:13">
      <c r="A6" s="11" t="s">
        <v>230</v>
      </c>
      <c r="B6" s="12">
        <v>26980</v>
      </c>
      <c r="C6" s="12">
        <v>32980</v>
      </c>
      <c r="D6" s="12">
        <v>29980</v>
      </c>
      <c r="E6" s="12">
        <v>26170</v>
      </c>
      <c r="F6" s="12">
        <v>31990</v>
      </c>
      <c r="G6" s="12">
        <v>29080</v>
      </c>
      <c r="H6" s="12">
        <v>25850</v>
      </c>
      <c r="I6" s="12">
        <v>31590</v>
      </c>
      <c r="J6" s="12">
        <v>28720</v>
      </c>
      <c r="K6" s="12">
        <v>9860</v>
      </c>
      <c r="L6" s="13">
        <v>13340</v>
      </c>
      <c r="M6" s="12">
        <v>11600</v>
      </c>
    </row>
    <row r="7" spans="1:13">
      <c r="A7" s="11" t="s">
        <v>241</v>
      </c>
      <c r="B7" s="12">
        <v>21970</v>
      </c>
      <c r="C7" s="12">
        <v>28730</v>
      </c>
      <c r="D7" s="12">
        <v>25350</v>
      </c>
      <c r="E7" s="12">
        <v>21480</v>
      </c>
      <c r="F7" s="12">
        <v>28080</v>
      </c>
      <c r="G7" s="12">
        <v>24780</v>
      </c>
      <c r="H7" s="12">
        <v>21250</v>
      </c>
      <c r="I7" s="12">
        <v>27790</v>
      </c>
      <c r="J7" s="12">
        <v>24520</v>
      </c>
      <c r="K7" s="12">
        <v>6660</v>
      </c>
      <c r="L7" s="13">
        <v>10000</v>
      </c>
      <c r="M7" s="12">
        <v>8330</v>
      </c>
    </row>
    <row r="8" spans="1:13">
      <c r="A8" s="11" t="s">
        <v>251</v>
      </c>
      <c r="B8" s="12">
        <v>17430</v>
      </c>
      <c r="C8" s="12">
        <v>24410</v>
      </c>
      <c r="D8" s="12">
        <v>20920</v>
      </c>
      <c r="E8" s="12">
        <v>17140</v>
      </c>
      <c r="F8" s="12">
        <v>24000</v>
      </c>
      <c r="G8" s="12">
        <v>20570</v>
      </c>
      <c r="H8" s="12">
        <v>16990</v>
      </c>
      <c r="I8" s="12">
        <v>23790</v>
      </c>
      <c r="J8" s="12">
        <v>20390</v>
      </c>
      <c r="K8" s="12">
        <v>4530</v>
      </c>
      <c r="L8" s="13">
        <v>6790</v>
      </c>
      <c r="M8" s="12">
        <v>5660</v>
      </c>
    </row>
    <row r="9" spans="1:13">
      <c r="A9" s="11" t="s">
        <v>259</v>
      </c>
      <c r="B9" s="12">
        <v>13330</v>
      </c>
      <c r="C9" s="12">
        <v>19990</v>
      </c>
      <c r="D9" s="12">
        <v>16660</v>
      </c>
      <c r="E9" s="12">
        <v>13160</v>
      </c>
      <c r="F9" s="12">
        <v>19740</v>
      </c>
      <c r="G9" s="12">
        <v>16450</v>
      </c>
      <c r="H9" s="12">
        <v>13060</v>
      </c>
      <c r="I9" s="12">
        <v>19600</v>
      </c>
      <c r="J9" s="12">
        <v>16330</v>
      </c>
      <c r="K9" s="12">
        <v>3090</v>
      </c>
      <c r="L9" s="13">
        <v>4650</v>
      </c>
      <c r="M9" s="12">
        <v>3870</v>
      </c>
    </row>
    <row r="10" spans="1:13">
      <c r="A10" s="11" t="s">
        <v>267</v>
      </c>
      <c r="B10" s="12">
        <v>10420</v>
      </c>
      <c r="C10" s="12">
        <v>15620</v>
      </c>
      <c r="D10" s="12">
        <v>13020</v>
      </c>
      <c r="E10" s="12">
        <v>10310</v>
      </c>
      <c r="F10" s="12">
        <v>15470</v>
      </c>
      <c r="G10" s="12">
        <v>12890</v>
      </c>
      <c r="H10" s="12">
        <v>10250</v>
      </c>
      <c r="I10" s="12">
        <v>15370</v>
      </c>
      <c r="J10" s="12">
        <v>12810</v>
      </c>
      <c r="K10" s="12">
        <v>2140</v>
      </c>
      <c r="L10" s="13">
        <v>3200</v>
      </c>
      <c r="M10" s="12">
        <v>2670</v>
      </c>
    </row>
    <row r="11" spans="1:13">
      <c r="A11" s="11" t="s">
        <v>273</v>
      </c>
      <c r="B11" s="12">
        <v>8130</v>
      </c>
      <c r="C11" s="12">
        <v>12190</v>
      </c>
      <c r="D11" s="12">
        <v>10160</v>
      </c>
      <c r="E11" s="12">
        <v>8060</v>
      </c>
      <c r="F11" s="12">
        <v>12080</v>
      </c>
      <c r="G11" s="12">
        <v>10070</v>
      </c>
      <c r="H11" s="12">
        <v>8010</v>
      </c>
      <c r="I11" s="12">
        <v>12010</v>
      </c>
      <c r="J11" s="12">
        <v>10010</v>
      </c>
      <c r="K11" s="12">
        <v>1490</v>
      </c>
      <c r="L11" s="13">
        <v>2250</v>
      </c>
      <c r="M11" s="12">
        <v>1870</v>
      </c>
    </row>
    <row r="12" spans="1:13">
      <c r="A12" s="11" t="s">
        <v>278</v>
      </c>
      <c r="B12" s="12">
        <v>5940</v>
      </c>
      <c r="C12" s="12">
        <v>8900</v>
      </c>
      <c r="D12" s="12">
        <v>7420</v>
      </c>
      <c r="E12" s="12">
        <v>5880</v>
      </c>
      <c r="F12" s="12">
        <v>8820</v>
      </c>
      <c r="G12" s="12">
        <v>7350</v>
      </c>
      <c r="H12" s="12">
        <v>5840</v>
      </c>
      <c r="I12" s="12">
        <v>8760</v>
      </c>
      <c r="J12" s="12">
        <v>7300</v>
      </c>
      <c r="K12" s="12">
        <v>1060</v>
      </c>
      <c r="L12" s="13">
        <v>1600</v>
      </c>
      <c r="M12" s="12">
        <v>1330</v>
      </c>
    </row>
    <row r="13" spans="1:13">
      <c r="A13" s="11" t="s">
        <v>283</v>
      </c>
      <c r="B13" s="12">
        <v>3970</v>
      </c>
      <c r="C13" s="12">
        <v>6330</v>
      </c>
      <c r="D13" s="12">
        <v>5150</v>
      </c>
      <c r="E13" s="12">
        <v>3920</v>
      </c>
      <c r="F13" s="12">
        <v>6260</v>
      </c>
      <c r="G13" s="12">
        <v>5090</v>
      </c>
      <c r="H13" s="12">
        <v>3890</v>
      </c>
      <c r="I13" s="12">
        <v>6210</v>
      </c>
      <c r="J13" s="12">
        <v>5050</v>
      </c>
      <c r="K13" s="12">
        <v>780</v>
      </c>
      <c r="L13" s="13">
        <v>1160</v>
      </c>
      <c r="M13" s="12">
        <v>970</v>
      </c>
    </row>
    <row r="14" spans="1:13">
      <c r="A14" s="11" t="s">
        <v>286</v>
      </c>
      <c r="B14" s="12">
        <v>2680</v>
      </c>
      <c r="C14" s="12">
        <v>4280</v>
      </c>
      <c r="D14" s="12">
        <v>3480</v>
      </c>
      <c r="E14" s="12">
        <v>2640</v>
      </c>
      <c r="F14" s="12">
        <v>4220</v>
      </c>
      <c r="G14" s="12">
        <v>3430</v>
      </c>
      <c r="H14" s="12">
        <v>2620</v>
      </c>
      <c r="I14" s="12">
        <v>4180</v>
      </c>
      <c r="J14" s="12">
        <v>3400</v>
      </c>
      <c r="K14" s="12">
        <v>580</v>
      </c>
      <c r="L14" s="13">
        <v>880</v>
      </c>
      <c r="M14" s="12">
        <v>730</v>
      </c>
    </row>
    <row r="15" spans="1:13">
      <c r="A15" s="11" t="s">
        <v>289</v>
      </c>
      <c r="B15" s="12">
        <v>1700</v>
      </c>
      <c r="C15" s="12">
        <v>2840</v>
      </c>
      <c r="D15" s="12">
        <v>2270</v>
      </c>
      <c r="E15" s="12">
        <v>1670</v>
      </c>
      <c r="F15" s="12">
        <v>2790</v>
      </c>
      <c r="G15" s="12">
        <v>2230</v>
      </c>
      <c r="H15" s="12">
        <v>1650</v>
      </c>
      <c r="I15" s="12">
        <v>2750</v>
      </c>
      <c r="J15" s="12">
        <v>2200</v>
      </c>
      <c r="K15" s="12">
        <v>450</v>
      </c>
      <c r="L15" s="13">
        <v>670</v>
      </c>
      <c r="M15" s="12">
        <v>560</v>
      </c>
    </row>
    <row r="16" spans="1:13">
      <c r="A16" s="11" t="s">
        <v>292</v>
      </c>
      <c r="B16" s="12">
        <v>1070</v>
      </c>
      <c r="C16" s="12">
        <v>1790</v>
      </c>
      <c r="D16" s="12">
        <v>1430</v>
      </c>
      <c r="E16" s="12">
        <v>1050</v>
      </c>
      <c r="F16" s="12">
        <v>1750</v>
      </c>
      <c r="G16" s="12">
        <v>1400</v>
      </c>
      <c r="H16" s="12">
        <v>1030</v>
      </c>
      <c r="I16" s="12">
        <v>1730</v>
      </c>
      <c r="J16" s="12">
        <v>1380</v>
      </c>
      <c r="K16" s="12">
        <v>350</v>
      </c>
      <c r="L16" s="13">
        <v>530</v>
      </c>
      <c r="M16" s="12">
        <v>440</v>
      </c>
    </row>
    <row r="17" spans="1:13">
      <c r="A17" s="11" t="s">
        <v>295</v>
      </c>
      <c r="B17" s="12">
        <v>680</v>
      </c>
      <c r="C17" s="12">
        <v>1120</v>
      </c>
      <c r="D17" s="12">
        <v>900</v>
      </c>
      <c r="E17" s="12">
        <v>650</v>
      </c>
      <c r="F17" s="12">
        <v>1090</v>
      </c>
      <c r="G17" s="12">
        <v>870</v>
      </c>
      <c r="H17" s="12">
        <v>630</v>
      </c>
      <c r="I17" s="12">
        <v>1070</v>
      </c>
      <c r="J17" s="12">
        <v>850</v>
      </c>
      <c r="K17" s="12">
        <v>280</v>
      </c>
      <c r="L17" s="13">
        <v>420</v>
      </c>
      <c r="M17" s="12">
        <v>350</v>
      </c>
    </row>
  </sheetData>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3.8"/>
  <cols>
    <col min="1" max="1" width="27.6666666666667" style="917" customWidth="1"/>
    <col min="2" max="9" width="12.1111111111111" style="917" customWidth="1"/>
    <col min="10" max="16384" width="9" style="917"/>
  </cols>
  <sheetData>
    <row r="1" ht="18.15" spans="1:9">
      <c r="A1" s="3437" t="str">
        <f>IF(项目基本情况!B9="房地产市场价值","估价结果一览表","结果表-2")</f>
        <v>结果表-2</v>
      </c>
      <c r="B1" s="3437"/>
      <c r="C1" s="3437"/>
      <c r="D1" s="3437"/>
      <c r="E1" s="3437"/>
      <c r="F1" s="3437"/>
      <c r="G1" s="3437"/>
      <c r="H1" s="3437"/>
      <c r="I1" s="3437"/>
    </row>
    <row r="2" ht="30" customHeight="1" spans="1:9">
      <c r="A2" s="3438" t="s">
        <v>107</v>
      </c>
      <c r="B2" s="3438" t="s">
        <v>108</v>
      </c>
      <c r="C2" s="3438" t="s">
        <v>109</v>
      </c>
      <c r="D2" s="3438" t="str">
        <f>结果表!D116</f>
        <v>出让国有建设用地使用权价值</v>
      </c>
      <c r="E2" s="3438"/>
      <c r="F2" s="3438" t="str">
        <f>结果表!F116</f>
        <v>在建建筑物价值</v>
      </c>
      <c r="G2" s="3438"/>
      <c r="H2" s="3438" t="str">
        <f>IF(项目基本情况!B9="房地产市场价值","房地产市场价值","房地产价值")</f>
        <v>房地产价值</v>
      </c>
      <c r="I2" s="3438"/>
    </row>
    <row r="3" ht="15.6" spans="1:9">
      <c r="A3" s="3439"/>
      <c r="B3" s="3439"/>
      <c r="C3" s="3439"/>
      <c r="D3" s="3439" t="s">
        <v>110</v>
      </c>
      <c r="E3" s="3439" t="s">
        <v>111</v>
      </c>
      <c r="F3" s="3439" t="s">
        <v>110</v>
      </c>
      <c r="G3" s="3439" t="s">
        <v>111</v>
      </c>
      <c r="H3" s="3439" t="s">
        <v>110</v>
      </c>
      <c r="I3" s="3439" t="s">
        <v>111</v>
      </c>
    </row>
    <row r="4" ht="15.6" spans="1:9">
      <c r="A4" s="3440" t="str">
        <f>项目基本情况!S2</f>
        <v>北京市房地产</v>
      </c>
      <c r="B4" s="3439">
        <f>项目基本情况!C17</f>
        <v>18907.05</v>
      </c>
      <c r="C4" s="3439">
        <f>项目基本情况!C18</f>
        <v>15415.9</v>
      </c>
      <c r="D4" s="3439">
        <f ca="1">结果表!D118</f>
        <v>6648</v>
      </c>
      <c r="E4" s="3439">
        <f ca="1">结果表!E118</f>
        <v>3516</v>
      </c>
      <c r="F4" s="3439">
        <f ca="1">结果表!F118</f>
        <v>8884</v>
      </c>
      <c r="G4" s="3439">
        <f ca="1">结果表!G118</f>
        <v>4699</v>
      </c>
      <c r="H4" s="3439">
        <f ca="1">结果表!H118</f>
        <v>15532</v>
      </c>
      <c r="I4" s="3439">
        <f ca="1">结果表!I118</f>
        <v>8215</v>
      </c>
    </row>
    <row r="5" ht="30" customHeight="1" spans="1:9">
      <c r="A5" s="3439" t="s">
        <v>112</v>
      </c>
      <c r="B5" s="3439"/>
      <c r="C5" s="3439"/>
      <c r="D5" s="3441" t="str">
        <f ca="1">结果表!D119</f>
        <v>陆仟陆佰肆拾捌万元整</v>
      </c>
      <c r="E5" s="3441"/>
      <c r="F5" s="3441" t="str">
        <f ca="1">结果表!F119</f>
        <v>捌仟捌佰捌拾肆万元整</v>
      </c>
      <c r="G5" s="3441"/>
      <c r="H5" s="3441" t="str">
        <f ca="1">结果表!H119</f>
        <v>壹亿伍仟伍佰叁拾贰万元整</v>
      </c>
      <c r="I5" s="3441"/>
    </row>
    <row r="6" ht="15.6" spans="1:9">
      <c r="A6" s="3442" t="str">
        <f>结果表!A120</f>
        <v>估价师知悉的法定优先受偿款</v>
      </c>
      <c r="B6" s="3442"/>
      <c r="C6" s="3442"/>
      <c r="D6" s="3442">
        <f>结果表!D120</f>
        <v>0</v>
      </c>
      <c r="E6" s="3442"/>
      <c r="F6" s="3442"/>
      <c r="G6" s="3442"/>
      <c r="H6" s="3442"/>
      <c r="I6" s="3442"/>
    </row>
    <row r="7" ht="15" spans="1:9">
      <c r="A7" s="3439" t="s">
        <v>112</v>
      </c>
      <c r="B7" s="3439"/>
      <c r="C7" s="3439"/>
      <c r="D7" s="3443" t="str">
        <f>结果表!D121</f>
        <v>零元整</v>
      </c>
      <c r="E7" s="3444"/>
      <c r="F7" s="3444"/>
      <c r="G7" s="3444"/>
      <c r="H7" s="3444"/>
      <c r="I7" s="3449"/>
    </row>
    <row r="8" ht="15.6" spans="1:9">
      <c r="A8" s="3442" t="str">
        <f>结果表!A122</f>
        <v>房地产抵押价值</v>
      </c>
      <c r="B8" s="3442"/>
      <c r="C8" s="3442"/>
      <c r="D8" s="3442">
        <f ca="1">结果表!D122</f>
        <v>15532</v>
      </c>
      <c r="E8" s="3442"/>
      <c r="F8" s="3442"/>
      <c r="G8" s="3442"/>
      <c r="H8" s="3442"/>
      <c r="I8" s="3442"/>
    </row>
    <row r="9" ht="15" spans="1:9">
      <c r="A9" s="3439" t="s">
        <v>112</v>
      </c>
      <c r="B9" s="3439"/>
      <c r="C9" s="3439"/>
      <c r="D9" s="3441" t="str">
        <f ca="1">结果表!D123</f>
        <v>壹亿伍仟伍佰叁拾贰万元整</v>
      </c>
      <c r="E9" s="3441"/>
      <c r="F9" s="3441"/>
      <c r="G9" s="3441"/>
      <c r="H9" s="3441"/>
      <c r="I9" s="3441"/>
    </row>
    <row r="10" ht="15.6" spans="1:9">
      <c r="A10" s="3442" t="str">
        <f>结果表!A124</f>
        <v/>
      </c>
      <c r="B10" s="3442"/>
      <c r="C10" s="3442"/>
      <c r="D10" s="3442" t="str">
        <f ca="1">结果表!D124</f>
        <v>——</v>
      </c>
      <c r="E10" s="3442"/>
      <c r="F10" s="3442"/>
      <c r="G10" s="3442"/>
      <c r="H10" s="3442"/>
      <c r="I10" s="3442"/>
    </row>
    <row r="11" ht="15" spans="1:9">
      <c r="A11" s="3439" t="s">
        <v>112</v>
      </c>
      <c r="B11" s="3439"/>
      <c r="C11" s="3439"/>
      <c r="D11" s="3441" t="e">
        <f ca="1">结果表!D125</f>
        <v>#VALUE!</v>
      </c>
      <c r="E11" s="3441"/>
      <c r="F11" s="3441"/>
      <c r="G11" s="3441"/>
      <c r="H11" s="3441"/>
      <c r="I11" s="3441"/>
    </row>
    <row r="12" ht="15.6" spans="1:9">
      <c r="A12" s="3442" t="str">
        <f>结果表!A126</f>
        <v/>
      </c>
      <c r="B12" s="3442"/>
      <c r="C12" s="3442"/>
      <c r="D12" s="3442" t="str">
        <f ca="1">结果表!D126</f>
        <v>——</v>
      </c>
      <c r="E12" s="3442"/>
      <c r="F12" s="3442"/>
      <c r="G12" s="3442"/>
      <c r="H12" s="3442"/>
      <c r="I12" s="3442"/>
    </row>
    <row r="13" ht="15.75" spans="1:9">
      <c r="A13" s="3445" t="s">
        <v>112</v>
      </c>
      <c r="B13" s="3445"/>
      <c r="C13" s="3445"/>
      <c r="D13" s="3446" t="e">
        <f ca="1">结果表!D127</f>
        <v>#VALUE!</v>
      </c>
      <c r="E13" s="3446"/>
      <c r="F13" s="3446"/>
      <c r="G13" s="3446"/>
      <c r="H13" s="3446"/>
      <c r="I13" s="3446"/>
    </row>
    <row r="14" ht="14.55" spans="1:9">
      <c r="A14" s="3447" t="s">
        <v>113</v>
      </c>
      <c r="B14" s="3447"/>
      <c r="C14" s="3447"/>
      <c r="D14" s="3447"/>
      <c r="E14" s="3447"/>
      <c r="F14" s="3447"/>
      <c r="G14" s="3447"/>
      <c r="H14" s="3447"/>
      <c r="I14" s="3447"/>
    </row>
    <row r="16" ht="17.4" spans="1:9">
      <c r="A16" s="3448" t="s">
        <v>106</v>
      </c>
      <c r="B16" s="1717"/>
      <c r="C16" s="1717"/>
      <c r="D16" s="1717"/>
      <c r="E16" s="1717"/>
      <c r="F16" s="1717"/>
      <c r="G16" s="1717"/>
      <c r="H16" s="1717"/>
      <c r="I16" s="1717"/>
    </row>
    <row r="17" spans="1:9">
      <c r="A17" s="1717"/>
      <c r="B17" s="1717"/>
      <c r="C17" s="1717"/>
      <c r="D17" s="1717"/>
      <c r="E17" s="1717"/>
      <c r="F17" s="1717"/>
      <c r="G17" s="1717"/>
      <c r="H17" s="1717"/>
      <c r="I17" s="1717"/>
    </row>
    <row r="18" spans="1:9">
      <c r="A18" s="1717"/>
      <c r="B18" s="1717"/>
      <c r="C18" s="1717"/>
      <c r="D18" s="1717"/>
      <c r="E18" s="1717"/>
      <c r="F18" s="1717"/>
      <c r="G18" s="1717"/>
      <c r="H18" s="1717"/>
      <c r="I18" s="1717"/>
    </row>
    <row r="19" spans="1:9">
      <c r="A19" s="1717"/>
      <c r="B19" s="1717"/>
      <c r="C19" s="1717"/>
      <c r="D19" s="1717"/>
      <c r="E19" s="1717"/>
      <c r="F19" s="1717"/>
      <c r="G19" s="1717"/>
      <c r="H19" s="1717"/>
      <c r="I19" s="1717"/>
    </row>
    <row r="20" spans="1:9">
      <c r="A20" s="1717"/>
      <c r="B20" s="1717"/>
      <c r="C20" s="1717"/>
      <c r="D20" s="1717"/>
      <c r="E20" s="1717"/>
      <c r="F20" s="1717"/>
      <c r="G20" s="1717"/>
      <c r="H20" s="1717"/>
      <c r="I20" s="1717"/>
    </row>
    <row r="21" spans="1:9">
      <c r="A21" s="1717"/>
      <c r="B21" s="1717"/>
      <c r="C21" s="1717"/>
      <c r="D21" s="1717"/>
      <c r="E21" s="1717"/>
      <c r="F21" s="1717"/>
      <c r="G21" s="1717"/>
      <c r="H21" s="1717"/>
      <c r="I21" s="1717"/>
    </row>
    <row r="22" spans="1:9">
      <c r="A22" s="1717"/>
      <c r="B22" s="1717"/>
      <c r="C22" s="1717"/>
      <c r="D22" s="1717"/>
      <c r="E22" s="1717"/>
      <c r="F22" s="1717"/>
      <c r="G22" s="1717"/>
      <c r="H22" s="1717"/>
      <c r="I22" s="1717"/>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3.8" outlineLevelCol="3"/>
  <cols>
    <col min="1" max="1" width="16.6666666666667" style="917" customWidth="1"/>
    <col min="2" max="3" width="22.3333333333333" style="917" customWidth="1"/>
    <col min="4" max="4" width="23" style="917" customWidth="1"/>
    <col min="5" max="16384" width="9" style="917"/>
  </cols>
  <sheetData>
    <row r="1" ht="17.4" spans="1:4">
      <c r="A1" s="3417" t="s">
        <v>114</v>
      </c>
      <c r="B1" s="3417"/>
      <c r="C1" s="3417"/>
      <c r="D1" s="3417"/>
    </row>
    <row r="2" ht="17.4" spans="1:4">
      <c r="A2" s="3418" t="s">
        <v>115</v>
      </c>
      <c r="B2" s="3418"/>
      <c r="C2" s="3418"/>
      <c r="D2" s="3418"/>
    </row>
    <row r="3" ht="17.4" spans="1:4">
      <c r="A3" s="3419" t="s">
        <v>116</v>
      </c>
      <c r="B3" s="3419" t="s">
        <v>117</v>
      </c>
      <c r="C3" s="3419" t="s">
        <v>118</v>
      </c>
      <c r="D3" s="3419" t="s">
        <v>119</v>
      </c>
    </row>
    <row r="4" ht="56.25" customHeight="1" spans="1:4">
      <c r="A4" s="3420">
        <f>项目基本情况!B4</f>
        <v>0</v>
      </c>
      <c r="B4" s="3421">
        <f ca="1">项目基本情况!C4</f>
        <v>0</v>
      </c>
      <c r="C4" s="3422"/>
      <c r="D4" s="3423" t="s">
        <v>120</v>
      </c>
    </row>
    <row r="5" ht="56.25" customHeight="1" spans="1:4">
      <c r="A5" s="3420">
        <f>项目基本情况!D4</f>
        <v>0</v>
      </c>
      <c r="B5" s="3421">
        <f ca="1">项目基本情况!E4</f>
        <v>0</v>
      </c>
      <c r="C5" s="3424"/>
      <c r="D5" s="3423" t="s">
        <v>120</v>
      </c>
    </row>
    <row r="6" ht="17.4" spans="1:4">
      <c r="A6" s="3418" t="s">
        <v>121</v>
      </c>
      <c r="B6" s="3418"/>
      <c r="C6" s="3418"/>
      <c r="D6" s="3418"/>
    </row>
    <row r="7" ht="17.4" spans="1:4">
      <c r="A7" s="3419" t="s">
        <v>116</v>
      </c>
      <c r="B7" s="3421" t="s">
        <v>122</v>
      </c>
      <c r="C7" s="3419" t="s">
        <v>118</v>
      </c>
      <c r="D7" s="3419" t="s">
        <v>119</v>
      </c>
    </row>
    <row r="8" ht="56.25" customHeight="1" spans="1:4">
      <c r="A8" s="3425" t="s">
        <v>123</v>
      </c>
      <c r="B8" s="3425" t="s">
        <v>124</v>
      </c>
      <c r="C8" s="3422"/>
      <c r="D8" s="3423" t="s">
        <v>120</v>
      </c>
    </row>
    <row r="9" spans="1:4">
      <c r="A9" s="3426"/>
      <c r="B9" s="3426"/>
      <c r="C9" s="3426"/>
      <c r="D9" s="3426"/>
    </row>
    <row r="10" ht="17.4" spans="1:4">
      <c r="A10" s="3417" t="s">
        <v>125</v>
      </c>
      <c r="B10" s="3426"/>
      <c r="C10" s="3426"/>
      <c r="D10" s="3426"/>
    </row>
    <row r="11" ht="30" customHeight="1" spans="1:4">
      <c r="A11" s="3427" t="s">
        <v>126</v>
      </c>
      <c r="B11" s="3428"/>
      <c r="C11" s="3428"/>
      <c r="D11" s="3428"/>
    </row>
    <row r="12" ht="15" spans="1:4">
      <c r="A12" s="342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429"/>
      <c r="C12" s="3429"/>
      <c r="D12" s="3429"/>
    </row>
    <row r="13" ht="30" customHeight="1" spans="1:4">
      <c r="A13" s="3428" t="str">
        <f>IF(项目基本情况!B8="抵押","3.抵押双方在办理抵押登记手续时，应使用本公司出具的正式《房地产评估报告》，特提醒报告使用者注意。","——")</f>
        <v>——</v>
      </c>
      <c r="B13" s="3429"/>
      <c r="C13" s="3429"/>
      <c r="D13" s="3429"/>
    </row>
    <row r="14" ht="15.75" customHeight="1" spans="1:4">
      <c r="A14" s="3428" t="str">
        <f>IF(项目基本情况!B8="抵押","4.本次评估估价师所知悉的法定优先受偿款情况说明如下：","——")</f>
        <v>——</v>
      </c>
      <c r="B14" s="3429"/>
      <c r="C14" s="3429"/>
      <c r="D14" s="3429"/>
    </row>
    <row r="15" ht="42" customHeight="1" spans="1:4">
      <c r="A15" s="3428" t="str">
        <f>IF(项目基本情况!B8="抵押","（1）"&amp;CONCATENATE(项目基本情况!L20,项目基本情况!L21,项目基本情况!L22),"——")</f>
        <v>——</v>
      </c>
      <c r="B15" s="3428"/>
      <c r="C15" s="3428"/>
      <c r="D15" s="3428"/>
    </row>
    <row r="16" ht="30" customHeight="1" spans="1:4">
      <c r="A16" s="3430" t="s">
        <v>127</v>
      </c>
      <c r="B16" s="3430"/>
      <c r="C16" s="3430"/>
      <c r="D16" s="3430"/>
    </row>
    <row r="17" ht="144" customHeight="1" spans="1:4">
      <c r="A17" s="3430" t="s">
        <v>128</v>
      </c>
      <c r="B17" s="3430"/>
      <c r="C17" s="3430"/>
      <c r="D17" s="3430"/>
    </row>
    <row r="18" ht="15.75" customHeight="1" spans="1:4">
      <c r="A18" s="3428" t="str">
        <f>IF(项目基本情况!B8="抵押",结果表!K120,"——")</f>
        <v>——</v>
      </c>
      <c r="B18" s="3428"/>
      <c r="C18" s="3428"/>
      <c r="D18" s="3428"/>
    </row>
    <row r="19" ht="46.5" customHeight="1" spans="1:4">
      <c r="A19" s="342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28"/>
      <c r="C19" s="3428"/>
      <c r="D19" s="3428"/>
    </row>
    <row r="20" ht="57.75" customHeight="1" spans="1:4">
      <c r="A20" s="342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28"/>
      <c r="C20" s="3428"/>
      <c r="D20" s="3428"/>
    </row>
    <row r="21" ht="57.75" customHeight="1" spans="1:4">
      <c r="A21" s="343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31"/>
      <c r="C21" s="3431"/>
      <c r="D21" s="3431"/>
    </row>
    <row r="22" ht="18.75" customHeight="1" spans="1:4">
      <c r="A22" s="3432" t="s">
        <v>129</v>
      </c>
      <c r="B22" s="3432"/>
      <c r="C22" s="3432"/>
      <c r="D22" s="3432"/>
    </row>
    <row r="23" spans="1:4">
      <c r="A23" s="3433"/>
      <c r="B23" s="1717"/>
      <c r="C23" s="1717"/>
      <c r="D23" s="1717"/>
    </row>
    <row r="24" spans="1:4">
      <c r="A24" s="3433"/>
      <c r="B24" s="1717"/>
      <c r="C24" s="1717"/>
      <c r="D24" s="1717"/>
    </row>
    <row r="25" ht="17.4" spans="1:1">
      <c r="A25" s="3434" t="s">
        <v>130</v>
      </c>
    </row>
    <row r="26" ht="17.4" spans="1:1">
      <c r="A26" s="3435"/>
    </row>
    <row r="27" ht="17.4" spans="1:1">
      <c r="A27" s="3435" t="s">
        <v>131</v>
      </c>
    </row>
    <row r="30" ht="17.4" spans="4:4">
      <c r="D30" s="3434" t="s">
        <v>132</v>
      </c>
    </row>
    <row r="31" ht="13.5" customHeight="1" spans="3:4">
      <c r="C31" s="3436">
        <v>42551</v>
      </c>
      <c r="D31" s="3436"/>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4"/>
  <cols>
    <col min="1" max="2" width="13.1111111111111" style="3413" customWidth="1"/>
    <col min="3" max="10" width="12.4444444444444" style="3413" customWidth="1"/>
    <col min="11" max="16384" width="9" style="3413"/>
  </cols>
  <sheetData>
    <row r="1" ht="17.4" spans="1:10">
      <c r="A1" s="3414" t="s">
        <v>133</v>
      </c>
      <c r="B1" s="3415"/>
      <c r="C1" s="3415"/>
      <c r="D1" s="3415"/>
      <c r="E1" s="3415"/>
      <c r="F1" s="3415"/>
      <c r="G1" s="3415"/>
      <c r="H1" s="3415"/>
      <c r="I1" s="3415"/>
      <c r="J1" s="3415"/>
    </row>
    <row r="2" ht="17.4" spans="1:10">
      <c r="A2" s="3416"/>
      <c r="B2" s="3415"/>
      <c r="C2" s="3415"/>
      <c r="D2" s="3415"/>
      <c r="E2" s="3415"/>
      <c r="F2" s="3415"/>
      <c r="G2" s="3415"/>
      <c r="H2" s="3415"/>
      <c r="I2" s="3415"/>
      <c r="J2" s="3415"/>
    </row>
    <row r="3" spans="1:10">
      <c r="A3" s="3415"/>
      <c r="B3" s="3415"/>
      <c r="C3" s="3415"/>
      <c r="D3" s="3415"/>
      <c r="E3" s="3415"/>
      <c r="F3" s="3415"/>
      <c r="G3" s="3415"/>
      <c r="H3" s="3415"/>
      <c r="I3" s="3415"/>
      <c r="J3" s="3415"/>
    </row>
    <row r="4" spans="1:10">
      <c r="A4" s="3415"/>
      <c r="B4" s="3415"/>
      <c r="C4" s="3415"/>
      <c r="D4" s="3415"/>
      <c r="E4" s="3415"/>
      <c r="F4" s="3415"/>
      <c r="G4" s="3415"/>
      <c r="H4" s="3415"/>
      <c r="I4" s="3415"/>
      <c r="J4" s="3415"/>
    </row>
    <row r="5" spans="1:10">
      <c r="A5" s="3415"/>
      <c r="B5" s="3415"/>
      <c r="C5" s="3415"/>
      <c r="D5" s="3415"/>
      <c r="E5" s="3415"/>
      <c r="F5" s="3415"/>
      <c r="G5" s="3415"/>
      <c r="H5" s="3415"/>
      <c r="I5" s="3415"/>
      <c r="J5" s="3415"/>
    </row>
    <row r="6" spans="1:10">
      <c r="A6" s="3415"/>
      <c r="B6" s="3415"/>
      <c r="C6" s="3415"/>
      <c r="D6" s="3415"/>
      <c r="E6" s="3415"/>
      <c r="F6" s="3415"/>
      <c r="G6" s="3415"/>
      <c r="H6" s="3415"/>
      <c r="I6" s="3415"/>
      <c r="J6" s="3415"/>
    </row>
    <row r="7" spans="1:10">
      <c r="A7" s="3415"/>
      <c r="B7" s="3415"/>
      <c r="C7" s="3415"/>
      <c r="D7" s="3415"/>
      <c r="E7" s="3415"/>
      <c r="F7" s="3415"/>
      <c r="G7" s="3415"/>
      <c r="H7" s="3415"/>
      <c r="I7" s="3415"/>
      <c r="J7" s="3415"/>
    </row>
    <row r="8" spans="1:10">
      <c r="A8" s="3415"/>
      <c r="B8" s="3415"/>
      <c r="C8" s="3415"/>
      <c r="D8" s="3415"/>
      <c r="E8" s="3415"/>
      <c r="F8" s="3415"/>
      <c r="G8" s="3415"/>
      <c r="H8" s="3415"/>
      <c r="I8" s="3415"/>
      <c r="J8" s="3415"/>
    </row>
    <row r="9" spans="1:10">
      <c r="A9" s="3415"/>
      <c r="B9" s="3415"/>
      <c r="C9" s="3415"/>
      <c r="D9" s="3415"/>
      <c r="E9" s="3415"/>
      <c r="F9" s="3415"/>
      <c r="G9" s="3415"/>
      <c r="H9" s="3415"/>
      <c r="I9" s="3415"/>
      <c r="J9" s="3415"/>
    </row>
    <row r="10" spans="1:10">
      <c r="A10" s="3415"/>
      <c r="B10" s="3415"/>
      <c r="C10" s="3415"/>
      <c r="D10" s="3415"/>
      <c r="E10" s="3415"/>
      <c r="F10" s="3415"/>
      <c r="G10" s="3415"/>
      <c r="H10" s="3415"/>
      <c r="I10" s="3415"/>
      <c r="J10" s="3415"/>
    </row>
    <row r="11" spans="1:10">
      <c r="A11" s="3415"/>
      <c r="B11" s="3415"/>
      <c r="C11" s="3415"/>
      <c r="D11" s="3415"/>
      <c r="E11" s="3415"/>
      <c r="F11" s="3415"/>
      <c r="G11" s="3415"/>
      <c r="H11" s="3415"/>
      <c r="I11" s="3415"/>
      <c r="J11" s="3415"/>
    </row>
    <row r="12" spans="1:10">
      <c r="A12" s="3415"/>
      <c r="B12" s="3415"/>
      <c r="C12" s="3415"/>
      <c r="D12" s="3415"/>
      <c r="E12" s="3415"/>
      <c r="F12" s="3415"/>
      <c r="G12" s="3415"/>
      <c r="H12" s="3415"/>
      <c r="I12" s="3415"/>
      <c r="J12" s="3415"/>
    </row>
    <row r="13" spans="1:10">
      <c r="A13" s="3415"/>
      <c r="B13" s="3415"/>
      <c r="C13" s="3415"/>
      <c r="D13" s="3415"/>
      <c r="E13" s="3415"/>
      <c r="F13" s="3415"/>
      <c r="G13" s="3415"/>
      <c r="H13" s="3415"/>
      <c r="I13" s="3415"/>
      <c r="J13" s="3415"/>
    </row>
    <row r="14" spans="1:10">
      <c r="A14" s="3415"/>
      <c r="B14" s="3415"/>
      <c r="C14" s="3415"/>
      <c r="D14" s="3415"/>
      <c r="E14" s="3415"/>
      <c r="F14" s="3415"/>
      <c r="G14" s="3415"/>
      <c r="H14" s="3415"/>
      <c r="I14" s="3415"/>
      <c r="J14" s="3415"/>
    </row>
    <row r="15" spans="1:10">
      <c r="A15" s="3415"/>
      <c r="B15" s="3415"/>
      <c r="C15" s="3415"/>
      <c r="D15" s="3415"/>
      <c r="E15" s="3415"/>
      <c r="F15" s="3415"/>
      <c r="G15" s="3415"/>
      <c r="H15" s="3415"/>
      <c r="I15" s="3415"/>
      <c r="J15" s="3415"/>
    </row>
    <row r="16" spans="1:10">
      <c r="A16" s="3415"/>
      <c r="B16" s="3415"/>
      <c r="C16" s="3415"/>
      <c r="D16" s="3415"/>
      <c r="E16" s="3415"/>
      <c r="F16" s="3415"/>
      <c r="G16" s="3415"/>
      <c r="H16" s="3415"/>
      <c r="I16" s="3415"/>
      <c r="J16" s="3415"/>
    </row>
    <row r="17" spans="1:10">
      <c r="A17" s="3415"/>
      <c r="B17" s="3415"/>
      <c r="C17" s="3415"/>
      <c r="D17" s="3415"/>
      <c r="E17" s="3415"/>
      <c r="F17" s="3415"/>
      <c r="G17" s="3415"/>
      <c r="H17" s="3415"/>
      <c r="I17" s="3415"/>
      <c r="J17" s="3415"/>
    </row>
    <row r="18" spans="1:10">
      <c r="A18" s="3415"/>
      <c r="B18" s="3415"/>
      <c r="C18" s="3415"/>
      <c r="D18" s="3415"/>
      <c r="E18" s="3415"/>
      <c r="F18" s="3415"/>
      <c r="G18" s="3415"/>
      <c r="H18" s="3415"/>
      <c r="I18" s="3415"/>
      <c r="J18" s="3415"/>
    </row>
    <row r="19" spans="1:10">
      <c r="A19" s="3415"/>
      <c r="B19" s="3415"/>
      <c r="C19" s="3415"/>
      <c r="D19" s="3415"/>
      <c r="E19" s="3415"/>
      <c r="F19" s="3415"/>
      <c r="G19" s="3415"/>
      <c r="H19" s="3415"/>
      <c r="I19" s="3415"/>
      <c r="J19" s="3415"/>
    </row>
    <row r="20" spans="1:10">
      <c r="A20" s="3415"/>
      <c r="B20" s="3415"/>
      <c r="C20" s="3415"/>
      <c r="D20" s="3415"/>
      <c r="E20" s="3415"/>
      <c r="F20" s="3415"/>
      <c r="G20" s="3415"/>
      <c r="H20" s="3415"/>
      <c r="I20" s="3415"/>
      <c r="J20" s="3415"/>
    </row>
    <row r="21" spans="1:10">
      <c r="A21" s="3415"/>
      <c r="B21" s="3415"/>
      <c r="C21" s="3415"/>
      <c r="D21" s="3415"/>
      <c r="E21" s="3415"/>
      <c r="F21" s="3415"/>
      <c r="G21" s="3415"/>
      <c r="H21" s="3415"/>
      <c r="I21" s="3415"/>
      <c r="J21" s="3415"/>
    </row>
    <row r="22" spans="1:10">
      <c r="A22" s="3415"/>
      <c r="B22" s="3415"/>
      <c r="C22" s="3415"/>
      <c r="D22" s="3415"/>
      <c r="E22" s="3415"/>
      <c r="F22" s="3415"/>
      <c r="G22" s="3415"/>
      <c r="H22" s="3415"/>
      <c r="I22" s="3415"/>
      <c r="J22" s="3415"/>
    </row>
    <row r="23" spans="1:10">
      <c r="A23" s="3415"/>
      <c r="B23" s="3415"/>
      <c r="C23" s="3415"/>
      <c r="D23" s="3415"/>
      <c r="E23" s="3415"/>
      <c r="F23" s="3415"/>
      <c r="G23" s="3415"/>
      <c r="H23" s="3415"/>
      <c r="I23" s="3415"/>
      <c r="J23" s="3415"/>
    </row>
    <row r="24" spans="1:10">
      <c r="A24" s="3415"/>
      <c r="B24" s="3415"/>
      <c r="C24" s="3415"/>
      <c r="D24" s="3415"/>
      <c r="E24" s="3415"/>
      <c r="F24" s="3415"/>
      <c r="G24" s="3415"/>
      <c r="H24" s="3415"/>
      <c r="I24" s="3415"/>
      <c r="J24" s="3415"/>
    </row>
    <row r="25" spans="1:10">
      <c r="A25" s="3415"/>
      <c r="B25" s="3415"/>
      <c r="C25" s="3415"/>
      <c r="D25" s="3415"/>
      <c r="E25" s="3415"/>
      <c r="F25" s="3415"/>
      <c r="G25" s="3415"/>
      <c r="H25" s="3415"/>
      <c r="I25" s="3415"/>
      <c r="J25" s="3415"/>
    </row>
    <row r="26" spans="1:10">
      <c r="A26" s="3415"/>
      <c r="B26" s="3415"/>
      <c r="C26" s="3415"/>
      <c r="D26" s="3415"/>
      <c r="E26" s="3415"/>
      <c r="F26" s="3415"/>
      <c r="G26" s="3415"/>
      <c r="H26" s="3415"/>
      <c r="I26" s="3415"/>
      <c r="J26" s="3415"/>
    </row>
    <row r="27" spans="1:10">
      <c r="A27" s="3415"/>
      <c r="B27" s="3415"/>
      <c r="C27" s="3415"/>
      <c r="D27" s="3415"/>
      <c r="E27" s="3415"/>
      <c r="F27" s="3415"/>
      <c r="G27" s="3415"/>
      <c r="H27" s="3415"/>
      <c r="I27" s="3415"/>
      <c r="J27" s="3415"/>
    </row>
    <row r="28" spans="1:10">
      <c r="A28" s="3415"/>
      <c r="B28" s="3415"/>
      <c r="C28" s="3415"/>
      <c r="D28" s="3415"/>
      <c r="E28" s="3415"/>
      <c r="F28" s="3415"/>
      <c r="G28" s="3415"/>
      <c r="H28" s="3415"/>
      <c r="I28" s="3415"/>
      <c r="J28" s="3415"/>
    </row>
    <row r="29" spans="1:10">
      <c r="A29" s="3415"/>
      <c r="B29" s="3415"/>
      <c r="C29" s="3415"/>
      <c r="D29" s="3415"/>
      <c r="E29" s="3415"/>
      <c r="F29" s="3415"/>
      <c r="G29" s="3415"/>
      <c r="H29" s="3415"/>
      <c r="I29" s="3415"/>
      <c r="J29" s="3415"/>
    </row>
    <row r="30" spans="1:10">
      <c r="A30" s="3415"/>
      <c r="B30" s="3415"/>
      <c r="C30" s="3415"/>
      <c r="D30" s="3415"/>
      <c r="E30" s="3415"/>
      <c r="F30" s="3415"/>
      <c r="G30" s="3415"/>
      <c r="H30" s="3415"/>
      <c r="I30" s="3415"/>
      <c r="J30" s="3415"/>
    </row>
    <row r="31" spans="1:10">
      <c r="A31" s="3415"/>
      <c r="B31" s="3415"/>
      <c r="C31" s="3415"/>
      <c r="D31" s="3415"/>
      <c r="E31" s="3415"/>
      <c r="F31" s="3415"/>
      <c r="G31" s="3415"/>
      <c r="H31" s="3415"/>
      <c r="I31" s="3415"/>
      <c r="J31" s="3415"/>
    </row>
  </sheetData>
  <sheetProtection password="C66D"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4444444444444" defaultRowHeight="15.6" outlineLevelCol="6"/>
  <cols>
    <col min="1" max="1" width="14.4444444444444" style="3389" customWidth="1"/>
    <col min="2" max="16384" width="14.4444444444444" style="3338"/>
  </cols>
  <sheetData>
    <row r="1" s="3388" customFormat="1" ht="17.4" spans="1:1">
      <c r="A1" s="3390" t="s">
        <v>134</v>
      </c>
    </row>
    <row r="3" spans="1:7">
      <c r="A3" s="3391" t="s">
        <v>135</v>
      </c>
      <c r="B3" s="3338" t="s">
        <v>136</v>
      </c>
      <c r="G3" s="3392"/>
    </row>
    <row r="4" spans="7:7">
      <c r="G4" s="3392"/>
    </row>
    <row r="5" spans="1:7">
      <c r="A5" s="3393" t="s">
        <v>137</v>
      </c>
      <c r="B5" s="3338" t="s">
        <v>138</v>
      </c>
      <c r="G5" s="3392"/>
    </row>
    <row r="6" spans="7:7">
      <c r="G6" s="3392"/>
    </row>
    <row r="7" spans="1:7">
      <c r="A7" s="3394" t="s">
        <v>139</v>
      </c>
      <c r="B7" s="3338" t="s">
        <v>140</v>
      </c>
      <c r="G7" s="3392"/>
    </row>
    <row r="8" spans="7:7">
      <c r="G8" s="3392"/>
    </row>
    <row r="9" spans="1:2">
      <c r="A9" s="3395" t="s">
        <v>141</v>
      </c>
      <c r="B9" s="3338" t="s">
        <v>142</v>
      </c>
    </row>
    <row r="11" spans="1:2">
      <c r="A11" s="3396" t="s">
        <v>143</v>
      </c>
      <c r="B11" s="3397" t="s">
        <v>144</v>
      </c>
    </row>
    <row r="13" spans="1:1">
      <c r="A13" s="3398" t="s">
        <v>145</v>
      </c>
    </row>
    <row r="15" ht="14.4" spans="1:3">
      <c r="A15" s="3399" t="s">
        <v>146</v>
      </c>
      <c r="B15" s="3400" t="s">
        <v>147</v>
      </c>
      <c r="C15" s="3401"/>
    </row>
    <row r="16" ht="14.4" spans="1:3">
      <c r="A16" s="3402"/>
      <c r="B16" s="3400" t="s">
        <v>148</v>
      </c>
      <c r="C16" s="3401"/>
    </row>
    <row r="17" ht="14.4" spans="1:3">
      <c r="A17" s="3402"/>
      <c r="B17" s="3403" t="s">
        <v>149</v>
      </c>
      <c r="C17" s="3403" t="s">
        <v>146</v>
      </c>
    </row>
    <row r="18" ht="14.4" spans="1:3">
      <c r="A18" s="3402"/>
      <c r="B18" s="3403"/>
      <c r="C18" s="3403" t="s">
        <v>150</v>
      </c>
    </row>
    <row r="19" ht="14.4" spans="1:3">
      <c r="A19" s="3402"/>
      <c r="B19" s="3403"/>
      <c r="C19" s="3403" t="s">
        <v>151</v>
      </c>
    </row>
    <row r="20" ht="14.4" spans="1:3">
      <c r="A20" s="3404"/>
      <c r="B20" s="3405" t="s">
        <v>152</v>
      </c>
      <c r="C20" s="3401"/>
    </row>
    <row r="21" ht="14.4" spans="1:3">
      <c r="A21" s="3406" t="s">
        <v>153</v>
      </c>
      <c r="B21" s="3407"/>
      <c r="C21" s="3408"/>
    </row>
    <row r="22" ht="14.4" spans="1:3">
      <c r="A22" s="3409" t="s">
        <v>154</v>
      </c>
      <c r="B22" s="3405" t="s">
        <v>155</v>
      </c>
      <c r="C22" s="3401"/>
    </row>
    <row r="23" ht="14.4" spans="1:3">
      <c r="A23" s="3409"/>
      <c r="B23" s="3405" t="s">
        <v>156</v>
      </c>
      <c r="C23" s="3401"/>
    </row>
    <row r="24" ht="14.4" spans="1:3">
      <c r="A24" s="3409"/>
      <c r="B24" s="3405" t="s">
        <v>157</v>
      </c>
      <c r="C24" s="3401"/>
    </row>
    <row r="25" ht="14.4" spans="1:3">
      <c r="A25" s="3409"/>
      <c r="B25" s="3403" t="s">
        <v>158</v>
      </c>
      <c r="C25" s="3403" t="s">
        <v>159</v>
      </c>
    </row>
    <row r="26" ht="14.4" spans="1:3">
      <c r="A26" s="3409"/>
      <c r="B26" s="3403"/>
      <c r="C26" s="3403" t="s">
        <v>160</v>
      </c>
    </row>
    <row r="27" ht="14.4" spans="1:3">
      <c r="A27" s="3409"/>
      <c r="B27" s="3403"/>
      <c r="C27" s="3403" t="s">
        <v>161</v>
      </c>
    </row>
    <row r="28" ht="14.4" spans="1:3">
      <c r="A28" s="3409"/>
      <c r="B28" s="3403"/>
      <c r="C28" s="3403" t="s">
        <v>162</v>
      </c>
    </row>
    <row r="29" ht="14.4" spans="1:3">
      <c r="A29" s="3409"/>
      <c r="B29" s="3403"/>
      <c r="C29" s="3403" t="s">
        <v>163</v>
      </c>
    </row>
    <row r="30" ht="14.4" spans="1:3">
      <c r="A30" s="3409"/>
      <c r="B30" s="3403"/>
      <c r="C30" s="3403" t="s">
        <v>164</v>
      </c>
    </row>
    <row r="31" ht="14.4" spans="1:3">
      <c r="A31" s="3409"/>
      <c r="B31" s="3403"/>
      <c r="C31" s="3403" t="s">
        <v>165</v>
      </c>
    </row>
    <row r="32" ht="14.4" spans="1:3">
      <c r="A32" s="3409"/>
      <c r="B32" s="3403"/>
      <c r="C32" s="3403" t="s">
        <v>166</v>
      </c>
    </row>
    <row r="33" ht="14.4" spans="1:3">
      <c r="A33" s="3409"/>
      <c r="B33" s="3403"/>
      <c r="C33" s="3403" t="s">
        <v>167</v>
      </c>
    </row>
    <row r="34" spans="1:1">
      <c r="A34" s="3410" t="s">
        <v>168</v>
      </c>
    </row>
    <row r="37" spans="1:1">
      <c r="A37" s="3410" t="s">
        <v>169</v>
      </c>
    </row>
    <row r="38" ht="14.4" spans="1:1">
      <c r="A38" s="3411" t="s">
        <v>170</v>
      </c>
    </row>
    <row r="39" ht="14.4" spans="1:1">
      <c r="A39" s="3411" t="s">
        <v>171</v>
      </c>
    </row>
    <row r="40" ht="14.4" spans="1:1">
      <c r="A40" s="3411" t="s">
        <v>172</v>
      </c>
    </row>
    <row r="41" ht="14.4" spans="1:1">
      <c r="A41" s="3412" t="s">
        <v>173</v>
      </c>
    </row>
    <row r="42" ht="14.4" spans="1:1">
      <c r="A42" s="3411" t="s">
        <v>174</v>
      </c>
    </row>
  </sheetData>
  <sheetProtection password="C66D"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666666666667" defaultRowHeight="24" customHeight="1" outlineLevelCol="7"/>
  <cols>
    <col min="1" max="1" width="24.6666666666667" style="3357" customWidth="1"/>
    <col min="2" max="2" width="38.6666666666667" style="3357" customWidth="1"/>
    <col min="3" max="3" width="26" style="3357" customWidth="1"/>
    <col min="4" max="4" width="35" style="3357" hidden="1" customWidth="1"/>
    <col min="5" max="5" width="30.1111111111111" style="3357" customWidth="1"/>
    <col min="6" max="6" width="35.4444444444444" style="3357" customWidth="1"/>
    <col min="7" max="7" width="31" style="3357" customWidth="1"/>
    <col min="8" max="8" width="37.4444444444444" style="3357" hidden="1" customWidth="1"/>
    <col min="9" max="16384" width="22.6666666666667" style="3357"/>
  </cols>
  <sheetData>
    <row r="1" customHeight="1" spans="1:8">
      <c r="A1" s="3358"/>
      <c r="B1" s="3358"/>
      <c r="C1" s="3358"/>
      <c r="D1" s="3358"/>
      <c r="E1" s="3358"/>
      <c r="F1" s="3358"/>
      <c r="G1" s="3358"/>
      <c r="H1" s="3358"/>
    </row>
    <row r="2" customHeight="1" spans="1:8">
      <c r="A2" s="3359" t="s">
        <v>175</v>
      </c>
      <c r="B2" s="3360">
        <f ca="1">TODAY()</f>
        <v>44804</v>
      </c>
      <c r="C2" s="3361" t="s">
        <v>176</v>
      </c>
      <c r="D2" s="3361"/>
      <c r="E2" s="3361"/>
      <c r="F2" s="3358"/>
      <c r="G2" s="3358"/>
      <c r="H2" s="3358"/>
    </row>
    <row r="3" customHeight="1" spans="1:8">
      <c r="A3" s="3362" t="s">
        <v>177</v>
      </c>
      <c r="B3" s="3363" t="s">
        <v>178</v>
      </c>
      <c r="C3" s="3363" t="s">
        <v>179</v>
      </c>
      <c r="D3" s="3364" t="s">
        <v>180</v>
      </c>
      <c r="E3" s="3365" t="s">
        <v>181</v>
      </c>
      <c r="F3" s="3366" t="s">
        <v>182</v>
      </c>
      <c r="G3" s="3363" t="s">
        <v>179</v>
      </c>
      <c r="H3" s="3364" t="s">
        <v>183</v>
      </c>
    </row>
    <row r="4" customHeight="1" spans="1:8">
      <c r="A4" s="3366" t="s">
        <v>184</v>
      </c>
      <c r="B4" s="3366">
        <f ca="1">IF(C4&lt;B2,"已过期",1119970066)</f>
        <v>1119970066</v>
      </c>
      <c r="C4" s="3367">
        <v>44876</v>
      </c>
      <c r="D4" s="3368" t="str">
        <f ca="1">A4&amp;"（注册号："&amp;B4&amp;"）"</f>
        <v>梁津（注册号：1119970066）</v>
      </c>
      <c r="E4" s="3369" t="s">
        <v>184</v>
      </c>
      <c r="F4" s="3366">
        <f ca="1">IF(G4&lt;B2,"已过期",96010014)</f>
        <v>96010014</v>
      </c>
      <c r="G4" s="3370">
        <v>47118</v>
      </c>
      <c r="H4" s="3371" t="str">
        <f ca="1">E4&amp;"（注册号："&amp;F4&amp;"）"</f>
        <v>梁津（注册号：96010014）</v>
      </c>
    </row>
    <row r="5" customHeight="1" spans="1:8">
      <c r="A5" s="3366" t="s">
        <v>185</v>
      </c>
      <c r="B5" s="3366">
        <f ca="1">IF(C5&lt;B2,"已过期",1119970111)</f>
        <v>1119970111</v>
      </c>
      <c r="C5" s="3367">
        <v>44876</v>
      </c>
      <c r="D5" s="3368" t="str">
        <f ca="1" t="shared" ref="D5:D16" si="0">A5&amp;"（注册号："&amp;B5&amp;"）"</f>
        <v>叶凌（注册号：1119970111）</v>
      </c>
      <c r="E5" s="3369" t="s">
        <v>185</v>
      </c>
      <c r="F5" s="3366">
        <f ca="1">IF(G5&lt;B2,"已过期",94010078)</f>
        <v>94010078</v>
      </c>
      <c r="G5" s="3370">
        <v>46387</v>
      </c>
      <c r="H5" s="3371" t="str">
        <f ca="1" t="shared" ref="H5:H16" si="1">E5&amp;"（注册号："&amp;F5&amp;"）"</f>
        <v>叶凌（注册号：94010078）</v>
      </c>
    </row>
    <row r="6" customHeight="1" spans="1:8">
      <c r="A6" s="3366" t="s">
        <v>186</v>
      </c>
      <c r="B6" s="3366">
        <f ca="1">IF(C6&lt;B2,"已过期",1120050019)</f>
        <v>1120050019</v>
      </c>
      <c r="C6" s="3367">
        <v>45410</v>
      </c>
      <c r="D6" s="3368" t="str">
        <f ca="1" t="shared" si="0"/>
        <v>王鹏（注册号：1120050019）</v>
      </c>
      <c r="E6" s="3369" t="s">
        <v>186</v>
      </c>
      <c r="F6" s="3366">
        <f ca="1">IF(G6&lt;B2,"已过期",2002110030)</f>
        <v>2002110030</v>
      </c>
      <c r="G6" s="3370">
        <v>46387</v>
      </c>
      <c r="H6" s="3371" t="str">
        <f ca="1" t="shared" si="1"/>
        <v>王鹏（注册号：2002110030）</v>
      </c>
    </row>
    <row r="7" customHeight="1" spans="1:8">
      <c r="A7" s="3366" t="s">
        <v>187</v>
      </c>
      <c r="B7" s="3366">
        <f ca="1">IF(C7&lt;B2,"已过期",1120000080)</f>
        <v>1120000080</v>
      </c>
      <c r="C7" s="3367">
        <v>44876</v>
      </c>
      <c r="D7" s="3368" t="str">
        <f ca="1" t="shared" si="0"/>
        <v>欧红伟（注册号：1120000080）</v>
      </c>
      <c r="E7" s="3369" t="s">
        <v>187</v>
      </c>
      <c r="F7" s="3366">
        <f ca="1">IF(G7&lt;B2,"已过期",2000110082)</f>
        <v>2000110082</v>
      </c>
      <c r="G7" s="3370">
        <v>46387</v>
      </c>
      <c r="H7" s="3371" t="str">
        <f ca="1" t="shared" si="1"/>
        <v>欧红伟（注册号：2000110082）</v>
      </c>
    </row>
    <row r="8" customHeight="1" spans="1:8">
      <c r="A8" s="3366" t="s">
        <v>188</v>
      </c>
      <c r="B8" s="3366">
        <f ca="1">IF(C8&lt;B2,"已过期",1419970001)</f>
        <v>1419970001</v>
      </c>
      <c r="C8" s="3367">
        <v>44899</v>
      </c>
      <c r="D8" s="3368" t="str">
        <f ca="1" t="shared" si="0"/>
        <v>吴薇（注册号：1419970001）</v>
      </c>
      <c r="E8" s="3369" t="s">
        <v>188</v>
      </c>
      <c r="F8" s="3366">
        <f ca="1">IF(G8&lt;B2,"已过期",2002110125)</f>
        <v>2002110125</v>
      </c>
      <c r="G8" s="3370">
        <v>47118</v>
      </c>
      <c r="H8" s="3371" t="str">
        <f ca="1" t="shared" si="1"/>
        <v>吴薇（注册号：2002110125）</v>
      </c>
    </row>
    <row r="9" customHeight="1" spans="1:8">
      <c r="A9" s="3366" t="s">
        <v>189</v>
      </c>
      <c r="B9" s="3366">
        <f ca="1">IF(C9&lt;B2,"已过期",1120060040)</f>
        <v>1120060040</v>
      </c>
      <c r="C9" s="3372">
        <v>45592</v>
      </c>
      <c r="D9" s="3368" t="str">
        <f ca="1" t="shared" si="0"/>
        <v>陈颖（注册号：1120060040）</v>
      </c>
      <c r="E9" s="3369" t="s">
        <v>189</v>
      </c>
      <c r="F9" s="3366">
        <f ca="1">IF(G9&lt;B2,"已过期",2004110096)</f>
        <v>2004110096</v>
      </c>
      <c r="G9" s="3370">
        <v>47118</v>
      </c>
      <c r="H9" s="3371" t="str">
        <f ca="1" t="shared" si="1"/>
        <v>陈颖（注册号：2004110096）</v>
      </c>
    </row>
    <row r="10" customHeight="1" spans="1:8">
      <c r="A10" s="3366" t="s">
        <v>190</v>
      </c>
      <c r="B10" s="3366" t="str">
        <f ca="1">IF(C10&lt;B2,"已过期",1120100036)</f>
        <v>已过期</v>
      </c>
      <c r="C10" s="3372">
        <v>44675</v>
      </c>
      <c r="D10" s="3368" t="str">
        <f ca="1" t="shared" si="0"/>
        <v>崔锴（注册号：已过期）</v>
      </c>
      <c r="E10" s="3369" t="s">
        <v>190</v>
      </c>
      <c r="F10" s="3366">
        <f ca="1">IF(G10&lt;B2,"已过期",2010110070)</f>
        <v>2010110070</v>
      </c>
      <c r="G10" s="3370">
        <v>47907</v>
      </c>
      <c r="H10" s="3371" t="str">
        <f ca="1" t="shared" si="1"/>
        <v>崔锴（注册号：2010110070）</v>
      </c>
    </row>
    <row r="11" customHeight="1" spans="1:8">
      <c r="A11" s="3366" t="s">
        <v>191</v>
      </c>
      <c r="B11" s="3366">
        <f ca="1">IF(C11&lt;B2,"已过期",1120070131)</f>
        <v>1120070131</v>
      </c>
      <c r="C11" s="3367">
        <v>44849</v>
      </c>
      <c r="D11" s="3368" t="str">
        <f ca="1" t="shared" si="0"/>
        <v>郑燚（注册号：1120070131）</v>
      </c>
      <c r="E11" s="3369" t="s">
        <v>191</v>
      </c>
      <c r="F11" s="3366">
        <f ca="1">IF(G11&lt;B2,"已过期",2014110011)</f>
        <v>2014110011</v>
      </c>
      <c r="G11" s="3370">
        <v>49302</v>
      </c>
      <c r="H11" s="3371" t="str">
        <f ca="1" t="shared" si="1"/>
        <v>郑燚（注册号：2014110011）</v>
      </c>
    </row>
    <row r="12" customHeight="1" spans="1:8">
      <c r="A12" s="3366" t="s">
        <v>192</v>
      </c>
      <c r="B12" s="3366">
        <f ca="1">IF(C12&lt;B2,"已过期",1120040230)</f>
        <v>1120040230</v>
      </c>
      <c r="C12" s="3372">
        <v>44864</v>
      </c>
      <c r="D12" s="3368" t="str">
        <f ca="1" t="shared" si="0"/>
        <v>苏海（注册号：1120040230）</v>
      </c>
      <c r="E12" s="3369" t="s">
        <v>192</v>
      </c>
      <c r="F12" s="3366">
        <f ca="1">IF(G12&lt;B2,"已过期",98030020)</f>
        <v>98030020</v>
      </c>
      <c r="G12" s="3370">
        <v>47118</v>
      </c>
      <c r="H12" s="3371" t="str">
        <f ca="1" t="shared" si="1"/>
        <v>苏海（注册号：98030020）</v>
      </c>
    </row>
    <row r="13" customHeight="1" spans="1:8">
      <c r="A13" s="3366" t="s">
        <v>193</v>
      </c>
      <c r="B13" s="3366" t="str">
        <f ca="1">IF(C13&lt;B2,"已过期",1120020033)</f>
        <v>已过期</v>
      </c>
      <c r="C13" s="3367">
        <v>44339</v>
      </c>
      <c r="D13" s="3368" t="str">
        <f ca="1" t="shared" si="0"/>
        <v>刘敬东（注册号：已过期）</v>
      </c>
      <c r="E13" s="3369" t="s">
        <v>193</v>
      </c>
      <c r="F13" s="3366">
        <f ca="1">IF(G13&lt;B2,"已过期",2000110137)</f>
        <v>2000110137</v>
      </c>
      <c r="G13" s="3370">
        <v>46387</v>
      </c>
      <c r="H13" s="3371" t="str">
        <f ca="1" t="shared" si="1"/>
        <v>刘敬东（注册号：2000110137）</v>
      </c>
    </row>
    <row r="14" customHeight="1" spans="1:8">
      <c r="A14" s="3366" t="s">
        <v>194</v>
      </c>
      <c r="B14" s="3366">
        <f ca="1">IF(C14&lt;B2,"已过期",1119980106)</f>
        <v>1119980106</v>
      </c>
      <c r="C14" s="3372">
        <v>44969</v>
      </c>
      <c r="D14" s="3368" t="str">
        <f ca="1" t="shared" si="0"/>
        <v>刘俊财（注册号：1119980106）</v>
      </c>
      <c r="E14" s="3369" t="s">
        <v>194</v>
      </c>
      <c r="F14" s="3366">
        <f ca="1">IF(G14&lt;B2,"已过期",96010063)</f>
        <v>96010063</v>
      </c>
      <c r="G14" s="3370">
        <v>47483</v>
      </c>
      <c r="H14" s="3371" t="str">
        <f ca="1" t="shared" si="1"/>
        <v>刘俊财（注册号：96010063）</v>
      </c>
    </row>
    <row r="15" customHeight="1" spans="1:8">
      <c r="A15" s="3366" t="s">
        <v>195</v>
      </c>
      <c r="B15" s="3366">
        <v>1120210056</v>
      </c>
      <c r="C15" s="3372">
        <v>45410</v>
      </c>
      <c r="D15" s="3368" t="str">
        <f t="shared" si="0"/>
        <v>宁小鳗（注册号：1120210056）</v>
      </c>
      <c r="E15" s="3369" t="s">
        <v>196</v>
      </c>
      <c r="F15" s="3366">
        <f ca="1">IF(G15&lt;B2,"已过期",2011110090)</f>
        <v>2011110090</v>
      </c>
      <c r="G15" s="3370">
        <v>48302</v>
      </c>
      <c r="H15" s="3371" t="str">
        <f ca="1" t="shared" si="1"/>
        <v>赵雯（注册号：2011110090）</v>
      </c>
    </row>
    <row r="16" s="3355" customFormat="1" customHeight="1" spans="1:8">
      <c r="A16" s="3366"/>
      <c r="B16" s="3366"/>
      <c r="C16" s="3366"/>
      <c r="D16" s="3368" t="str">
        <f t="shared" si="0"/>
        <v>（注册号：）</v>
      </c>
      <c r="E16" s="3369"/>
      <c r="F16" s="3366"/>
      <c r="G16" s="3366"/>
      <c r="H16" s="3373" t="str">
        <f t="shared" si="1"/>
        <v>（注册号：）</v>
      </c>
    </row>
    <row r="17" customHeight="1" spans="1:8">
      <c r="A17" s="3374" t="s">
        <v>197</v>
      </c>
      <c r="B17" s="3374"/>
      <c r="C17" s="3374"/>
      <c r="D17" s="3374"/>
      <c r="E17" s="3374"/>
      <c r="F17" s="3374"/>
      <c r="G17" s="3374"/>
      <c r="H17" s="3374"/>
    </row>
    <row r="18" customHeight="1" spans="1:7">
      <c r="A18" s="3363" t="s">
        <v>198</v>
      </c>
      <c r="B18" s="3363"/>
      <c r="C18" s="3363"/>
      <c r="D18" s="3364"/>
      <c r="E18" s="3375" t="s">
        <v>199</v>
      </c>
      <c r="F18" s="3363"/>
      <c r="G18" s="3363"/>
    </row>
    <row r="19" s="3356" customFormat="1" customHeight="1" spans="1:7">
      <c r="A19" s="3376" t="s">
        <v>200</v>
      </c>
      <c r="B19" s="3363" t="s">
        <v>201</v>
      </c>
      <c r="C19" s="3363" t="s">
        <v>179</v>
      </c>
      <c r="D19" s="3364"/>
      <c r="E19" s="3369" t="s">
        <v>200</v>
      </c>
      <c r="F19" s="3363" t="s">
        <v>201</v>
      </c>
      <c r="G19" s="3363" t="s">
        <v>179</v>
      </c>
    </row>
    <row r="20" s="3356" customFormat="1" customHeight="1" spans="1:7">
      <c r="A20" s="3377" t="s">
        <v>202</v>
      </c>
      <c r="B20" s="3377" t="s">
        <v>203</v>
      </c>
      <c r="C20" s="3370">
        <v>44820</v>
      </c>
      <c r="D20" s="3378"/>
      <c r="E20" s="3379" t="s">
        <v>204</v>
      </c>
      <c r="F20" s="3380" t="s">
        <v>205</v>
      </c>
      <c r="G20" s="3381">
        <v>44926</v>
      </c>
    </row>
    <row r="21" s="3356" customFormat="1" customHeight="1" spans="1:7">
      <c r="A21" s="3377"/>
      <c r="B21" s="3377"/>
      <c r="C21" s="3382"/>
      <c r="D21" s="3383"/>
      <c r="E21" s="3379"/>
      <c r="F21" s="3380"/>
      <c r="G21" s="3381"/>
    </row>
    <row r="22" customHeight="1" spans="3:7">
      <c r="C22" s="3384"/>
      <c r="D22" s="3384"/>
      <c r="E22" s="3385"/>
      <c r="F22" s="3386"/>
      <c r="G22" s="3387"/>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comments xmlns="https://web.wps.cn/et/2018/main" xmlns:s="http://schemas.openxmlformats.org/spreadsheetml/2006/main">
  <commentList sheetStid="80">
    <comment s:ref="K42" rgbClr="559BFC"/>
    <comment s:ref="C65" rgbClr="559BFC"/>
    <comment s:ref="B66" rgbClr="559BFC"/>
  </commentList>
</comments>
</file>

<file path=customXml/itemProps1.xml><?xml version="1.0" encoding="utf-8"?>
<ds:datastoreItem xmlns:ds="http://schemas.openxmlformats.org/officeDocument/2006/customXml" ds:itemID="{06A0048C-2381-489B-AA07-9611017176EA}">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47</vt:i4>
      </vt:variant>
    </vt:vector>
  </HeadingPairs>
  <TitlesOfParts>
    <vt:vector size="4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面积明细</vt:lpstr>
      <vt:lpstr>土地案例</vt:lpstr>
      <vt:lpstr>土地比较法-换案例</vt:lpstr>
      <vt:lpstr>区片价（范围）</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李斌</cp:lastModifiedBy>
  <dcterms:created xsi:type="dcterms:W3CDTF">2015-07-13T07:17:00Z</dcterms:created>
  <cp:lastPrinted>2017-03-01T09:15:00Z</cp:lastPrinted>
  <dcterms:modified xsi:type="dcterms:W3CDTF">2022-08-31T05:01:17Z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9482ADD0BBA7442C95F21A19FB9B1649</vt:lpwstr>
  </property>
  <property fmtid="{D5CDD505-2E9C-101B-9397-08002B2CF9AE}" pid="3" name="KSOProductBuildVer">
    <vt:lpwstr>2052-11.1.0.11636</vt:lpwstr>
  </property>
</Properties>
</file>