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报告们\课税\富力万丽\2021\"/>
    </mc:Choice>
  </mc:AlternateContent>
  <xr:revisionPtr revIDLastSave="0" documentId="13_ncr:1_{A457177B-752A-48EE-BAC6-B380D4E0E296}" xr6:coauthVersionLast="45" xr6:coauthVersionMax="45" xr10:uidLastSave="{00000000-0000-0000-0000-000000000000}"/>
  <bookViews>
    <workbookView xWindow="-120" yWindow="-120" windowWidth="21840" windowHeight="13140" tabRatio="787" firstSheet="2" activeTab="7" xr2:uid="{00000000-000D-0000-FFFF-FFFF00000000}"/>
  </bookViews>
  <sheets>
    <sheet name="使用说明" sheetId="41" state="hidden" r:id="rId1"/>
    <sheet name="定义" sheetId="10" state="hidden" r:id="rId2"/>
    <sheet name="数据-汇总表" sheetId="71" r:id="rId3"/>
    <sheet name="面积新" sheetId="70" r:id="rId4"/>
    <sheet name="估价对象房地状况" sheetId="20" state="hidden" r:id="rId5"/>
    <sheet name="系统读取表" sheetId="68" r:id="rId6"/>
    <sheet name="结果表" sheetId="9" r:id="rId7"/>
    <sheet name="汇总表" sheetId="69" r:id="rId8"/>
    <sheet name="主表(商业）" sheetId="59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基准地价" sheetId="63" r:id="rId15"/>
    <sheet name="2002地价表" sheetId="60" state="hidden" r:id="rId16"/>
    <sheet name="2002容积率修正" sheetId="61" state="hidden" r:id="rId17"/>
    <sheet name="2002因素修正幅度" sheetId="62" state="hidden" r:id="rId18"/>
    <sheet name="1993基准地价" sheetId="64" r:id="rId19"/>
    <sheet name="比较法" sheetId="39" state="hidden" r:id="rId20"/>
    <sheet name="存贷款利率" sheetId="65" state="hidden" r:id="rId21"/>
    <sheet name="地价" sheetId="67" r:id="rId22"/>
    <sheet name="地价（废）" sheetId="66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9" hidden="1">比较法!$A$1:$L$48</definedName>
    <definedName name="_xlnm.Print_Area" localSheetId="18">'1993基准地价'!$A$1:$J$30</definedName>
    <definedName name="_xlnm.Print_Area" localSheetId="20">存贷款利率!$B$11:$J$59</definedName>
    <definedName name="_xlnm.Print_Area" localSheetId="21">地价!$A$1:$V$78</definedName>
    <definedName name="_xlnm.Print_Area" localSheetId="6">结果表!$A$1:$I$33</definedName>
    <definedName name="_xlnm.Print_Area" localSheetId="2">'数据-汇总表'!$A$1:$I$32</definedName>
    <definedName name="_xlnm.Print_Area" localSheetId="8">'主表(商业）'!$A$1:$G$48</definedName>
    <definedName name="八级">'2014区片价'!$P$1:$P$40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 localSheetId="3">[1]定义!$M$1:$M$6</definedName>
    <definedName name="办公集聚程度" localSheetId="2">[1]定义!$M$1:$M$6</definedName>
    <definedName name="办公集聚程度">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 localSheetId="3">[1]定义!$N$1:$N$6</definedName>
    <definedName name="产业集聚程度" localSheetId="2">[1]定义!$N$1:$N$6</definedName>
    <definedName name="产业集聚程度">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 localSheetId="3">[1]定义!$V$1:$V$3</definedName>
    <definedName name="单价内涵" localSheetId="2">[1]定义!$V$1:$V$3</definedName>
    <definedName name="单价内涵">定义!$V$1:$V$3</definedName>
    <definedName name="地类判定" localSheetId="3">[1]定义!$H$1:$H$9</definedName>
    <definedName name="地类判定" localSheetId="2">[1]定义!$H$1:$H$9</definedName>
    <definedName name="地类判定">定义!$H$1:$H$9</definedName>
    <definedName name="地下">'2014基准地价'!$B$33:$B$39</definedName>
    <definedName name="二级">'2014区片价'!$J$1:$J$20</definedName>
    <definedName name="二级分类" localSheetId="3">[1]修正!$C$17:$C$39</definedName>
    <definedName name="二级分类" localSheetId="2">[1]修正!$C$17:$C$39</definedName>
    <definedName name="二级分类">'2014修正'!$C$17:$C$39</definedName>
    <definedName name="法定最高年限" localSheetId="20">[2]定义!$F$2:$F$4</definedName>
    <definedName name="法定最高年限" localSheetId="3">[1]定义!$G$1:$G$4</definedName>
    <definedName name="法定最高年限" localSheetId="2">[1]定义!$G$1:$G$4</definedName>
    <definedName name="法定最高年限">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 localSheetId="3">[1]定义!$Q$1:$Q$6</definedName>
    <definedName name="公共配套设施" localSheetId="2">[1]定义!$Q$1:$Q$6</definedName>
    <definedName name="公共配套设施">定义!$Q$1:$Q$6</definedName>
    <definedName name="估价方法" localSheetId="3">[1]定义!$B$1:$B$50</definedName>
    <definedName name="估价方法" localSheetId="2">[1]定义!$B$1:$B$50</definedName>
    <definedName name="估价方法">定义!$B$1:$B$50</definedName>
    <definedName name="估价目的">定义!#REF!</definedName>
    <definedName name="环境" localSheetId="3">[1]定义!$S$1:$S$6</definedName>
    <definedName name="环境" localSheetId="2">[1]定义!$S$1:$S$6</definedName>
    <definedName name="环境">定义!$S$1:$S$6</definedName>
    <definedName name="基础设施水平" localSheetId="3">[1]定义!$R$1:$R$6</definedName>
    <definedName name="基础设施水平" localSheetId="2">[1]定义!$R$1:$R$6</definedName>
    <definedName name="基础设施水平">定义!$R$1:$R$6</definedName>
    <definedName name="季度" localSheetId="18">'1993基准地价'!#REF!</definedName>
    <definedName name="季度2002" localSheetId="14">'地价（废）'!$A$17:$A$67</definedName>
    <definedName name="季度2014">地价!$A$3:$A$29</definedName>
    <definedName name="价值类型">定义!$B$51:$B$51</definedName>
    <definedName name="价值类型2" localSheetId="3">[1]定义!$B$54:$B$56</definedName>
    <definedName name="价值类型2" localSheetId="2">[1]定义!$B$54:$B$56</definedName>
    <definedName name="价值类型2">定义!#REF!</definedName>
    <definedName name="建筑使用方向">定义!$Y:$Y</definedName>
    <definedName name="交通便捷度" localSheetId="3">[1]定义!$O$1:$O$6</definedName>
    <definedName name="交通便捷度" localSheetId="2">[1]定义!$O$1:$O$6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 localSheetId="3">[1]定义!$K$1:$K$6</definedName>
    <definedName name="居住社区成熟度" localSheetId="2">[1]定义!$K$1:$K$6</definedName>
    <definedName name="居住社区成熟度">定义!$K$1:$K$6</definedName>
    <definedName name="类别" localSheetId="3">[1]定义!$J$1:$J$3</definedName>
    <definedName name="类别" localSheetId="2">[1]定义!$J$1:$J$3</definedName>
    <definedName name="类别">定义!$J$1:$J$3</definedName>
    <definedName name="临街状况" localSheetId="3">[1]定义!$T$1:$T$5</definedName>
    <definedName name="临街状况" localSheetId="2">[1]定义!$T$1:$T$5</definedName>
    <definedName name="临街状况">定义!$T$1:$T$5</definedName>
    <definedName name="六级">'2014区片价'!$N$1:$N$49</definedName>
    <definedName name="内部装修维护情况" localSheetId="3">[1]定义!$U$1:$U$6</definedName>
    <definedName name="内部装修维护情况" localSheetId="2">[1]定义!$U$1:$U$6</definedName>
    <definedName name="内部装修维护情况">定义!$U$1:$U$6</definedName>
    <definedName name="判定" localSheetId="3">[1]定义!$D$1:$D$4</definedName>
    <definedName name="判定" localSheetId="2">[1]定义!$D$1:$D$4</definedName>
    <definedName name="判定">定义!$D$1:$D$4</definedName>
    <definedName name="七级">'2014区片价'!$O$1:$O$49</definedName>
    <definedName name="七通一平" localSheetId="3">[1]修正!$A$6:$A$14</definedName>
    <definedName name="七通一平" localSheetId="2">[1]修正!$A$6:$A$14</definedName>
    <definedName name="七通一平">'2014修正'!$A$6:$A$14</definedName>
    <definedName name="区域土地利用方向" localSheetId="3">[1]定义!$P$1:$P$6</definedName>
    <definedName name="区域土地利用方向" localSheetId="2">[1]定义!$P$1:$P$6</definedName>
    <definedName name="区域土地利用方向">定义!$P$1:$P$6</definedName>
    <definedName name="三级">'2014区片价'!$K$1:$K$21</definedName>
    <definedName name="商业层高">'[1]比较法-商业'!$B$116:$M$116</definedName>
    <definedName name="商业繁华度" localSheetId="3">[1]定义!$L$1:$L$6</definedName>
    <definedName name="商业繁华度" localSheetId="2">[1]定义!$L$1:$L$6</definedName>
    <definedName name="商业繁华度">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 localSheetId="3">[1]修正!$C$59:$C$119</definedName>
    <definedName name="商业街名称" localSheetId="2">[1]修正!$C$59:$C$119</definedName>
    <definedName name="商业街名称">'2014修正'!$C$59:$C$119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十二级">'2014区片价'!$T$1:$T$8</definedName>
    <definedName name="十级">'2014区片价'!$R$1:$R$27</definedName>
    <definedName name="十一级">'2014区片价'!$S$1:$S$22</definedName>
    <definedName name="是否封闭">'[1]比较法-仓储'!$B$89:$M$89</definedName>
    <definedName name="是否直接入户">'[1]比较法-车位'!$B$95:$M$95</definedName>
    <definedName name="四级">'2014区片价'!$L$1:$L$28</definedName>
    <definedName name="套工道路等级" localSheetId="3">'[1]土地比较法-工业'!$B$97:$M$97</definedName>
    <definedName name="套工道路等级" localSheetId="2">'[1]土地比较法-工业'!$B$97:$M$97</definedName>
    <definedName name="套工道路等级">#REF!</definedName>
    <definedName name="套工地质条件" localSheetId="3">'[1]土地比较法-工业'!$B$114:$M$114</definedName>
    <definedName name="套工地质条件" localSheetId="2">'[1]土地比较法-工业'!$B$114:$M$114</definedName>
    <definedName name="套工地质条件">#REF!</definedName>
    <definedName name="套工交易情况" localSheetId="3">'[1]土地比较法-住宅、综合'!$A$73:$M$73</definedName>
    <definedName name="套工交易情况" localSheetId="2">'[1]土地比较法-住宅、综合'!$A$73:$M$73</definedName>
    <definedName name="套工交易情况">比较法!$A$61:$M$61</definedName>
    <definedName name="套工土地级别" localSheetId="3">'[1]土地比较法-工业'!$B$99:$M$99</definedName>
    <definedName name="套工土地级别" localSheetId="2">'[1]土地比较法-工业'!$B$99:$M$99</definedName>
    <definedName name="套工土地级别">#REF!</definedName>
    <definedName name="套工用途" localSheetId="3">'[1]土地比较法-工业'!$B$70:$M$70</definedName>
    <definedName name="套工用途" localSheetId="2">'[1]土地比较法-工业'!$B$70:$M$70</definedName>
    <definedName name="套工用途">#REF!</definedName>
    <definedName name="套工宗地开发程度">'[1]土地比较法-工业'!$B$112:$M$112</definedName>
    <definedName name="套工宗地内开发程度">#REF!</definedName>
    <definedName name="套工宗地形状" localSheetId="3">'[1]土地比较法-工业'!$B$110:$M$110</definedName>
    <definedName name="套工宗地形状" localSheetId="2">'[1]土地比较法-工业'!$B$110:$M$110</definedName>
    <definedName name="套工宗地形状">#REF!</definedName>
    <definedName name="套综道路等级" localSheetId="3">'[1]土地比较法-住宅、综合'!$B$106:$M$106</definedName>
    <definedName name="套综道路等级" localSheetId="2">'[1]土地比较法-住宅、综合'!$B$106:$M$106</definedName>
    <definedName name="套综道路等级">比较法!$B$94:$M$94</definedName>
    <definedName name="套综工程地质条件" localSheetId="3">'[1]土地比较法-住宅、综合'!$B$125:$M$125</definedName>
    <definedName name="套综工程地质条件" localSheetId="2">'[1]土地比较法-住宅、综合'!$B$125:$M$125</definedName>
    <definedName name="套综工程地质条件">比较法!$B$113:$M$113</definedName>
    <definedName name="套综交易情况" localSheetId="3">'[1]土地比较法-住宅、综合'!$A$73:$M$73</definedName>
    <definedName name="套综交易情况" localSheetId="2">'[1]土地比较法-住宅、综合'!$A$73:$M$73</definedName>
    <definedName name="套综交易情况">比较法!$A$61:$M$61</definedName>
    <definedName name="套综临街宽度及深度" localSheetId="3">'[1]土地比较法-住宅、综合'!$B$121:$M$121</definedName>
    <definedName name="套综临街宽度及深度" localSheetId="2">'[1]土地比较法-住宅、综合'!$B$121:$M$121</definedName>
    <definedName name="套综临街宽度及深度">比较法!$B$109:$M$109</definedName>
    <definedName name="套综土地级别" localSheetId="3">'[1]土地比较法-住宅、综合'!$B$108:$M$108</definedName>
    <definedName name="套综土地级别" localSheetId="2">'[1]土地比较法-住宅、综合'!$B$108:$M$108</definedName>
    <definedName name="套综土地级别">比较法!$B$96:$M$96</definedName>
    <definedName name="套综用途" localSheetId="3">'[1]土地比较法-住宅、综合'!$B$75:$M$75</definedName>
    <definedName name="套综用途" localSheetId="2">'[1]土地比较法-住宅、综合'!$B$75:$M$75</definedName>
    <definedName name="套综用途">比较法!$B$63:$M$63</definedName>
    <definedName name="套综宗地内开发程度" localSheetId="3">'[1]土地比较法-住宅、综合'!$B$123:$M$123</definedName>
    <definedName name="套综宗地内开发程度" localSheetId="2">'[1]土地比较法-住宅、综合'!$B$123:$M$123</definedName>
    <definedName name="套综宗地内开发程度">比较法!$B$111:$M$111</definedName>
    <definedName name="套综宗地形状" localSheetId="3">'[1]土地比较法-住宅、综合'!$B$119:$M$119</definedName>
    <definedName name="套综宗地形状" localSheetId="2">'[1]土地比较法-住宅、综合'!$B$119:$M$119</definedName>
    <definedName name="套综宗地形状">比较法!$B$107:$M$107</definedName>
    <definedName name="土地级别" localSheetId="3">[1]定义!$C$1:$C$14</definedName>
    <definedName name="土地级别" localSheetId="2">[1]定义!$C$1:$C$14</definedName>
    <definedName name="土地级别">定义!$C$1:$C$13</definedName>
    <definedName name="土地利用方向">定义!$P$1:$P$6</definedName>
    <definedName name="土地年限区间" localSheetId="3">[1]定义!$I$1:$I$8</definedName>
    <definedName name="土地年限区间" localSheetId="2">[1]定义!$I$1:$I$8</definedName>
    <definedName name="土地年限区间">定义!$I$1:$I$8</definedName>
    <definedName name="位置" localSheetId="3">[1]定义!$E$2:$E$4</definedName>
    <definedName name="位置" localSheetId="2">[1]定义!$E$2:$E$4</definedName>
    <definedName name="位置">定义!$E$2:$E$4</definedName>
    <definedName name="五等判定" localSheetId="3">[1]定义!$W$1:$W$6</definedName>
    <definedName name="五等判定" localSheetId="2">[1]定义!$W$1:$W$6</definedName>
    <definedName name="五等判定">定义!$W$1:$W$6</definedName>
    <definedName name="五级">'2014区片价'!$M$1:$M$35</definedName>
    <definedName name="项目类型">'数据-汇总表'!$C$17:$C$26</definedName>
    <definedName name="写字楼等级">'[1]比较法-办公'!$B$113:$M$113</definedName>
    <definedName name="一级">'2014区片价'!$I$1:$I$6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已注销">定义!#REF!</definedName>
    <definedName name="已注销及未注销">定义!#REF!</definedName>
    <definedName name="用途明细" localSheetId="3">[1]定义!$A$1:$A$50</definedName>
    <definedName name="用途明细" localSheetId="2">[1]定义!$A$1:$A$50</definedName>
    <definedName name="用途明细">定义!$A$1:$A$50</definedName>
    <definedName name="有无电梯">'[1]比较法-仓储'!$B$84:$M$84</definedName>
    <definedName name="主用途" localSheetId="3">[1]定义!$F$1:$F$10</definedName>
    <definedName name="主用途" localSheetId="2">[1]定义!$F$1:$F$10</definedName>
    <definedName name="主用途">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[1]估价师及机构信息!$A$3:$A$24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9" l="1"/>
  <c r="D4" i="69"/>
  <c r="D3" i="69"/>
  <c r="F19" i="71"/>
  <c r="E19" i="71"/>
  <c r="F21" i="71"/>
  <c r="E21" i="71"/>
  <c r="C2" i="69"/>
  <c r="E2" i="63"/>
  <c r="H4" i="70"/>
  <c r="H5" i="70"/>
  <c r="H6" i="70"/>
  <c r="H9" i="70"/>
  <c r="H15" i="70"/>
  <c r="B9" i="59"/>
  <c r="G3" i="63"/>
  <c r="E12" i="63"/>
  <c r="G12" i="63"/>
  <c r="F12" i="63"/>
  <c r="H12" i="63"/>
  <c r="D12" i="63"/>
  <c r="C11" i="63"/>
  <c r="E2" i="69"/>
  <c r="G2" i="69"/>
  <c r="F20" i="71"/>
  <c r="E20" i="71"/>
  <c r="C3" i="69"/>
  <c r="E3" i="69"/>
  <c r="G3" i="69"/>
  <c r="G22" i="71"/>
  <c r="E22" i="71"/>
  <c r="C4" i="69"/>
  <c r="E4" i="69"/>
  <c r="G4" i="69"/>
  <c r="G23" i="71"/>
  <c r="E23" i="71"/>
  <c r="C5" i="69"/>
  <c r="E5" i="69"/>
  <c r="G5" i="69"/>
  <c r="G6" i="69"/>
  <c r="B7" i="64"/>
  <c r="D20" i="64"/>
  <c r="E20" i="64"/>
  <c r="C20" i="64"/>
  <c r="D19" i="64"/>
  <c r="E19" i="64"/>
  <c r="C19" i="64"/>
  <c r="D16" i="64"/>
  <c r="E16" i="64"/>
  <c r="C16" i="64"/>
  <c r="I7" i="70"/>
  <c r="I8" i="70"/>
  <c r="H12" i="70"/>
  <c r="C64" i="70"/>
  <c r="J13" i="70"/>
  <c r="E32" i="71"/>
  <c r="G29" i="71"/>
  <c r="F29" i="71"/>
  <c r="G28" i="71"/>
  <c r="G30" i="71"/>
  <c r="F28" i="71"/>
  <c r="F30" i="71"/>
  <c r="O27" i="71"/>
  <c r="N27" i="71"/>
  <c r="P26" i="71"/>
  <c r="L26" i="71"/>
  <c r="E26" i="71"/>
  <c r="P25" i="71"/>
  <c r="L25" i="71"/>
  <c r="E25" i="71"/>
  <c r="P24" i="71"/>
  <c r="L24" i="71"/>
  <c r="E24" i="71"/>
  <c r="P23" i="71"/>
  <c r="L23" i="71"/>
  <c r="P22" i="71"/>
  <c r="L22" i="71"/>
  <c r="P21" i="71"/>
  <c r="L21" i="71"/>
  <c r="P20" i="71"/>
  <c r="L20" i="71"/>
  <c r="P19" i="71"/>
  <c r="P27" i="71"/>
  <c r="L19" i="71"/>
  <c r="E15" i="71"/>
  <c r="E14" i="71"/>
  <c r="E13" i="71"/>
  <c r="E12" i="71"/>
  <c r="E11" i="71"/>
  <c r="E10" i="71"/>
  <c r="E8" i="71"/>
  <c r="F27" i="71"/>
  <c r="F31" i="71"/>
  <c r="E5" i="71"/>
  <c r="I4" i="71"/>
  <c r="I3" i="71"/>
  <c r="E3" i="71"/>
  <c r="D3" i="71"/>
  <c r="G22" i="59"/>
  <c r="G20" i="59"/>
  <c r="C8" i="63"/>
  <c r="I68" i="70"/>
  <c r="I9" i="70"/>
  <c r="I10" i="70"/>
  <c r="M4" i="70"/>
  <c r="L4" i="70"/>
  <c r="E6" i="71"/>
  <c r="E29" i="71"/>
  <c r="B7" i="59"/>
  <c r="L27" i="71"/>
  <c r="G27" i="71"/>
  <c r="G31" i="71"/>
  <c r="J15" i="70"/>
  <c r="D29" i="71"/>
  <c r="E27" i="71"/>
  <c r="D6" i="71"/>
  <c r="D10" i="71"/>
  <c r="D11" i="71"/>
  <c r="D12" i="71"/>
  <c r="D13" i="71"/>
  <c r="D14" i="71"/>
  <c r="D15" i="71"/>
  <c r="D19" i="71"/>
  <c r="D21" i="71"/>
  <c r="D23" i="71"/>
  <c r="E28" i="71"/>
  <c r="D5" i="71"/>
  <c r="D8" i="71"/>
  <c r="D16" i="71"/>
  <c r="D9" i="71"/>
  <c r="E16" i="71"/>
  <c r="D20" i="71"/>
  <c r="D22" i="71"/>
  <c r="D24" i="71"/>
  <c r="D25" i="71"/>
  <c r="D26" i="71"/>
  <c r="H10" i="70"/>
  <c r="Q6" i="67"/>
  <c r="P6" i="67"/>
  <c r="O6" i="67"/>
  <c r="N6" i="67"/>
  <c r="B6" i="59"/>
  <c r="D27" i="71"/>
  <c r="K26" i="71"/>
  <c r="M26" i="71"/>
  <c r="I26" i="71"/>
  <c r="K25" i="71"/>
  <c r="M25" i="71"/>
  <c r="I25" i="71"/>
  <c r="K24" i="71"/>
  <c r="M24" i="71"/>
  <c r="I24" i="71"/>
  <c r="K23" i="71"/>
  <c r="M23" i="71"/>
  <c r="I23" i="71"/>
  <c r="K21" i="71"/>
  <c r="M21" i="71"/>
  <c r="I21" i="71"/>
  <c r="K19" i="71"/>
  <c r="E30" i="71"/>
  <c r="E31" i="71"/>
  <c r="K22" i="71"/>
  <c r="M22" i="71"/>
  <c r="I22" i="71"/>
  <c r="K20" i="71"/>
  <c r="M20" i="71"/>
  <c r="I20" i="71"/>
  <c r="D28" i="71"/>
  <c r="D30" i="71"/>
  <c r="H9" i="59"/>
  <c r="H22" i="71"/>
  <c r="R22" i="71"/>
  <c r="S22" i="71"/>
  <c r="K27" i="71"/>
  <c r="M19" i="71"/>
  <c r="S23" i="71"/>
  <c r="H23" i="71"/>
  <c r="R23" i="71"/>
  <c r="H25" i="71"/>
  <c r="R25" i="71"/>
  <c r="S25" i="71"/>
  <c r="D31" i="71"/>
  <c r="I6" i="71"/>
  <c r="H20" i="71"/>
  <c r="R20" i="71"/>
  <c r="S20" i="71"/>
  <c r="S21" i="71"/>
  <c r="H21" i="71"/>
  <c r="R21" i="71"/>
  <c r="H24" i="71"/>
  <c r="R24" i="71"/>
  <c r="S24" i="71"/>
  <c r="S26" i="71"/>
  <c r="H26" i="71"/>
  <c r="R26" i="71"/>
  <c r="Q7" i="67"/>
  <c r="P7" i="67"/>
  <c r="O7" i="67"/>
  <c r="N7" i="67"/>
  <c r="M27" i="71"/>
  <c r="I19" i="71"/>
  <c r="I5" i="71"/>
  <c r="B15" i="45"/>
  <c r="M15" i="45"/>
  <c r="L15" i="45"/>
  <c r="K15" i="45"/>
  <c r="J15" i="45"/>
  <c r="I15" i="45"/>
  <c r="H15" i="45"/>
  <c r="G15" i="45"/>
  <c r="F15" i="45"/>
  <c r="E15" i="45"/>
  <c r="D15" i="45"/>
  <c r="C15" i="45"/>
  <c r="I27" i="71"/>
  <c r="S19" i="71"/>
  <c r="S27" i="71"/>
  <c r="H19" i="71"/>
  <c r="Q8" i="67"/>
  <c r="P8" i="67"/>
  <c r="O8" i="67"/>
  <c r="N8" i="67"/>
  <c r="H27" i="71"/>
  <c r="R19" i="71"/>
  <c r="R27" i="71"/>
  <c r="Q9" i="67"/>
  <c r="P9" i="67"/>
  <c r="O9" i="67"/>
  <c r="N9" i="67"/>
  <c r="L4" i="67"/>
  <c r="K4" i="67"/>
  <c r="J4" i="67"/>
  <c r="I4" i="67"/>
  <c r="Q10" i="67"/>
  <c r="P10" i="67"/>
  <c r="O10" i="67"/>
  <c r="N10" i="67"/>
  <c r="Q11" i="67"/>
  <c r="P11" i="67"/>
  <c r="O11" i="67"/>
  <c r="N11" i="67"/>
  <c r="D14" i="67"/>
  <c r="Q12" i="67"/>
  <c r="P12" i="67"/>
  <c r="O12" i="67"/>
  <c r="N12" i="67"/>
  <c r="Q13" i="67"/>
  <c r="P13" i="67"/>
  <c r="E13" i="67"/>
  <c r="O13" i="67"/>
  <c r="N13" i="67"/>
  <c r="N14" i="67"/>
  <c r="O14" i="67"/>
  <c r="P14" i="67"/>
  <c r="Q14" i="67"/>
  <c r="B15" i="59"/>
  <c r="C24" i="64"/>
  <c r="N15" i="67"/>
  <c r="O15" i="67"/>
  <c r="P15" i="67"/>
  <c r="Q1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E14" i="68"/>
  <c r="F14" i="68"/>
  <c r="N16" i="67"/>
  <c r="O16" i="67"/>
  <c r="P16" i="67"/>
  <c r="Q16" i="67"/>
  <c r="N17" i="67"/>
  <c r="O17" i="67"/>
  <c r="P17" i="67"/>
  <c r="Q17" i="67"/>
  <c r="C17" i="67"/>
  <c r="C16" i="67"/>
  <c r="C15" i="67"/>
  <c r="B17" i="67"/>
  <c r="S17" i="67"/>
  <c r="F17" i="67"/>
  <c r="V17" i="67"/>
  <c r="E17" i="67"/>
  <c r="U17" i="67"/>
  <c r="T17" i="67"/>
  <c r="D15" i="67"/>
  <c r="D16" i="67"/>
  <c r="E16" i="67"/>
  <c r="E15" i="67"/>
  <c r="B16" i="67"/>
  <c r="B15" i="67"/>
  <c r="B13" i="67"/>
  <c r="B12" i="67"/>
  <c r="B11" i="67"/>
  <c r="F16" i="67"/>
  <c r="F15" i="67"/>
  <c r="F13" i="67"/>
  <c r="D17" i="67"/>
  <c r="S13" i="67"/>
  <c r="F12" i="67"/>
  <c r="F11" i="67"/>
  <c r="F10" i="67"/>
  <c r="F9" i="67"/>
  <c r="V13" i="67"/>
  <c r="C13" i="67"/>
  <c r="T13" i="67"/>
  <c r="D78" i="67"/>
  <c r="D74" i="67"/>
  <c r="D70" i="67"/>
  <c r="D66" i="67"/>
  <c r="D62" i="67"/>
  <c r="D58" i="67"/>
  <c r="D54" i="67"/>
  <c r="D50" i="67"/>
  <c r="D46" i="67"/>
  <c r="D42" i="67"/>
  <c r="D38" i="67"/>
  <c r="D37" i="67"/>
  <c r="D34" i="67"/>
  <c r="D30" i="67"/>
  <c r="D26" i="67"/>
  <c r="D22" i="67"/>
  <c r="D18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F73" i="67"/>
  <c r="E73" i="67"/>
  <c r="C73" i="67"/>
  <c r="D73" i="67"/>
  <c r="B73" i="67"/>
  <c r="F72" i="67"/>
  <c r="E72" i="67"/>
  <c r="C72" i="67"/>
  <c r="D72" i="67"/>
  <c r="B72" i="67"/>
  <c r="F71" i="67"/>
  <c r="E71" i="67"/>
  <c r="C71" i="67"/>
  <c r="D71" i="67"/>
  <c r="B71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Q61" i="67"/>
  <c r="P61" i="67"/>
  <c r="O61" i="67"/>
  <c r="N61" i="67"/>
  <c r="F61" i="67"/>
  <c r="V61" i="67"/>
  <c r="E61" i="67"/>
  <c r="U61" i="67"/>
  <c r="C61" i="67"/>
  <c r="T61" i="67"/>
  <c r="B61" i="67"/>
  <c r="S61" i="67"/>
  <c r="Q60" i="67"/>
  <c r="P60" i="67"/>
  <c r="O60" i="67"/>
  <c r="N60" i="67"/>
  <c r="F60" i="67"/>
  <c r="E60" i="67"/>
  <c r="C60" i="67"/>
  <c r="D60" i="67"/>
  <c r="B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7" i="67"/>
  <c r="V57" i="67"/>
  <c r="E57" i="67"/>
  <c r="U57" i="67"/>
  <c r="C57" i="67"/>
  <c r="T57" i="67"/>
  <c r="B57" i="67"/>
  <c r="S57" i="67"/>
  <c r="F56" i="67"/>
  <c r="Q56" i="67"/>
  <c r="E56" i="67"/>
  <c r="P56" i="67"/>
  <c r="C56" i="67"/>
  <c r="O56" i="67"/>
  <c r="B56" i="67"/>
  <c r="N56" i="67"/>
  <c r="F55" i="67"/>
  <c r="Q55" i="67"/>
  <c r="E55" i="67"/>
  <c r="P55" i="67"/>
  <c r="C55" i="67"/>
  <c r="O55" i="67"/>
  <c r="B55" i="67"/>
  <c r="N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C41" i="67"/>
  <c r="T41" i="67"/>
  <c r="N38" i="67"/>
  <c r="B39" i="67"/>
  <c r="B40" i="67"/>
  <c r="B41" i="67"/>
  <c r="S41" i="67"/>
  <c r="T37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D36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Q21" i="67"/>
  <c r="P21" i="67"/>
  <c r="O21" i="67"/>
  <c r="N21" i="67"/>
  <c r="Q20" i="67"/>
  <c r="P20" i="67"/>
  <c r="O20" i="67"/>
  <c r="N20" i="67"/>
  <c r="Q19" i="67"/>
  <c r="P19" i="67"/>
  <c r="O19" i="67"/>
  <c r="N19" i="67"/>
  <c r="Q18" i="67"/>
  <c r="F19" i="67"/>
  <c r="F20" i="67"/>
  <c r="F21" i="67"/>
  <c r="V21" i="67"/>
  <c r="P18" i="67"/>
  <c r="E19" i="67"/>
  <c r="E20" i="67"/>
  <c r="E21" i="67"/>
  <c r="U21" i="67"/>
  <c r="O18" i="67"/>
  <c r="C19" i="67"/>
  <c r="C20" i="67"/>
  <c r="C21" i="67"/>
  <c r="T21" i="67"/>
  <c r="N18" i="67"/>
  <c r="B19" i="67"/>
  <c r="B20" i="67"/>
  <c r="B21" i="67"/>
  <c r="S21" i="67"/>
  <c r="D13" i="67"/>
  <c r="C12" i="67"/>
  <c r="C11" i="67"/>
  <c r="D19" i="67"/>
  <c r="D21" i="67"/>
  <c r="D23" i="67"/>
  <c r="D25" i="67"/>
  <c r="D27" i="67"/>
  <c r="D29" i="67"/>
  <c r="D31" i="67"/>
  <c r="D33" i="67"/>
  <c r="D35" i="67"/>
  <c r="D39" i="67"/>
  <c r="D41" i="67"/>
  <c r="D43" i="67"/>
  <c r="D45" i="67"/>
  <c r="D47" i="67"/>
  <c r="D49" i="67"/>
  <c r="D51" i="67"/>
  <c r="D53" i="67"/>
  <c r="D55" i="67"/>
  <c r="D57" i="67"/>
  <c r="D61" i="67"/>
  <c r="D65" i="67"/>
  <c r="D69" i="67"/>
  <c r="D20" i="67"/>
  <c r="D24" i="67"/>
  <c r="D28" i="67"/>
  <c r="D32" i="67"/>
  <c r="D40" i="67"/>
  <c r="D44" i="67"/>
  <c r="D48" i="67"/>
  <c r="D52" i="67"/>
  <c r="D56" i="67"/>
  <c r="N57" i="67"/>
  <c r="P57" i="67"/>
  <c r="O57" i="67"/>
  <c r="Q57" i="67"/>
  <c r="Y63" i="66"/>
  <c r="Y62" i="66"/>
  <c r="A70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56" i="66"/>
  <c r="B57" i="66"/>
  <c r="B58" i="66"/>
  <c r="B59" i="66"/>
  <c r="Y61" i="66"/>
  <c r="T60" i="66"/>
  <c r="B60" i="66"/>
  <c r="T61" i="66"/>
  <c r="B61" i="66"/>
  <c r="T62" i="66"/>
  <c r="B62" i="66"/>
  <c r="T63" i="66"/>
  <c r="B63" i="66"/>
  <c r="Y67" i="66"/>
  <c r="Y66" i="66"/>
  <c r="Y65" i="66"/>
  <c r="T64" i="66"/>
  <c r="B64" i="66"/>
  <c r="T65" i="66"/>
  <c r="B65" i="66"/>
  <c r="T66" i="66"/>
  <c r="B66" i="66"/>
  <c r="L17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Z63" i="66"/>
  <c r="Z62" i="66"/>
  <c r="Z61" i="66"/>
  <c r="U60" i="66"/>
  <c r="C60" i="66"/>
  <c r="U61" i="66"/>
  <c r="C61" i="66"/>
  <c r="U62" i="66"/>
  <c r="C62" i="66"/>
  <c r="U63" i="66"/>
  <c r="C63" i="66"/>
  <c r="Z67" i="66"/>
  <c r="Z66" i="66"/>
  <c r="Z65" i="66"/>
  <c r="U64" i="66"/>
  <c r="C64" i="66"/>
  <c r="U65" i="66"/>
  <c r="C65" i="66"/>
  <c r="U66" i="66"/>
  <c r="C66" i="66"/>
  <c r="M17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N17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51" i="66"/>
  <c r="E52" i="66"/>
  <c r="E53" i="66"/>
  <c r="E54" i="66"/>
  <c r="E55" i="66"/>
  <c r="E56" i="66"/>
  <c r="E57" i="66"/>
  <c r="E58" i="66"/>
  <c r="E59" i="66"/>
  <c r="AA63" i="66"/>
  <c r="AA62" i="66"/>
  <c r="AA61" i="66"/>
  <c r="V60" i="66"/>
  <c r="E60" i="66"/>
  <c r="V61" i="66"/>
  <c r="E61" i="66"/>
  <c r="V62" i="66"/>
  <c r="E62" i="66"/>
  <c r="V63" i="66"/>
  <c r="E63" i="66"/>
  <c r="AA67" i="66"/>
  <c r="AA66" i="66"/>
  <c r="AA65" i="66"/>
  <c r="V64" i="66"/>
  <c r="E64" i="66"/>
  <c r="V65" i="66"/>
  <c r="E65" i="66"/>
  <c r="V66" i="66"/>
  <c r="E66" i="66"/>
  <c r="O17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AB63" i="66"/>
  <c r="AB62" i="66"/>
  <c r="AB61" i="66"/>
  <c r="W60" i="66"/>
  <c r="F60" i="66"/>
  <c r="W61" i="66"/>
  <c r="F61" i="66"/>
  <c r="W62" i="66"/>
  <c r="F62" i="66"/>
  <c r="W63" i="66"/>
  <c r="F63" i="66"/>
  <c r="AB67" i="66"/>
  <c r="AB66" i="66"/>
  <c r="AB65" i="66"/>
  <c r="W64" i="66"/>
  <c r="F64" i="66"/>
  <c r="W65" i="66"/>
  <c r="F65" i="66"/>
  <c r="W66" i="66"/>
  <c r="F66" i="66"/>
  <c r="P17" i="66"/>
  <c r="L18" i="66"/>
  <c r="M18" i="66"/>
  <c r="N18" i="66"/>
  <c r="O18" i="66"/>
  <c r="P18" i="66"/>
  <c r="L19" i="66"/>
  <c r="M19" i="66"/>
  <c r="N19" i="66"/>
  <c r="O19" i="66"/>
  <c r="P19" i="66"/>
  <c r="D12" i="67"/>
  <c r="H6" i="59"/>
  <c r="O1" i="66"/>
  <c r="J1" i="66"/>
  <c r="G18" i="66"/>
  <c r="G2" i="66"/>
  <c r="N20" i="43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H18" i="66"/>
  <c r="J18" i="66"/>
  <c r="K18" i="66"/>
  <c r="F8" i="66"/>
  <c r="E8" i="66"/>
  <c r="C8" i="66"/>
  <c r="B8" i="66"/>
  <c r="U67" i="66"/>
  <c r="C67" i="66"/>
  <c r="D67" i="66"/>
  <c r="W67" i="66"/>
  <c r="F67" i="66"/>
  <c r="P2" i="66"/>
  <c r="N2" i="66"/>
  <c r="L2" i="66"/>
  <c r="O2" i="66"/>
  <c r="M2" i="66"/>
  <c r="D8" i="66"/>
  <c r="D16" i="66"/>
  <c r="D15" i="66"/>
  <c r="D14" i="66"/>
  <c r="D13" i="66"/>
  <c r="D12" i="66"/>
  <c r="D11" i="66"/>
  <c r="D10" i="66"/>
  <c r="D9" i="66"/>
  <c r="I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T67" i="66"/>
  <c r="B67" i="66"/>
  <c r="O66" i="66"/>
  <c r="L66" i="66"/>
  <c r="O65" i="66"/>
  <c r="L65" i="66"/>
  <c r="L62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O61" i="66"/>
  <c r="P66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N66" i="66"/>
  <c r="M66" i="66"/>
  <c r="P65" i="66"/>
  <c r="C18" i="64"/>
  <c r="N65" i="66"/>
  <c r="M65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/>
  <c r="M1" i="66"/>
  <c r="H19" i="43"/>
  <c r="E2" i="65"/>
  <c r="E1" i="65"/>
  <c r="D2" i="65"/>
  <c r="D1" i="65"/>
  <c r="M18" i="43"/>
  <c r="H1" i="66"/>
  <c r="G10" i="63"/>
  <c r="I20" i="43"/>
  <c r="H7" i="39"/>
  <c r="AB7" i="39"/>
  <c r="T46" i="39"/>
  <c r="H8" i="39"/>
  <c r="AB8" i="39"/>
  <c r="T47" i="39"/>
  <c r="G47" i="39"/>
  <c r="F7" i="39"/>
  <c r="S7" i="39"/>
  <c r="E14" i="64"/>
  <c r="B5" i="64"/>
  <c r="C25" i="64"/>
  <c r="B10" i="64"/>
  <c r="D30" i="64"/>
  <c r="B9" i="64"/>
  <c r="D29" i="64"/>
  <c r="C15" i="64"/>
  <c r="D14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J20" i="43"/>
  <c r="A16" i="43"/>
  <c r="J71" i="63"/>
  <c r="I71" i="63"/>
  <c r="D8" i="63"/>
  <c r="D20" i="63"/>
  <c r="D19" i="63"/>
  <c r="L1" i="60"/>
  <c r="K1" i="60"/>
  <c r="M1" i="60"/>
  <c r="C7" i="63"/>
  <c r="F47" i="63"/>
  <c r="F45" i="63"/>
  <c r="F43" i="63"/>
  <c r="G43" i="63"/>
  <c r="D43" i="63"/>
  <c r="J48" i="63"/>
  <c r="I48" i="63"/>
  <c r="J46" i="63"/>
  <c r="I46" i="63"/>
  <c r="J44" i="63"/>
  <c r="I44" i="63"/>
  <c r="F42" i="63"/>
  <c r="G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D1" i="43"/>
  <c r="G2" i="43"/>
  <c r="D17" i="43"/>
  <c r="H6" i="44"/>
  <c r="G57" i="63"/>
  <c r="D57" i="63"/>
  <c r="G44" i="63"/>
  <c r="D44" i="63"/>
  <c r="G48" i="63"/>
  <c r="D48" i="63"/>
  <c r="D76" i="63"/>
  <c r="E70" i="63"/>
  <c r="B68" i="63"/>
  <c r="G76" i="63"/>
  <c r="G54" i="63"/>
  <c r="D54" i="63"/>
  <c r="G45" i="63"/>
  <c r="D45" i="63"/>
  <c r="G63" i="63"/>
  <c r="D63" i="63"/>
  <c r="E60" i="63"/>
  <c r="B58" i="63"/>
  <c r="G55" i="63"/>
  <c r="D55" i="63"/>
  <c r="D52" i="63"/>
  <c r="D56" i="63"/>
  <c r="E51" i="63"/>
  <c r="B49" i="63"/>
  <c r="G46" i="63"/>
  <c r="D46" i="63"/>
  <c r="G52" i="63"/>
  <c r="G56" i="63"/>
  <c r="G47" i="63"/>
  <c r="D47" i="63"/>
  <c r="O4" i="59"/>
  <c r="F31" i="59"/>
  <c r="F32" i="59"/>
  <c r="G29" i="59"/>
  <c r="F13" i="59"/>
  <c r="F18" i="59"/>
  <c r="F9" i="9"/>
  <c r="B8" i="59"/>
  <c r="B11" i="64"/>
  <c r="C21" i="64"/>
  <c r="F16" i="59"/>
  <c r="F8" i="9"/>
  <c r="F19" i="59"/>
  <c r="F10" i="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F70" i="43"/>
  <c r="H72" i="43"/>
  <c r="M10" i="43"/>
  <c r="M8" i="43"/>
  <c r="M4" i="43"/>
  <c r="C6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E48" i="43"/>
  <c r="B46" i="43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0" i="39"/>
  <c r="S10" i="39"/>
  <c r="M12" i="43"/>
  <c r="M6" i="43"/>
  <c r="N11" i="43"/>
  <c r="M5" i="43"/>
  <c r="N4" i="43"/>
  <c r="F48" i="43"/>
  <c r="H56" i="43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" i="65"/>
  <c r="G5" i="65"/>
  <c r="H5" i="65"/>
  <c r="H7" i="65"/>
  <c r="H4" i="65"/>
  <c r="G7" i="65"/>
  <c r="H8" i="65"/>
  <c r="H6" i="65"/>
  <c r="G8" i="65"/>
  <c r="G6" i="65"/>
  <c r="D27" i="64"/>
  <c r="U7" i="39"/>
  <c r="D28" i="64"/>
  <c r="F5" i="9"/>
  <c r="E42" i="63"/>
  <c r="B40" i="63"/>
  <c r="C15" i="63"/>
  <c r="I2" i="65"/>
  <c r="I1" i="65"/>
  <c r="F29" i="59"/>
  <c r="H10" i="63"/>
  <c r="D17" i="64"/>
  <c r="E17" i="64"/>
  <c r="E17" i="43"/>
  <c r="N17" i="43"/>
  <c r="L17" i="43"/>
  <c r="O17" i="43"/>
  <c r="M17" i="43"/>
  <c r="G17" i="43"/>
  <c r="C8" i="68"/>
  <c r="C7" i="68"/>
  <c r="C6" i="68"/>
  <c r="C5" i="68"/>
  <c r="D5" i="68"/>
  <c r="D8" i="68"/>
  <c r="D7" i="68"/>
  <c r="D6" i="68"/>
  <c r="C11" i="39"/>
  <c r="G3" i="43"/>
  <c r="J1" i="65"/>
  <c r="C10" i="67"/>
  <c r="D11" i="67"/>
  <c r="F8" i="67"/>
  <c r="F7" i="67"/>
  <c r="F6" i="67"/>
  <c r="V9" i="67"/>
  <c r="U13" i="67"/>
  <c r="E12" i="67"/>
  <c r="E11" i="67"/>
  <c r="E10" i="67"/>
  <c r="E9" i="67"/>
  <c r="B10" i="67"/>
  <c r="B9" i="67"/>
  <c r="I2" i="66"/>
  <c r="N22" i="43"/>
  <c r="H2" i="66"/>
  <c r="N21" i="43"/>
  <c r="K2" i="66"/>
  <c r="N24" i="43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/>
  <c r="F114" i="43"/>
  <c r="H5" i="44"/>
  <c r="M1" i="43"/>
  <c r="A12" i="43"/>
  <c r="F59" i="43"/>
  <c r="F19" i="43"/>
  <c r="H9" i="39"/>
  <c r="C58" i="39"/>
  <c r="D56" i="39"/>
  <c r="AA7" i="39"/>
  <c r="R47" i="39"/>
  <c r="E47" i="39"/>
  <c r="E51" i="39"/>
  <c r="F51" i="39"/>
  <c r="J2" i="65"/>
  <c r="J7" i="39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/>
  <c r="I9" i="63"/>
  <c r="C9" i="63"/>
  <c r="C10" i="63"/>
  <c r="H54" i="43"/>
  <c r="H48" i="43"/>
  <c r="H52" i="43"/>
  <c r="O3" i="59"/>
  <c r="F28" i="59"/>
  <c r="F33" i="59"/>
  <c r="B17" i="9"/>
  <c r="G51" i="39"/>
  <c r="H51" i="39"/>
  <c r="S9" i="39"/>
  <c r="H16" i="63"/>
  <c r="I3" i="63"/>
  <c r="I3" i="65"/>
  <c r="D8" i="65"/>
  <c r="E6" i="65"/>
  <c r="E4" i="65"/>
  <c r="E7" i="65"/>
  <c r="E5" i="65"/>
  <c r="D7" i="65"/>
  <c r="D6" i="65"/>
  <c r="D5" i="65"/>
  <c r="D4" i="65"/>
  <c r="E8" i="65"/>
  <c r="H87" i="43"/>
  <c r="H85" i="43"/>
  <c r="C16" i="43"/>
  <c r="D5" i="43"/>
  <c r="F11" i="39"/>
  <c r="J11" i="39"/>
  <c r="H11" i="39"/>
  <c r="E52" i="39"/>
  <c r="F52" i="39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E13" i="63"/>
  <c r="G13" i="63"/>
  <c r="D14" i="63"/>
  <c r="F13" i="63"/>
  <c r="H13" i="63"/>
  <c r="B80" i="63"/>
  <c r="R48" i="39"/>
  <c r="C48" i="39"/>
  <c r="B3" i="39"/>
  <c r="K4" i="65"/>
  <c r="K1" i="65"/>
  <c r="K2" i="65"/>
  <c r="K3" i="65"/>
  <c r="E8" i="67"/>
  <c r="E7" i="67"/>
  <c r="E6" i="67"/>
  <c r="U9" i="67"/>
  <c r="B8" i="67"/>
  <c r="B7" i="67"/>
  <c r="B6" i="67"/>
  <c r="S9" i="67"/>
  <c r="C9" i="67"/>
  <c r="D10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/>
  <c r="I47" i="39"/>
  <c r="F20" i="59"/>
  <c r="F11" i="9"/>
  <c r="C20" i="63"/>
  <c r="C22" i="63"/>
  <c r="C21" i="63"/>
  <c r="E21" i="63"/>
  <c r="G3" i="65"/>
  <c r="E20" i="43"/>
  <c r="G1" i="65"/>
  <c r="G2" i="65"/>
  <c r="C5" i="43"/>
  <c r="C47" i="39"/>
  <c r="D13" i="63"/>
  <c r="B83" i="63"/>
  <c r="B85" i="63"/>
  <c r="B84" i="63"/>
  <c r="B82" i="63"/>
  <c r="B81" i="63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7" i="43"/>
  <c r="K105" i="43"/>
  <c r="K104" i="43"/>
  <c r="K110" i="43"/>
  <c r="K103" i="43"/>
  <c r="K108" i="43"/>
  <c r="K106" i="43"/>
  <c r="I119" i="43"/>
  <c r="J119" i="43"/>
  <c r="K119" i="43"/>
  <c r="L119" i="43"/>
  <c r="M119" i="43"/>
  <c r="I117" i="43"/>
  <c r="J117" i="43"/>
  <c r="K117" i="43"/>
  <c r="L117" i="43"/>
  <c r="M117" i="43"/>
  <c r="I116" i="43"/>
  <c r="J116" i="43"/>
  <c r="K116" i="43"/>
  <c r="L116" i="43"/>
  <c r="M116" i="43"/>
  <c r="D117" i="43"/>
  <c r="E117" i="43"/>
  <c r="F117" i="43"/>
  <c r="G117" i="43"/>
  <c r="H117" i="43"/>
  <c r="B119" i="43"/>
  <c r="C119" i="43"/>
  <c r="B117" i="43"/>
  <c r="C117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B116" i="43"/>
  <c r="G119" i="43"/>
  <c r="H119" i="43"/>
  <c r="D119" i="43"/>
  <c r="E119" i="43"/>
  <c r="F119" i="43"/>
  <c r="I118" i="43"/>
  <c r="J118" i="43"/>
  <c r="K118" i="43"/>
  <c r="L118" i="43"/>
  <c r="M118" i="43"/>
  <c r="D22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W11" i="39"/>
  <c r="AC11" i="39"/>
  <c r="H110" i="43"/>
  <c r="H106" i="43"/>
  <c r="H107" i="43"/>
  <c r="H105" i="43"/>
  <c r="H108" i="43"/>
  <c r="H103" i="43"/>
  <c r="H104" i="43"/>
  <c r="L108" i="43"/>
  <c r="L110" i="43"/>
  <c r="L105" i="43"/>
  <c r="L106" i="43"/>
  <c r="L104" i="43"/>
  <c r="L103" i="43"/>
  <c r="L107" i="43"/>
  <c r="C108" i="43"/>
  <c r="C110" i="43"/>
  <c r="C105" i="43"/>
  <c r="C103" i="43"/>
  <c r="C23" i="43"/>
  <c r="C106" i="43"/>
  <c r="C107" i="43"/>
  <c r="C104" i="43"/>
  <c r="M107" i="43"/>
  <c r="M110" i="43"/>
  <c r="M108" i="43"/>
  <c r="M106" i="43"/>
  <c r="M103" i="43"/>
  <c r="M105" i="43"/>
  <c r="M104" i="43"/>
  <c r="F108" i="43"/>
  <c r="F105" i="43"/>
  <c r="F103" i="43"/>
  <c r="F106" i="43"/>
  <c r="F110" i="43"/>
  <c r="F107" i="43"/>
  <c r="F104" i="43"/>
  <c r="G104" i="43"/>
  <c r="G105" i="43"/>
  <c r="G108" i="43"/>
  <c r="G110" i="43"/>
  <c r="G107" i="43"/>
  <c r="G106" i="43"/>
  <c r="G103" i="43"/>
  <c r="AB11" i="39"/>
  <c r="U11" i="39"/>
  <c r="AA11" i="39"/>
  <c r="S11" i="39"/>
  <c r="G21" i="59"/>
  <c r="G12" i="9"/>
  <c r="T9" i="67"/>
  <c r="D9" i="67"/>
  <c r="C8" i="67"/>
  <c r="R20" i="43"/>
  <c r="S20" i="43"/>
  <c r="P20" i="43"/>
  <c r="G20" i="43"/>
  <c r="C20" i="43"/>
  <c r="Q20" i="43"/>
  <c r="C23" i="64"/>
  <c r="C22" i="64"/>
  <c r="G9" i="59"/>
  <c r="C12" i="9"/>
  <c r="G52" i="39"/>
  <c r="H52" i="39"/>
  <c r="I52" i="39"/>
  <c r="J52" i="39"/>
  <c r="I51" i="39"/>
  <c r="J51" i="39"/>
  <c r="F56" i="39"/>
  <c r="E58" i="39"/>
  <c r="B5" i="63"/>
  <c r="F22" i="59"/>
  <c r="F13" i="9"/>
  <c r="B4" i="63"/>
  <c r="E20" i="63"/>
  <c r="F7" i="59"/>
  <c r="C116" i="43"/>
  <c r="D114" i="43"/>
  <c r="J22" i="43"/>
  <c r="C21" i="43"/>
  <c r="C29" i="43"/>
  <c r="B3" i="43"/>
  <c r="F21" i="59"/>
  <c r="F12" i="9"/>
  <c r="F14" i="9"/>
  <c r="C7" i="67"/>
  <c r="D8" i="67"/>
  <c r="B17" i="59"/>
  <c r="B18" i="59"/>
  <c r="G56" i="39"/>
  <c r="F58" i="39"/>
  <c r="E41" i="43"/>
  <c r="C41" i="43"/>
  <c r="C39" i="43"/>
  <c r="C37" i="43"/>
  <c r="C33" i="43"/>
  <c r="C34" i="43"/>
  <c r="C35" i="43"/>
  <c r="C36" i="43"/>
  <c r="C28" i="64"/>
  <c r="C30" i="64"/>
  <c r="B3" i="64"/>
  <c r="F11" i="59"/>
  <c r="C18" i="63"/>
  <c r="C19" i="63"/>
  <c r="E19" i="63"/>
  <c r="D7" i="67"/>
  <c r="C6" i="67"/>
  <c r="H56" i="39"/>
  <c r="G58" i="39"/>
  <c r="C38" i="43"/>
  <c r="E38" i="43"/>
  <c r="G36" i="43"/>
  <c r="I36" i="43"/>
  <c r="E36" i="43"/>
  <c r="E35" i="43"/>
  <c r="G35" i="43"/>
  <c r="I35" i="43"/>
  <c r="E33" i="43"/>
  <c r="G33" i="43"/>
  <c r="I33" i="43"/>
  <c r="E39" i="43"/>
  <c r="G39" i="43"/>
  <c r="I39" i="43"/>
  <c r="C30" i="43"/>
  <c r="E29" i="43"/>
  <c r="E34" i="43"/>
  <c r="G34" i="43"/>
  <c r="I34" i="43"/>
  <c r="G37" i="43"/>
  <c r="I37" i="43"/>
  <c r="E37" i="43"/>
  <c r="C29" i="64"/>
  <c r="E29" i="64"/>
  <c r="E30" i="64"/>
  <c r="E28" i="64"/>
  <c r="C27" i="64"/>
  <c r="E27" i="64"/>
  <c r="B3" i="63"/>
  <c r="F6" i="59"/>
  <c r="F5" i="59"/>
  <c r="E18" i="63"/>
  <c r="D6" i="67"/>
  <c r="I19" i="43"/>
  <c r="H58" i="39"/>
  <c r="I56" i="39"/>
  <c r="G38" i="43"/>
  <c r="I38" i="43"/>
  <c r="E30" i="43"/>
  <c r="B4" i="43"/>
  <c r="C26" i="43"/>
  <c r="B2" i="43"/>
  <c r="C27" i="43"/>
  <c r="B5" i="9"/>
  <c r="F8" i="59"/>
  <c r="J56" i="39"/>
  <c r="I58" i="39"/>
  <c r="B11" i="9"/>
  <c r="F9" i="59"/>
  <c r="F10" i="59"/>
  <c r="B13" i="9"/>
  <c r="J58" i="39"/>
  <c r="K56" i="39"/>
  <c r="B12" i="9"/>
  <c r="B14" i="9"/>
  <c r="F4" i="59"/>
  <c r="F24" i="59"/>
  <c r="K58" i="39"/>
  <c r="L56" i="39"/>
  <c r="F25" i="59"/>
  <c r="B15" i="9"/>
  <c r="F35" i="59"/>
  <c r="L58" i="39"/>
  <c r="M56" i="39"/>
  <c r="B18" i="9"/>
  <c r="C11" i="68"/>
  <c r="D2" i="69"/>
  <c r="B16" i="9"/>
  <c r="H16" i="9"/>
  <c r="F36" i="59"/>
  <c r="N56" i="39"/>
  <c r="M58" i="39"/>
  <c r="B19" i="9"/>
  <c r="H19" i="9"/>
  <c r="F2" i="69"/>
  <c r="O56" i="39"/>
  <c r="O58" i="39"/>
  <c r="N58" i="39"/>
  <c r="B11" i="68"/>
  <c r="F5" i="69"/>
  <c r="F4" i="69"/>
  <c r="F3" i="69"/>
  <c r="F6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00000000-0006-0000-0200-000001000000}">
      <text>
        <r>
          <rPr>
            <b/>
            <sz val="11"/>
            <color indexed="81"/>
            <rFont val="宋体"/>
            <family val="3"/>
            <charset val="134"/>
          </rPr>
          <t>除经营性用途以外的地上计出让金部分，请按实际情况录入并作备注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7" authorId="0" shapeId="0" xr:uid="{00000000-0006-0000-0200-000002000000}">
      <text>
        <r>
          <rPr>
            <sz val="11"/>
            <color indexed="81"/>
            <rFont val="宋体"/>
            <family val="3"/>
            <charset val="134"/>
          </rPr>
          <t>项不固定，随情况自定，但需包含有有主用途，如：
住宅-公寓商业-独栋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8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8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9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9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9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9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9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9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9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9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9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9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9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9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9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9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9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9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9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9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9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9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9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9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9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9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9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9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9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9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9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9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9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9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9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9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9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9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9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9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9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9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9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9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E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E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2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3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<sst xmlns="http://schemas.openxmlformats.org/spreadsheetml/2006/main" count="4394" uniqueCount="1994">
  <si>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</si>
  <si>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</si>
  <si>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</si>
  <si>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</si>
  <si>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</si>
  <si>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</si>
  <si>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</si>
  <si>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</si>
  <si>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</si>
  <si>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</si>
  <si>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</si>
  <si>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</si>
  <si>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</si>
  <si>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</si>
  <si>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</si>
  <si>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</si>
  <si>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</si>
  <si>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</si>
  <si>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</si>
  <si>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</si>
  <si>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</si>
  <si>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</si>
  <si>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</si>
  <si>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</si>
  <si>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</si>
  <si>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</si>
  <si>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</si>
  <si>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</si>
  <si>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</si>
  <si>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</si>
  <si>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</si>
  <si>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</si>
  <si>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</si>
  <si>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</si>
  <si>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</si>
  <si>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</si>
  <si>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</si>
  <si>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</si>
  <si>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</si>
  <si>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</si>
  <si>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</si>
  <si>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</si>
  <si>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</si>
  <si>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</si>
  <si>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</si>
  <si>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</si>
  <si>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</si>
  <si>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</si>
  <si>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</si>
  <si>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</si>
  <si>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</si>
  <si>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</si>
  <si>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</si>
  <si>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</si>
  <si>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</si>
  <si>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</si>
  <si>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</si>
  <si>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</si>
  <si>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</si>
  <si>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</si>
  <si>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</si>
  <si>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</si>
  <si>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</si>
  <si>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</si>
  <si>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</si>
  <si>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</si>
  <si>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</si>
  <si>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</si>
  <si>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</si>
  <si>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</si>
  <si>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</si>
  <si>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</si>
  <si>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</si>
  <si>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</si>
  <si>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</si>
  <si>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</si>
  <si>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</si>
  <si>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</si>
  <si>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</si>
  <si>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</si>
  <si>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</si>
  <si>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</si>
  <si>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</si>
  <si>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</si>
  <si>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</si>
  <si>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</si>
  <si>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</si>
  <si>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</si>
  <si>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</si>
  <si>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</si>
  <si>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</si>
  <si>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</si>
  <si>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</si>
  <si>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</si>
  <si>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</si>
  <si>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</si>
  <si>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</si>
  <si>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</si>
  <si>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</si>
  <si>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</si>
  <si>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</si>
  <si>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</si>
  <si>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</si>
  <si>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</si>
  <si>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</si>
  <si>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</si>
  <si>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</si>
  <si>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</si>
  <si>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</si>
  <si>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</si>
  <si>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</si>
  <si>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</si>
  <si>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</si>
  <si>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</si>
  <si>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</si>
  <si>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</si>
  <si>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</si>
  <si>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</si>
  <si>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</si>
  <si>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</si>
  <si>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</si>
  <si>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</si>
  <si>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</si>
  <si>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</si>
  <si>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</si>
  <si>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</si>
  <si>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</si>
  <si>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</si>
  <si>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</si>
  <si>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</si>
  <si>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</si>
  <si>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</si>
  <si>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</si>
  <si>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</si>
  <si>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</si>
  <si>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</si>
  <si>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</si>
  <si>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</si>
  <si>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</si>
  <si>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</si>
  <si>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</si>
  <si>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</si>
  <si>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</si>
  <si>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</si>
  <si>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</si>
  <si>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</si>
  <si>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</si>
  <si>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</si>
  <si>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</si>
  <si>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</si>
  <si>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</si>
  <si>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</si>
  <si>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</si>
  <si>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</si>
  <si>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</si>
  <si>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</si>
  <si>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</si>
  <si>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</si>
  <si>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</si>
  <si>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</si>
  <si>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</si>
  <si>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</si>
  <si>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</si>
  <si>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</si>
  <si>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</si>
  <si>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</si>
  <si>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</si>
  <si>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</si>
  <si>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</si>
  <si>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</si>
  <si>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</si>
  <si>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</si>
  <si>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</si>
  <si>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</si>
  <si>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</si>
  <si>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</si>
  <si>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</si>
  <si>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</si>
  <si>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</si>
  <si>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</si>
  <si>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</si>
  <si>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</si>
  <si>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</si>
  <si>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</si>
  <si>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</si>
  <si>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</si>
  <si>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</si>
  <si>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</si>
  <si>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</si>
  <si>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</si>
  <si>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</si>
  <si>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</si>
  <si>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</si>
  <si>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</si>
  <si>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</si>
  <si>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</si>
  <si>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</si>
  <si>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</si>
  <si>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</si>
  <si>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</si>
  <si>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</si>
  <si>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</si>
  <si>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</si>
  <si>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</si>
  <si>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</si>
  <si>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</si>
  <si>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</si>
  <si>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</si>
  <si>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</si>
  <si>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</si>
  <si>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</si>
  <si>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</si>
  <si>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</si>
  <si>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</si>
  <si>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</si>
  <si>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</si>
  <si>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</si>
  <si>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</si>
  <si>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</si>
  <si>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</si>
  <si>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</si>
  <si>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</si>
  <si>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</si>
  <si>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</si>
  <si>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</si>
  <si>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</si>
  <si>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</si>
  <si>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</si>
  <si>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</si>
  <si>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</si>
  <si>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</si>
  <si>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</si>
  <si>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</si>
  <si>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</si>
  <si>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</si>
  <si>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</si>
  <si>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</si>
  <si>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</si>
  <si>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</si>
  <si>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</si>
  <si>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</si>
  <si>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</si>
  <si>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</si>
  <si>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</si>
  <si>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</si>
  <si>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</si>
  <si>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</si>
  <si>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</si>
  <si>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</si>
  <si>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</si>
  <si>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</si>
  <si>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</si>
  <si>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</si>
  <si>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</si>
  <si>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</si>
  <si>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</si>
  <si>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</si>
  <si>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</si>
  <si>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</si>
  <si>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</si>
  <si>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</si>
  <si>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</si>
  <si>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</si>
  <si>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</si>
  <si>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</si>
  <si>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</si>
  <si>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</si>
  <si>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</si>
  <si>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</si>
  <si>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</si>
  <si>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</si>
  <si>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</si>
  <si>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</si>
  <si>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</si>
  <si>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</si>
  <si>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</si>
  <si>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</si>
  <si>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</si>
  <si>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</si>
  <si>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</si>
  <si>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</si>
  <si>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</si>
  <si>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</si>
  <si>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</si>
  <si>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</si>
  <si>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</si>
  <si>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</si>
  <si>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</si>
  <si>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</si>
  <si>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</si>
  <si>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</si>
  <si>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</si>
  <si>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</si>
  <si>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</si>
  <si>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</si>
  <si>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</si>
  <si>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</si>
  <si>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</si>
  <si>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</si>
  <si>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</si>
  <si>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</si>
  <si>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</si>
  <si>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</si>
  <si>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</si>
  <si>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</si>
  <si>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</si>
  <si>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</si>
  <si>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</si>
  <si>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</si>
  <si>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</si>
  <si>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</si>
  <si>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</si>
  <si>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</si>
  <si>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</si>
  <si>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</si>
  <si>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</si>
  <si>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</si>
  <si>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</si>
  <si>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</si>
  <si>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</si>
  <si>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</si>
  <si>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</si>
  <si>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</si>
  <si>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</si>
  <si>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</si>
  <si>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</si>
  <si>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</si>
  <si>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</si>
  <si>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</si>
  <si>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</si>
  <si>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</si>
  <si>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</si>
  <si>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</si>
  <si>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</si>
  <si>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</si>
  <si>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</si>
  <si>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</si>
  <si>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</si>
  <si>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</si>
  <si>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</si>
  <si>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</si>
  <si>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</si>
  <si>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</si>
  <si>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</si>
  <si>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</si>
  <si>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</si>
  <si>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</si>
  <si>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</si>
  <si>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</si>
  <si>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</si>
  <si>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</si>
  <si>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</si>
  <si>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</si>
  <si>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</si>
  <si>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</si>
  <si>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</si>
  <si>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</si>
  <si>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</si>
  <si>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</si>
  <si>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</si>
  <si>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</si>
  <si>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</si>
  <si>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</si>
  <si>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</si>
  <si>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</si>
  <si>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</si>
  <si>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</si>
  <si>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</si>
  <si>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</si>
  <si>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</si>
  <si>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</si>
  <si>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</si>
  <si>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</si>
  <si>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</si>
  <si>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</si>
  <si>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</si>
  <si>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</si>
  <si>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</si>
  <si>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</si>
  <si>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</si>
  <si>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</si>
  <si>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</si>
  <si>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</si>
  <si>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</si>
  <si>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</si>
  <si>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</si>
  <si>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</si>
  <si>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</si>
  <si>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</si>
  <si>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</si>
  <si>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</si>
  <si>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</si>
  <si>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</si>
  <si>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</si>
  <si>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</si>
  <si>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</si>
  <si>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</si>
  <si>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</si>
  <si>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</si>
  <si>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</si>
  <si>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</si>
  <si>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</si>
  <si>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</si>
  <si>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</si>
  <si>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</si>
  <si>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</si>
  <si>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</si>
  <si>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</si>
  <si>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</si>
  <si>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</si>
  <si>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</si>
  <si>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</si>
  <si>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</si>
  <si>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</si>
  <si>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</si>
  <si>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</si>
  <si>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</si>
  <si>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</si>
  <si>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</si>
  <si>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</si>
  <si>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</si>
  <si>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</si>
  <si>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</si>
  <si>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</si>
  <si>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</si>
  <si>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</si>
  <si>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</si>
  <si>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</si>
  <si>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</si>
  <si>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</si>
  <si>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</si>
  <si>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</si>
  <si>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</si>
  <si>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</si>
  <si>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</si>
  <si>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</si>
  <si>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</si>
  <si>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</si>
  <si>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</si>
  <si>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</si>
  <si>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</si>
  <si>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</si>
  <si>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</si>
  <si>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</si>
  <si>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</si>
  <si>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</si>
  <si>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</si>
  <si>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</si>
  <si>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</si>
  <si>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</si>
  <si>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</si>
  <si>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</si>
  <si>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</si>
  <si>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</si>
  <si>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</si>
  <si>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</si>
  <si>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</si>
  <si>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</si>
  <si>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</si>
  <si>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</si>
  <si>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</si>
  <si>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</si>
  <si>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</si>
  <si>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</si>
  <si>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</si>
  <si>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</si>
  <si>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</si>
  <si>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</si>
  <si>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</si>
  <si>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</si>
  <si>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</si>
  <si>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</si>
  <si>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</si>
  <si>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</si>
  <si>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</si>
  <si>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</si>
  <si>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</si>
  <si>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</si>
  <si>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</si>
  <si>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</si>
  <si>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</si>
  <si>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</si>
  <si>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</si>
  <si>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</si>
  <si>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</si>
  <si>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</si>
  <si>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</si>
  <si>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</si>
  <si>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</si>
  <si>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</si>
  <si>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</si>
  <si>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</si>
  <si>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</si>
  <si>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</si>
  <si>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</si>
  <si>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</si>
  <si>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</si>
  <si>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</si>
  <si>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</si>
  <si>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</si>
  <si>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</si>
  <si>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</si>
  <si>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</si>
  <si>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</si>
  <si>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</si>
  <si>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</si>
  <si>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</si>
  <si>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</si>
  <si>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</si>
  <si>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</si>
  <si>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</si>
  <si>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</si>
  <si>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</si>
  <si>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</si>
  <si>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</si>
  <si>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</si>
  <si>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</si>
  <si>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</si>
  <si>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</si>
  <si>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</si>
  <si>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</si>
  <si>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</si>
  <si>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</si>
  <si>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</si>
  <si>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</si>
  <si>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</si>
  <si>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</si>
  <si>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</si>
  <si>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</si>
  <si>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</si>
  <si>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</si>
  <si>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</si>
  <si>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</si>
  <si>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</si>
  <si>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</si>
  <si>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</si>
  <si>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</si>
  <si>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</si>
  <si>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</si>
  <si>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</si>
  <si>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</si>
  <si>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</si>
  <si>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</si>
  <si>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</si>
  <si>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</si>
  <si>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</si>
  <si>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</si>
  <si>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</si>
  <si>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</si>
  <si>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</si>
  <si>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</si>
  <si>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</si>
  <si>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</si>
  <si>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</si>
  <si>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</si>
  <si>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</si>
  <si>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</si>
  <si>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</si>
  <si>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</si>
  <si>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</si>
  <si>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</si>
  <si>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</si>
  <si>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</si>
  <si>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</si>
  <si>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</si>
  <si>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</si>
  <si>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</si>
  <si>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</si>
  <si>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</si>
  <si>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</si>
  <si>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</si>
  <si>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</si>
  <si>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</si>
  <si>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</si>
  <si>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</si>
  <si>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</si>
  <si>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</si>
  <si>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</si>
  <si>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</si>
  <si>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</si>
  <si>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</si>
  <si>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</si>
  <si>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</si>
  <si>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</si>
  <si>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</si>
  <si>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</si>
  <si>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</si>
  <si>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</si>
  <si>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</si>
  <si>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</si>
  <si>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</si>
  <si>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</si>
  <si>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</si>
  <si>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</si>
  <si>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</si>
  <si>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</si>
  <si>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</si>
  <si>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</si>
  <si>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</si>
  <si>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</si>
  <si>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</si>
  <si>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</si>
  <si>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</si>
  <si>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</si>
  <si>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</si>
  <si>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</si>
  <si>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</si>
  <si>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</si>
  <si>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</si>
  <si>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</si>
  <si>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</si>
  <si>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</si>
  <si>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</si>
  <si>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</si>
  <si>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</si>
  <si>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</si>
  <si>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</si>
  <si>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</si>
  <si>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</si>
  <si>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</si>
  <si>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</si>
  <si>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</si>
  <si>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</si>
  <si>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</si>
  <si>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</si>
  <si>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</si>
  <si>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</si>
  <si>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</si>
  <si>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</si>
  <si>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</si>
  <si>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</si>
  <si>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</si>
  <si>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</si>
  <si>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</si>
  <si>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</si>
  <si>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</si>
  <si>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</si>
  <si>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</si>
  <si>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</si>
  <si>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</si>
  <si>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</si>
  <si>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</si>
  <si>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</si>
  <si>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</si>
  <si>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</si>
  <si>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</si>
  <si>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</si>
  <si>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</si>
  <si>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</si>
  <si>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</si>
  <si>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</si>
  <si>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</si>
  <si>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</si>
  <si>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</si>
  <si>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</si>
  <si>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</si>
  <si>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</si>
  <si>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</si>
  <si>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</si>
  <si>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</si>
  <si>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</si>
  <si>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</si>
  <si>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</si>
  <si>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</si>
  <si>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</si>
  <si>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</si>
  <si>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</si>
  <si>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</si>
  <si>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</si>
  <si>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</si>
  <si>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</si>
  <si>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</si>
  <si>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</si>
  <si>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</si>
  <si>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</si>
  <si>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</si>
  <si>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</si>
  <si>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</si>
  <si>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</si>
  <si>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</si>
  <si>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</si>
  <si>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</si>
  <si>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</si>
  <si>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</si>
  <si>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</si>
  <si>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</si>
  <si>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</si>
  <si>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</si>
  <si>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</si>
  <si>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</si>
  <si>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</si>
  <si>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</si>
  <si>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</si>
  <si>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</si>
  <si>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</si>
  <si>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</si>
  <si>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</si>
  <si>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</si>
  <si>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</si>
  <si>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</si>
  <si>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</si>
  <si>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</si>
  <si>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</si>
  <si>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</si>
  <si>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</si>
  <si>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</si>
  <si>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</si>
  <si>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</si>
  <si>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</si>
  <si>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</si>
  <si>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</si>
  <si>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</si>
  <si>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</si>
  <si>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</si>
  <si>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</si>
  <si>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</si>
  <si>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</si>
  <si>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</si>
  <si>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</si>
  <si>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</si>
  <si>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</si>
  <si>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</si>
  <si>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</si>
  <si>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</si>
  <si>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</si>
  <si>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</si>
  <si>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</si>
  <si>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</si>
  <si>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</si>
  <si>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</si>
  <si>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</si>
  <si>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</si>
  <si>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</si>
  <si>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</si>
  <si>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</si>
  <si>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</si>
  <si>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</si>
  <si>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</si>
  <si>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</si>
  <si>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</si>
  <si>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</si>
  <si>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</si>
  <si>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</si>
  <si>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</si>
  <si>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</si>
  <si>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</si>
  <si>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</si>
  <si>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</si>
  <si>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</si>
  <si>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</si>
  <si>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</si>
  <si>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</si>
  <si>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</si>
  <si>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</si>
  <si>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</si>
  <si>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</si>
  <si>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</si>
  <si>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</si>
  <si>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</si>
  <si>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</si>
  <si>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</si>
  <si>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</si>
  <si>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</si>
  <si>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</si>
  <si>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</si>
  <si>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</si>
  <si>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</si>
  <si>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</si>
  <si>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</si>
  <si>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</si>
  <si>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</si>
  <si>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</si>
  <si>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</si>
  <si>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</si>
  <si>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</si>
  <si>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</si>
  <si>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</si>
  <si>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</si>
  <si>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</si>
  <si>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</si>
  <si>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</si>
  <si>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</si>
  <si>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</si>
  <si>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</si>
  <si>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</si>
  <si>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</si>
  <si>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</si>
  <si>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</si>
  <si>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</si>
  <si>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</si>
  <si>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</si>
  <si>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</si>
  <si>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</si>
  <si>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</si>
  <si>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</si>
  <si>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</si>
  <si>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</si>
  <si>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</si>
  <si>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</si>
  <si>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</si>
  <si>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</si>
  <si>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</si>
  <si>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</si>
  <si>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</si>
  <si>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</si>
  <si>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</si>
  <si>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</si>
  <si>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</si>
  <si>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</si>
  <si>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</si>
  <si>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</si>
  <si>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</si>
  <si>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</si>
  <si>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</si>
  <si>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</si>
  <si>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</si>
  <si>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</si>
  <si>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</si>
  <si>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</si>
  <si>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</si>
  <si>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</si>
  <si>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</si>
  <si>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</si>
  <si>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</si>
  <si>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</si>
  <si>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</si>
  <si>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</si>
  <si>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</si>
  <si>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</si>
  <si>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</si>
  <si>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</si>
  <si>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</si>
  <si>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</si>
  <si>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</si>
  <si>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</si>
  <si>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</si>
  <si>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</si>
  <si>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</si>
  <si>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</si>
  <si>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</si>
  <si>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</si>
  <si>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</si>
  <si>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</si>
  <si>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</si>
  <si>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</si>
  <si>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</si>
  <si>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</si>
  <si>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</si>
  <si>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</si>
  <si>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</si>
  <si>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</si>
  <si>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</si>
  <si>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</si>
  <si>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</si>
  <si>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</si>
  <si>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</si>
  <si>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</si>
  <si>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</si>
  <si>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</si>
  <si>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</si>
  <si>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</si>
  <si>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</si>
  <si>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</si>
  <si>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</si>
  <si>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</si>
  <si>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</si>
  <si>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</si>
  <si>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</si>
  <si>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</si>
  <si>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</si>
  <si>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</si>
  <si>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</si>
  <si>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</si>
  <si>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</si>
  <si>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</si>
  <si>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</si>
  <si>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</si>
  <si>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</si>
  <si>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</si>
  <si>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</si>
  <si>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</si>
  <si>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</si>
  <si>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</si>
  <si>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</si>
  <si>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</si>
  <si>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</si>
  <si>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</si>
  <si>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</si>
  <si>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</si>
  <si>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</si>
  <si>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</si>
  <si>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</si>
  <si>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</si>
  <si>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</si>
  <si>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</si>
  <si>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</si>
  <si>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</si>
  <si>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</si>
  <si>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</si>
  <si>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</si>
  <si>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</si>
  <si>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</si>
  <si>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</si>
  <si>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</si>
  <si>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</si>
  <si>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</si>
  <si>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</si>
  <si>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</si>
  <si>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</si>
  <si>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</si>
  <si>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</si>
  <si>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</si>
  <si>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</si>
  <si>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</si>
  <si>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</si>
  <si>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</si>
  <si>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</si>
  <si>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</si>
  <si>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</si>
  <si>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</si>
  <si>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</si>
  <si>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</si>
  <si>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</si>
  <si>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</si>
  <si>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</si>
  <si>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</si>
  <si>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</si>
  <si>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</si>
  <si>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</si>
  <si>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</si>
  <si>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</si>
  <si>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</si>
  <si>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</si>
  <si>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</si>
  <si>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</si>
  <si>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</si>
  <si>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</si>
  <si>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</si>
  <si>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</si>
  <si>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</si>
  <si>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</si>
  <si>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</si>
  <si>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</si>
  <si>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</si>
  <si>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</si>
  <si>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</si>
  <si>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</si>
  <si>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</si>
  <si>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</si>
  <si>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</si>
  <si>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</si>
  <si>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</si>
  <si>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</si>
  <si>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</si>
  <si>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</si>
  <si>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</si>
  <si>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</si>
  <si>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</si>
  <si>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</si>
  <si>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</si>
  <si>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</si>
  <si>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</si>
  <si>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</si>
  <si>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</si>
  <si>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</si>
  <si>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</si>
  <si>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</si>
  <si>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</si>
  <si>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</si>
  <si>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</si>
  <si>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</si>
  <si>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</si>
  <si>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</si>
  <si>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</si>
  <si>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</si>
  <si>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</si>
  <si>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</si>
  <si>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</si>
  <si>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</si>
  <si>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</si>
  <si>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</si>
  <si>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</si>
  <si>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</si>
  <si>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</si>
  <si>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</si>
  <si>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</si>
  <si>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</si>
  <si>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</si>
  <si>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</si>
  <si>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</si>
  <si>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</si>
  <si>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</si>
  <si>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</si>
  <si>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</si>
  <si>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</si>
  <si>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</si>
  <si>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</si>
  <si>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</si>
  <si>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</si>
  <si>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</si>
  <si>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</si>
  <si>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</si>
  <si>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</si>
  <si>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</si>
  <si>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</si>
  <si>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</si>
  <si>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</si>
  <si>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</si>
  <si>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</si>
  <si>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</si>
  <si>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</si>
  <si>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</si>
  <si>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</si>
  <si>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</si>
  <si>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</si>
  <si>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</si>
  <si>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</si>
  <si>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</si>
  <si>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</si>
  <si>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</si>
  <si>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</si>
  <si>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</si>
  <si>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</si>
  <si>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</si>
  <si>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</si>
  <si>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</si>
  <si>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</si>
  <si>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</si>
  <si>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</si>
  <si>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</si>
  <si>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</si>
  <si>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</si>
  <si>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</si>
  <si>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</si>
  <si>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</si>
  <si>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</si>
  <si>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</si>
  <si>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</si>
  <si>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</si>
  <si>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</si>
  <si>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</si>
  <si>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</si>
  <si>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</si>
  <si>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</si>
  <si>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</si>
  <si>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</si>
  <si>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</si>
  <si>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</si>
  <si>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</si>
  <si>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</si>
  <si>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</si>
  <si>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</si>
  <si>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</si>
  <si>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</si>
  <si>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</si>
  <si>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</si>
  <si>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</si>
  <si>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</si>
  <si>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</si>
  <si>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</si>
  <si>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</si>
  <si>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</si>
  <si>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</si>
  <si>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</si>
  <si>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</si>
  <si>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</si>
  <si>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</si>
  <si>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</si>
  <si>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</si>
  <si>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</si>
  <si>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</si>
  <si>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</si>
  <si>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</si>
  <si>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</si>
  <si>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</si>
  <si>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</si>
  <si>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</si>
  <si>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</si>
  <si>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</si>
  <si>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</si>
  <si>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</si>
  <si>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</si>
  <si>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</si>
  <si>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</si>
  <si>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</si>
  <si>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</si>
  <si>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</si>
  <si>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</si>
  <si>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</si>
  <si>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</si>
  <si>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</si>
  <si>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</si>
  <si>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</si>
  <si>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</si>
  <si>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</si>
  <si>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</si>
  <si>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</si>
  <si>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</si>
  <si>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</si>
  <si>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</si>
  <si>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</si>
  <si>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</si>
  <si>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</si>
  <si>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</si>
  <si>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</si>
  <si>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</si>
  <si>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</si>
  <si>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</si>
  <si>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</si>
  <si>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</si>
  <si>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</si>
  <si>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</si>
  <si>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</si>
  <si>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</si>
  <si>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</si>
  <si>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</si>
  <si>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</si>
  <si>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</si>
  <si>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</si>
  <si>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</si>
  <si>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</si>
  <si>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</si>
  <si>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</si>
  <si>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</si>
  <si>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</si>
  <si>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</si>
  <si>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</si>
  <si>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</si>
  <si>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</si>
  <si>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</si>
  <si>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</si>
  <si>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</si>
  <si>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</si>
  <si>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</si>
  <si>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</si>
  <si>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</si>
  <si>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</si>
  <si>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</si>
  <si>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</si>
  <si>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</si>
  <si>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</si>
  <si>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</si>
  <si>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</si>
  <si>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</si>
  <si>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</si>
  <si>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</si>
  <si>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</si>
  <si>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</si>
  <si>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</si>
  <si>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</si>
  <si>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</si>
  <si>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</si>
  <si>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</si>
  <si>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</si>
  <si>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</si>
  <si>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</si>
  <si>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</si>
  <si>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</si>
  <si>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</si>
  <si>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</si>
  <si>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</si>
  <si>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</si>
  <si>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</si>
  <si>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</si>
  <si>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</si>
  <si>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</si>
  <si>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</si>
  <si>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</si>
  <si>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</si>
  <si>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</si>
  <si>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</si>
  <si>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</si>
  <si>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</si>
  <si>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</si>
  <si>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</si>
  <si>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</si>
  <si>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</si>
  <si>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</si>
  <si>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</si>
  <si>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</si>
  <si>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</si>
  <si>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</si>
  <si>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</si>
  <si>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</si>
  <si>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</si>
  <si>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</si>
  <si>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</si>
  <si>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</si>
  <si>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</si>
  <si>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</si>
  <si>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</si>
  <si>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</si>
  <si>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</si>
  <si>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</si>
  <si>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</si>
  <si>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</si>
  <si>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</si>
  <si>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</si>
  <si>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</si>
  <si>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</si>
  <si>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</si>
  <si>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</si>
  <si>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</si>
  <si>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</si>
  <si>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</si>
  <si>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</si>
  <si>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</si>
  <si>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</si>
  <si>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</si>
  <si>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</si>
  <si>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</si>
  <si>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</si>
  <si>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</si>
  <si>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</si>
  <si>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</si>
  <si>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</si>
  <si>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</si>
  <si>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</si>
  <si>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</si>
  <si>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</si>
  <si>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</si>
  <si>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</si>
  <si>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</si>
  <si>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</si>
  <si>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</si>
  <si>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</si>
  <si>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</si>
  <si>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</si>
  <si>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</si>
  <si>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</si>
  <si>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</si>
  <si>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</si>
  <si>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</si>
  <si>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</si>
  <si>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</si>
  <si>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</si>
  <si>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</si>
  <si>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</si>
  <si>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</si>
  <si>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</si>
  <si>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</si>
  <si>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</si>
  <si>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</si>
  <si>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</si>
  <si>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</si>
  <si>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</si>
  <si>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</si>
  <si>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</si>
  <si>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</si>
  <si>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</si>
  <si>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</si>
  <si>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</si>
  <si>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</si>
  <si>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</si>
  <si>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</si>
  <si>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</si>
  <si>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</si>
  <si>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</si>
  <si>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</si>
  <si>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</si>
  <si>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</si>
  <si>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</si>
  <si>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</si>
  <si>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</si>
  <si>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</si>
  <si>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</si>
  <si>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</si>
  <si>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</si>
  <si>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</si>
  <si>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</si>
  <si>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</si>
  <si>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</si>
  <si>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</si>
  <si>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</si>
  <si>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</si>
  <si>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</si>
  <si>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</si>
  <si>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</si>
  <si>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</si>
  <si>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</si>
  <si>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</si>
  <si>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</si>
  <si>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</si>
  <si>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</si>
  <si>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</si>
  <si>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</si>
  <si>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</si>
  <si>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</si>
  <si>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</si>
  <si>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</si>
  <si>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</si>
  <si>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</si>
  <si>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</si>
  <si>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</si>
  <si>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</si>
  <si>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</si>
  <si>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</si>
  <si>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</si>
  <si>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</si>
  <si>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</si>
  <si>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</si>
  <si>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</si>
  <si>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</si>
  <si>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</si>
  <si>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</si>
  <si>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</si>
  <si>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</si>
  <si>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</si>
  <si>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</si>
  <si>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</si>
  <si>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</si>
  <si>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</si>
  <si>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</si>
  <si>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</si>
  <si>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</si>
  <si>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</si>
  <si>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</si>
  <si>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</si>
  <si>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</si>
  <si>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</si>
  <si>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</si>
  <si>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</si>
  <si>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</si>
  <si>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</si>
  <si>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</si>
  <si>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</si>
  <si>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</si>
  <si>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</si>
  <si>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</si>
  <si>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</si>
  <si>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</si>
  <si>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</si>
  <si>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</si>
  <si>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</si>
  <si>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</si>
  <si>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</si>
  <si>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</si>
  <si>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</si>
  <si>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</si>
  <si>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</si>
  <si>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</si>
  <si>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</si>
  <si>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</si>
  <si>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</si>
  <si>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</si>
  <si>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</si>
  <si>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</si>
  <si>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</si>
  <si>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</si>
  <si>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</si>
  <si>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</si>
  <si>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</si>
  <si>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</si>
  <si>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</si>
  <si>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</si>
  <si>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</si>
  <si>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</si>
  <si>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</si>
  <si>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</si>
  <si>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</si>
  <si>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</si>
  <si>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</si>
  <si>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</si>
  <si>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</si>
  <si>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</si>
  <si>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</si>
  <si>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</si>
  <si>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</si>
  <si>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</si>
  <si>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</si>
  <si>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</si>
  <si>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</si>
  <si>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</si>
  <si>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</si>
  <si>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</si>
  <si>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</si>
  <si>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</si>
  <si>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</si>
  <si>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</si>
  <si>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</si>
  <si>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</si>
  <si>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</si>
  <si>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</si>
  <si>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</si>
  <si>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</si>
  <si>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</si>
  <si>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</si>
  <si>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</si>
  <si>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</si>
  <si>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</si>
  <si>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</si>
  <si>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</si>
  <si>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</si>
  <si>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</si>
  <si>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</si>
  <si>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</si>
  <si>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</si>
  <si>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</si>
  <si>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</si>
  <si>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</si>
  <si>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</si>
  <si>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</si>
  <si>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</si>
  <si>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</si>
  <si>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</si>
  <si>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</si>
  <si>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</si>
  <si>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</si>
  <si>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</si>
  <si>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</si>
  <si>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</si>
  <si>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</si>
  <si>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</si>
  <si>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</si>
  <si>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</si>
  <si>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</si>
  <si>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</si>
  <si>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</si>
  <si>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</si>
  <si>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</si>
  <si>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</si>
  <si>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</si>
  <si>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</si>
  <si>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</si>
  <si>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</si>
  <si>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</si>
  <si>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</si>
  <si>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</si>
  <si>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</si>
  <si>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</si>
  <si>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</si>
  <si>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</si>
  <si>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</si>
  <si>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</si>
  <si>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</si>
  <si>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</si>
  <si>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</si>
  <si>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</si>
  <si>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</si>
  <si>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</si>
  <si>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</si>
  <si>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</si>
  <si>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</si>
  <si>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</si>
  <si>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</si>
  <si>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</si>
  <si>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</si>
  <si>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</si>
  <si>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</si>
  <si>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</si>
  <si>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</si>
  <si>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</si>
  <si>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</si>
  <si>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</si>
  <si>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</si>
  <si>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</si>
  <si>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</si>
  <si>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</si>
  <si>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</si>
  <si>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</si>
  <si>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</si>
  <si>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</si>
  <si>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</si>
  <si>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</si>
  <si>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</si>
  <si>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</si>
  <si>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</si>
  <si>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</si>
  <si>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</si>
  <si>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</si>
  <si>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</si>
  <si>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</si>
  <si>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</si>
  <si>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</si>
  <si>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</si>
  <si>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</si>
  <si>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</si>
  <si>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</si>
  <si>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</si>
  <si>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</si>
  <si>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</si>
  <si>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</si>
  <si>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</si>
  <si>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</si>
  <si>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</si>
  <si>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</si>
  <si>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</si>
  <si>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</si>
  <si>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</si>
  <si>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</si>
  <si>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</si>
  <si>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</si>
  <si>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</si>
  <si>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</si>
  <si>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</si>
  <si>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</si>
  <si>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</si>
  <si>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</si>
  <si>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</si>
  <si>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</si>
  <si>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</si>
  <si>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</si>
  <si>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</si>
  <si>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</si>
  <si>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</si>
  <si>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</si>
  <si>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</si>
  <si>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</si>
  <si>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</si>
  <si>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</si>
  <si>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</si>
  <si>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</si>
  <si>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</si>
  <si>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</si>
  <si>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</si>
  <si>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</si>
  <si>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</si>
  <si>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</si>
  <si>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</si>
  <si>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</si>
  <si>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</si>
  <si>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</si>
  <si>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</si>
  <si>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</si>
  <si>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</si>
  <si>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</si>
  <si>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</si>
  <si>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</si>
  <si>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</si>
  <si>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</si>
  <si>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</si>
  <si>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</si>
  <si>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</si>
  <si>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</si>
  <si>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</si>
  <si>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</si>
  <si>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</si>
  <si>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</si>
  <si>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</si>
  <si>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</si>
  <si>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</si>
  <si>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</si>
  <si>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</si>
  <si>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</si>
  <si>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</si>
  <si>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</si>
  <si>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</si>
  <si>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</si>
  <si>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</si>
  <si>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</si>
  <si>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</si>
  <si>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</si>
  <si>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</si>
  <si>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</si>
  <si>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</si>
  <si>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</si>
  <si>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</si>
  <si>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</si>
  <si>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</si>
  <si>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</si>
  <si>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</si>
  <si>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</si>
  <si>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</si>
  <si>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</si>
  <si>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</si>
  <si>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</si>
  <si>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</si>
  <si>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</si>
  <si>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</si>
  <si>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</si>
  <si>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</si>
  <si>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</si>
  <si>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</si>
  <si>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</si>
  <si>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</si>
  <si>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</si>
  <si>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</si>
  <si>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</si>
  <si>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</si>
  <si>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</si>
  <si>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</si>
  <si>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</si>
  <si>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</si>
  <si>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</si>
  <si>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</si>
  <si>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</si>
  <si>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</si>
  <si>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</si>
  <si>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</si>
  <si>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</si>
  <si>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</si>
  <si>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</si>
  <si>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</si>
  <si>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</si>
  <si>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</si>
  <si>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</si>
  <si>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</si>
  <si>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</si>
  <si>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</si>
  <si>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</si>
  <si>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</si>
  <si>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</si>
  <si>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</si>
  <si>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</si>
  <si>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</si>
  <si>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</si>
  <si>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</si>
  <si>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</si>
  <si>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</si>
  <si>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</si>
  <si>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</si>
  <si>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</si>
  <si>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</si>
  <si>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</si>
  <si>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</si>
  <si>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</si>
  <si>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</si>
  <si>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</si>
  <si>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</si>
  <si>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</si>
  <si>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</si>
  <si>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</si>
  <si>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</si>
  <si>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</si>
  <si>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</si>
  <si>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</si>
  <si>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</si>
  <si>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</si>
  <si>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</si>
  <si>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</si>
  <si>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</si>
  <si>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</si>
  <si>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</si>
  <si>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</si>
  <si>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</si>
  <si>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</si>
  <si>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</si>
  <si>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</si>
  <si>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</si>
  <si>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</si>
  <si>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</si>
  <si>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</si>
  <si>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</si>
  <si>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</si>
  <si>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</si>
  <si>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</si>
  <si>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</si>
  <si>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</si>
  <si>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</si>
  <si>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</si>
  <si>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</si>
  <si>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</si>
  <si>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</si>
  <si>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</si>
  <si>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</si>
  <si>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</si>
  <si>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</si>
  <si>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</si>
  <si>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</si>
  <si>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</si>
  <si>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</si>
  <si>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</si>
  <si>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</si>
  <si>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</si>
  <si>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</si>
  <si>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</si>
  <si>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</si>
  <si>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</si>
  <si>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</si>
  <si>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</si>
  <si>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</si>
  <si>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</si>
  <si>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</si>
  <si>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</si>
  <si>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</si>
  <si>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</si>
  <si>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</si>
  <si>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</si>
  <si>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</si>
  <si>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</si>
  <si>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</si>
  <si>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</si>
  <si>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</si>
  <si>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</si>
  <si>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</si>
  <si>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</si>
  <si>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</si>
  <si>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</si>
  <si>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</si>
  <si>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</si>
  <si>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</si>
  <si>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</si>
  <si>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</si>
  <si>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</si>
  <si>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</si>
  <si>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</si>
  <si>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</si>
  <si>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</si>
  <si>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</si>
  <si>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</si>
  <si>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</si>
  <si>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</si>
  <si>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</si>
  <si>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</si>
  <si>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</si>
  <si>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</si>
  <si>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</si>
  <si>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</si>
  <si>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</si>
  <si>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</si>
  <si>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</si>
  <si>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</si>
  <si>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</si>
  <si>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</si>
  <si>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</si>
  <si>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</si>
  <si>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</si>
  <si>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</si>
  <si>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</si>
  <si>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</si>
  <si>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</si>
  <si>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</si>
  <si>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</si>
  <si>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</si>
  <si>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</si>
  <si>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</si>
  <si>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</si>
  <si>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</si>
  <si>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</si>
  <si>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</si>
  <si>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</si>
  <si>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</si>
  <si>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</si>
  <si>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</si>
  <si>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</si>
  <si>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</si>
  <si>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</si>
  <si>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</si>
  <si>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</si>
  <si>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</si>
  <si>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</si>
  <si>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</si>
  <si>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</si>
  <si>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</si>
  <si>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</si>
  <si>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</si>
  <si>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</si>
  <si>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</si>
  <si>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</si>
  <si>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</si>
  <si>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</si>
  <si>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</si>
  <si>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</si>
  <si>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</si>
  <si>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</si>
  <si>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</si>
  <si>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</si>
  <si>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</si>
  <si>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9" type="noConversion"/>
  </si>
  <si>
    <t>季度</t>
    <phoneticPr fontId="109" type="noConversion"/>
  </si>
  <si>
    <t>2017-4</t>
    <phoneticPr fontId="4" type="noConversion"/>
  </si>
  <si>
    <t>本行不参与计算</t>
    <phoneticPr fontId="109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</si>
  <si>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9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</si>
  <si>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</si>
  <si>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</si>
  <si>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</si>
  <si>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</si>
  <si>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</si>
  <si>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</si>
  <si>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</si>
  <si>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</si>
  <si>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</si>
  <si>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</si>
  <si>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</si>
  <si>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7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</si>
  <si>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</si>
  <si>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</si>
  <si>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</si>
  <si>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109" type="noConversion"/>
  </si>
  <si>
    <t>房号清单</t>
    <phoneticPr fontId="109" type="noConversion"/>
  </si>
  <si>
    <t>序号</t>
    <phoneticPr fontId="109" type="noConversion"/>
  </si>
  <si>
    <t>部位</t>
    <phoneticPr fontId="109" type="noConversion"/>
  </si>
  <si>
    <t>建筑面积</t>
    <phoneticPr fontId="109" type="noConversion"/>
  </si>
  <si>
    <t>规划用途</t>
    <phoneticPr fontId="109" type="noConversion"/>
  </si>
  <si>
    <t>所在楼层</t>
    <phoneticPr fontId="109" type="noConversion"/>
  </si>
  <si>
    <t>-04层不分摊部位</t>
    <phoneticPr fontId="109" type="noConversion"/>
  </si>
  <si>
    <t>-4</t>
    <phoneticPr fontId="109" type="noConversion"/>
  </si>
  <si>
    <t>用途</t>
    <phoneticPr fontId="109" type="noConversion"/>
  </si>
  <si>
    <t>地上建筑面积</t>
    <phoneticPr fontId="109" type="noConversion"/>
  </si>
  <si>
    <t>地下建筑面积</t>
    <phoneticPr fontId="109" type="noConversion"/>
  </si>
  <si>
    <t>所在楼层</t>
    <phoneticPr fontId="109" type="noConversion"/>
  </si>
  <si>
    <t>1层商业</t>
    <phoneticPr fontId="109" type="noConversion"/>
  </si>
  <si>
    <t>2层商业</t>
    <phoneticPr fontId="109" type="noConversion"/>
  </si>
  <si>
    <t>-401</t>
    <phoneticPr fontId="109" type="noConversion"/>
  </si>
  <si>
    <t>车库</t>
    <phoneticPr fontId="109" type="noConversion"/>
  </si>
  <si>
    <t>-4</t>
    <phoneticPr fontId="109" type="noConversion"/>
  </si>
  <si>
    <t>商业</t>
    <phoneticPr fontId="109" type="noConversion"/>
  </si>
  <si>
    <t>1-2</t>
    <phoneticPr fontId="109" type="noConversion"/>
  </si>
  <si>
    <t>-301</t>
    <phoneticPr fontId="109" type="noConversion"/>
  </si>
  <si>
    <t>车库</t>
    <phoneticPr fontId="109" type="noConversion"/>
  </si>
  <si>
    <t>-3</t>
    <phoneticPr fontId="109" type="noConversion"/>
  </si>
  <si>
    <t>办公</t>
    <phoneticPr fontId="109" type="noConversion"/>
  </si>
  <si>
    <t>5-6</t>
    <phoneticPr fontId="109" type="noConversion"/>
  </si>
  <si>
    <t>-02层不分摊部位</t>
    <phoneticPr fontId="109" type="noConversion"/>
  </si>
  <si>
    <t>-2</t>
    <phoneticPr fontId="109" type="noConversion"/>
  </si>
  <si>
    <t>酒店</t>
    <phoneticPr fontId="109" type="noConversion"/>
  </si>
  <si>
    <t>1、3-26（5-6部分）</t>
    <phoneticPr fontId="109" type="noConversion"/>
  </si>
  <si>
    <t>-201</t>
    <phoneticPr fontId="109" type="noConversion"/>
  </si>
  <si>
    <t>库房</t>
    <phoneticPr fontId="109" type="noConversion"/>
  </si>
  <si>
    <t>-2</t>
    <phoneticPr fontId="109" type="noConversion"/>
  </si>
  <si>
    <t>地下车库</t>
    <phoneticPr fontId="109" type="noConversion"/>
  </si>
  <si>
    <t>-4至-2</t>
    <phoneticPr fontId="109" type="noConversion"/>
  </si>
  <si>
    <t>-202</t>
    <phoneticPr fontId="109" type="noConversion"/>
  </si>
  <si>
    <t>地下仓储</t>
    <phoneticPr fontId="109" type="noConversion"/>
  </si>
  <si>
    <t>-2至-1</t>
    <phoneticPr fontId="109" type="noConversion"/>
  </si>
  <si>
    <t>-203</t>
    <phoneticPr fontId="109" type="noConversion"/>
  </si>
  <si>
    <t>-2</t>
  </si>
  <si>
    <t>设备等</t>
    <phoneticPr fontId="109" type="noConversion"/>
  </si>
  <si>
    <t>-204</t>
    <phoneticPr fontId="109" type="noConversion"/>
  </si>
  <si>
    <t>合计</t>
    <phoneticPr fontId="109" type="noConversion"/>
  </si>
  <si>
    <t>-205</t>
    <phoneticPr fontId="109" type="noConversion"/>
  </si>
  <si>
    <t>-206</t>
  </si>
  <si>
    <t>可经营性</t>
    <phoneticPr fontId="109" type="noConversion"/>
  </si>
  <si>
    <t>-207</t>
  </si>
  <si>
    <t>分摊土地面积</t>
    <phoneticPr fontId="109" type="noConversion"/>
  </si>
  <si>
    <t>-208</t>
  </si>
  <si>
    <t>-209</t>
  </si>
  <si>
    <t>容积率</t>
    <phoneticPr fontId="109" type="noConversion"/>
  </si>
  <si>
    <t>-210</t>
  </si>
  <si>
    <t>-211</t>
  </si>
  <si>
    <t>抵押物清单</t>
    <phoneticPr fontId="109" type="noConversion"/>
  </si>
  <si>
    <t>-212</t>
    <phoneticPr fontId="109" type="noConversion"/>
  </si>
  <si>
    <t>管理用房</t>
    <phoneticPr fontId="109" type="noConversion"/>
  </si>
  <si>
    <t>-213</t>
    <phoneticPr fontId="109" type="noConversion"/>
  </si>
  <si>
    <t>车库</t>
    <phoneticPr fontId="109" type="noConversion"/>
  </si>
  <si>
    <t>-401</t>
    <phoneticPr fontId="109" type="noConversion"/>
  </si>
  <si>
    <t>-01层不分摊部位</t>
    <phoneticPr fontId="109" type="noConversion"/>
  </si>
  <si>
    <t>-1</t>
    <phoneticPr fontId="109" type="noConversion"/>
  </si>
  <si>
    <t>-301</t>
    <phoneticPr fontId="109" type="noConversion"/>
  </si>
  <si>
    <t>-3</t>
    <phoneticPr fontId="109" type="noConversion"/>
  </si>
  <si>
    <t>-101</t>
    <phoneticPr fontId="109" type="noConversion"/>
  </si>
  <si>
    <t>-102</t>
    <phoneticPr fontId="109" type="noConversion"/>
  </si>
  <si>
    <t>-1</t>
  </si>
  <si>
    <t>-103</t>
  </si>
  <si>
    <t>-104</t>
  </si>
  <si>
    <t>自行车库</t>
    <phoneticPr fontId="109" type="noConversion"/>
  </si>
  <si>
    <t>01层不分摊部位</t>
    <phoneticPr fontId="109" type="noConversion"/>
  </si>
  <si>
    <t>1</t>
    <phoneticPr fontId="109" type="noConversion"/>
  </si>
  <si>
    <t>101</t>
    <phoneticPr fontId="109" type="noConversion"/>
  </si>
  <si>
    <t>商业用房</t>
    <phoneticPr fontId="109" type="noConversion"/>
  </si>
  <si>
    <t>102</t>
    <phoneticPr fontId="109" type="noConversion"/>
  </si>
  <si>
    <t>酒店</t>
    <phoneticPr fontId="109" type="noConversion"/>
  </si>
  <si>
    <t>1</t>
  </si>
  <si>
    <t>103</t>
    <phoneticPr fontId="109" type="noConversion"/>
  </si>
  <si>
    <t>109</t>
    <phoneticPr fontId="109" type="noConversion"/>
  </si>
  <si>
    <t>110</t>
    <phoneticPr fontId="109" type="noConversion"/>
  </si>
  <si>
    <t>111</t>
    <phoneticPr fontId="109" type="noConversion"/>
  </si>
  <si>
    <t>02层不分摊部位</t>
    <phoneticPr fontId="109" type="noConversion"/>
  </si>
  <si>
    <t>2</t>
    <phoneticPr fontId="109" type="noConversion"/>
  </si>
  <si>
    <t>201</t>
    <phoneticPr fontId="109" type="noConversion"/>
  </si>
  <si>
    <t>03层不分摊部位</t>
    <phoneticPr fontId="109" type="noConversion"/>
  </si>
  <si>
    <t>3</t>
    <phoneticPr fontId="109" type="noConversion"/>
  </si>
  <si>
    <t>301</t>
    <phoneticPr fontId="109" type="noConversion"/>
  </si>
  <si>
    <t>04层不分摊部位</t>
    <phoneticPr fontId="109" type="noConversion"/>
  </si>
  <si>
    <t>4</t>
    <phoneticPr fontId="109" type="noConversion"/>
  </si>
  <si>
    <t>401</t>
    <phoneticPr fontId="109" type="noConversion"/>
  </si>
  <si>
    <t>05层不分摊部位</t>
    <phoneticPr fontId="109" type="noConversion"/>
  </si>
  <si>
    <t>5</t>
    <phoneticPr fontId="109" type="noConversion"/>
  </si>
  <si>
    <t>501</t>
    <phoneticPr fontId="109" type="noConversion"/>
  </si>
  <si>
    <t>办公用房</t>
    <phoneticPr fontId="109" type="noConversion"/>
  </si>
  <si>
    <t>502</t>
    <phoneticPr fontId="109" type="noConversion"/>
  </si>
  <si>
    <t>06层不分摊部位</t>
    <phoneticPr fontId="109" type="noConversion"/>
  </si>
  <si>
    <t>6</t>
    <phoneticPr fontId="109" type="noConversion"/>
  </si>
  <si>
    <t>601</t>
    <phoneticPr fontId="109" type="noConversion"/>
  </si>
  <si>
    <t>602</t>
    <phoneticPr fontId="109" type="noConversion"/>
  </si>
  <si>
    <t>701</t>
    <phoneticPr fontId="109" type="noConversion"/>
  </si>
  <si>
    <t>7</t>
    <phoneticPr fontId="109" type="noConversion"/>
  </si>
  <si>
    <t>801</t>
    <phoneticPr fontId="109" type="noConversion"/>
  </si>
  <si>
    <t>8</t>
    <phoneticPr fontId="109" type="noConversion"/>
  </si>
  <si>
    <t>901</t>
    <phoneticPr fontId="109" type="noConversion"/>
  </si>
  <si>
    <t>9</t>
    <phoneticPr fontId="109" type="noConversion"/>
  </si>
  <si>
    <t>1001</t>
    <phoneticPr fontId="109" type="noConversion"/>
  </si>
  <si>
    <t>10</t>
    <phoneticPr fontId="109" type="noConversion"/>
  </si>
  <si>
    <t>1101</t>
    <phoneticPr fontId="109" type="noConversion"/>
  </si>
  <si>
    <t>11</t>
    <phoneticPr fontId="109" type="noConversion"/>
  </si>
  <si>
    <t>1201</t>
    <phoneticPr fontId="109" type="noConversion"/>
  </si>
  <si>
    <t>12</t>
    <phoneticPr fontId="109" type="noConversion"/>
  </si>
  <si>
    <t>1401</t>
    <phoneticPr fontId="109" type="noConversion"/>
  </si>
  <si>
    <t>13</t>
    <phoneticPr fontId="109" type="noConversion"/>
  </si>
  <si>
    <t>1501</t>
    <phoneticPr fontId="109" type="noConversion"/>
  </si>
  <si>
    <t>14</t>
  </si>
  <si>
    <t>1601</t>
    <phoneticPr fontId="109" type="noConversion"/>
  </si>
  <si>
    <t>15</t>
  </si>
  <si>
    <t>1701</t>
    <phoneticPr fontId="109" type="noConversion"/>
  </si>
  <si>
    <t>16</t>
  </si>
  <si>
    <t>1801</t>
    <phoneticPr fontId="109" type="noConversion"/>
  </si>
  <si>
    <t>17</t>
  </si>
  <si>
    <t>1901</t>
    <phoneticPr fontId="109" type="noConversion"/>
  </si>
  <si>
    <t>18</t>
  </si>
  <si>
    <t>2001</t>
    <phoneticPr fontId="109" type="noConversion"/>
  </si>
  <si>
    <t>19</t>
  </si>
  <si>
    <t>2101</t>
    <phoneticPr fontId="109" type="noConversion"/>
  </si>
  <si>
    <t>20</t>
  </si>
  <si>
    <t>2201</t>
    <phoneticPr fontId="109" type="noConversion"/>
  </si>
  <si>
    <t>21</t>
  </si>
  <si>
    <t>2301</t>
    <phoneticPr fontId="109" type="noConversion"/>
  </si>
  <si>
    <t>22</t>
  </si>
  <si>
    <t>2401</t>
    <phoneticPr fontId="109" type="noConversion"/>
  </si>
  <si>
    <t>23</t>
  </si>
  <si>
    <t>2501</t>
    <phoneticPr fontId="109" type="noConversion"/>
  </si>
  <si>
    <t>24</t>
  </si>
  <si>
    <t>2601</t>
    <phoneticPr fontId="109" type="noConversion"/>
  </si>
  <si>
    <t>25</t>
  </si>
  <si>
    <t>2701</t>
    <phoneticPr fontId="109" type="noConversion"/>
  </si>
  <si>
    <t>26</t>
  </si>
  <si>
    <t>商业</t>
  </si>
  <si>
    <t>钢混</t>
  </si>
  <si>
    <t>扣毛地价</t>
  </si>
  <si>
    <t>设定容积率</t>
  </si>
  <si>
    <t>地上</t>
  </si>
  <si>
    <t>商务金融用地（商业类）</t>
  </si>
  <si>
    <t>七通一平</t>
  </si>
  <si>
    <t>四环路内</t>
  </si>
  <si>
    <t>较好</t>
  </si>
  <si>
    <t>好</t>
  </si>
  <si>
    <r>
      <rPr>
        <b/>
        <sz val="14"/>
        <color rgb="FFFF0000"/>
        <rFont val="宋体"/>
        <family val="3"/>
        <charset val="134"/>
      </rPr>
      <t>数据汇总表</t>
    </r>
    <phoneticPr fontId="4" type="noConversion"/>
  </si>
  <si>
    <r>
      <rPr>
        <b/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</si>
  <si>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</si>
  <si>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b/>
        <sz val="11"/>
        <rFont val="宋体"/>
        <family val="3"/>
        <charset val="134"/>
      </rPr>
      <t>建筑面积</t>
    </r>
    <phoneticPr fontId="4" type="noConversion"/>
  </si>
  <si>
    <r>
      <rPr>
        <b/>
        <sz val="11"/>
        <color indexed="8"/>
        <rFont val="宋体"/>
        <family val="3"/>
        <charset val="134"/>
      </rPr>
      <t>容积率</t>
    </r>
    <phoneticPr fontId="4" type="noConversion"/>
  </si>
  <si>
    <r>
      <rPr>
        <b/>
        <sz val="11"/>
        <color indexed="8"/>
        <rFont val="宋体"/>
        <family val="3"/>
        <charset val="134"/>
      </rPr>
      <t>面积总计</t>
    </r>
    <phoneticPr fontId="4" type="noConversion"/>
  </si>
  <si>
    <r>
      <rPr>
        <sz val="11"/>
        <color indexed="8"/>
        <rFont val="宋体"/>
        <family val="3"/>
        <charset val="134"/>
      </rPr>
      <t>总</t>
    </r>
    <phoneticPr fontId="4" type="noConversion"/>
  </si>
  <si>
    <r>
      <rPr>
        <sz val="11"/>
        <color indexed="8"/>
        <rFont val="宋体"/>
        <family val="3"/>
        <charset val="134"/>
      </rPr>
      <t>项目</t>
    </r>
    <phoneticPr fontId="4" type="noConversion"/>
  </si>
  <si>
    <r>
      <rPr>
        <sz val="11"/>
        <color indexed="8"/>
        <rFont val="宋体"/>
        <family val="3"/>
        <charset val="134"/>
      </rPr>
      <t>地上</t>
    </r>
    <phoneticPr fontId="4" type="noConversion"/>
  </si>
  <si>
    <r>
      <t>1.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</si>
  <si>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住宅</t>
    </r>
    <phoneticPr fontId="4" type="noConversion"/>
  </si>
  <si>
    <r>
      <rPr>
        <sz val="11"/>
        <color indexed="8"/>
        <rFont val="宋体"/>
        <family val="3"/>
        <charset val="134"/>
      </rPr>
      <t>非住宅</t>
    </r>
    <phoneticPr fontId="4" type="noConversion"/>
  </si>
  <si>
    <r>
      <rPr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</si>
  <si>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</si>
  <si>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自定义容积率</t>
    </r>
    <phoneticPr fontId="4" type="noConversion"/>
  </si>
  <si>
    <r>
      <t>2.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</si>
  <si>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计出让部分</t>
    </r>
    <phoneticPr fontId="4" type="noConversion"/>
  </si>
  <si>
    <r>
      <rPr>
        <sz val="11"/>
        <color indexed="8"/>
        <rFont val="宋体"/>
        <family val="3"/>
        <charset val="134"/>
      </rPr>
      <t>地上经营性用途</t>
    </r>
    <phoneticPr fontId="4" type="noConversion"/>
  </si>
  <si>
    <r>
      <rPr>
        <sz val="11"/>
        <color indexed="8"/>
        <rFont val="宋体"/>
        <family val="3"/>
        <charset val="134"/>
      </rPr>
      <t>地上其他</t>
    </r>
    <phoneticPr fontId="4" type="noConversion"/>
  </si>
  <si>
    <r>
      <rPr>
        <sz val="11"/>
        <color indexed="8"/>
        <rFont val="宋体"/>
        <family val="3"/>
        <charset val="134"/>
      </rPr>
      <t>地下商业</t>
    </r>
    <phoneticPr fontId="4" type="noConversion"/>
  </si>
  <si>
    <r>
      <rPr>
        <sz val="11"/>
        <color indexed="8"/>
        <rFont val="宋体"/>
        <family val="3"/>
        <charset val="134"/>
      </rPr>
      <t>地下办公（含物业）</t>
    </r>
    <phoneticPr fontId="4" type="noConversion"/>
  </si>
  <si>
    <r>
      <rPr>
        <sz val="11"/>
        <color indexed="8"/>
        <rFont val="宋体"/>
        <family val="3"/>
        <charset val="134"/>
      </rPr>
      <t>地下仓储</t>
    </r>
    <phoneticPr fontId="4" type="noConversion"/>
  </si>
  <si>
    <r>
      <rPr>
        <sz val="11"/>
        <color indexed="8"/>
        <rFont val="宋体"/>
        <family val="3"/>
        <charset val="134"/>
      </rPr>
      <t>地下车库（除商业、办公）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</si>
  <si>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商业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</si>
  <si>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办公</t>
    </r>
    <phoneticPr fontId="4" type="noConversion"/>
  </si>
  <si>
    <r>
      <rPr>
        <sz val="11"/>
        <color indexed="8"/>
        <rFont val="宋体"/>
        <family val="3"/>
        <charset val="134"/>
      </rPr>
      <t>小计</t>
    </r>
    <phoneticPr fontId="4" type="noConversion"/>
  </si>
  <si>
    <r>
      <rPr>
        <b/>
        <sz val="11"/>
        <color indexed="8"/>
        <rFont val="宋体"/>
        <family val="3"/>
        <charset val="134"/>
      </rPr>
      <t>分摊非经营性用途用房</t>
    </r>
    <phoneticPr fontId="4" type="noConversion"/>
  </si>
  <si>
    <r>
      <t>3.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</si>
  <si>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类别</t>
    </r>
    <phoneticPr fontId="4" type="noConversion"/>
  </si>
  <si>
    <r>
      <rPr>
        <sz val="11"/>
        <color indexed="8"/>
        <rFont val="宋体"/>
        <family val="3"/>
        <charset val="134"/>
      </rPr>
      <t>项目类型</t>
    </r>
    <phoneticPr fontId="4" type="noConversion"/>
  </si>
  <si>
    <r>
      <rPr>
        <b/>
        <sz val="11"/>
        <color indexed="8"/>
        <rFont val="宋体"/>
        <family val="3"/>
        <charset val="134"/>
      </rPr>
      <t>分摊原则：</t>
    </r>
    <phoneticPr fontId="4" type="noConversion"/>
  </si>
  <si>
    <r>
      <rPr>
        <b/>
        <sz val="11"/>
        <color indexed="8"/>
        <rFont val="宋体"/>
        <family val="3"/>
        <charset val="134"/>
      </rPr>
      <t>按面积比例</t>
    </r>
  </si>
  <si>
    <r>
      <rPr>
        <sz val="11"/>
        <color indexed="8"/>
        <rFont val="宋体"/>
        <family val="3"/>
        <charset val="134"/>
      </rPr>
      <t>按面积比例分摊</t>
    </r>
    <phoneticPr fontId="4" type="noConversion"/>
  </si>
  <si>
    <r>
      <rPr>
        <sz val="11"/>
        <color indexed="8"/>
        <rFont val="宋体"/>
        <family val="3"/>
        <charset val="134"/>
      </rPr>
      <t>自定义分摊</t>
    </r>
    <phoneticPr fontId="4" type="noConversion"/>
  </si>
  <si>
    <r>
      <rPr>
        <sz val="11"/>
        <color indexed="8"/>
        <rFont val="宋体"/>
        <family val="3"/>
        <charset val="134"/>
      </rPr>
      <t>面积加总（含分摊非经营）</t>
    </r>
    <phoneticPr fontId="4" type="noConversion"/>
  </si>
  <si>
    <r>
      <rPr>
        <sz val="11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</si>
  <si>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地下</t>
    </r>
    <phoneticPr fontId="4" type="noConversion"/>
  </si>
  <si>
    <r>
      <rPr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</si>
  <si>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</si>
  <si>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设备</t>
    </r>
    <phoneticPr fontId="4" type="noConversion"/>
  </si>
  <si>
    <r>
      <rPr>
        <sz val="11"/>
        <color indexed="8"/>
        <rFont val="宋体"/>
        <family val="3"/>
        <charset val="134"/>
      </rPr>
      <t>公共配套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住宅</t>
    </r>
    <r>
      <rPr>
        <sz val="11"/>
        <color indexed="8"/>
        <rFont val="Arial"/>
        <family val="2"/>
      </rPr>
      <t>)</t>
    </r>
    <phoneticPr fontId="4" type="noConversion"/>
  </si>
  <si>
    <r>
      <rPr>
        <sz val="11"/>
        <color indexed="8"/>
        <rFont val="宋体"/>
        <family val="3"/>
        <charset val="134"/>
      </rPr>
      <t>合</t>
    </r>
    <phoneticPr fontId="4" type="noConversion"/>
  </si>
  <si>
    <r>
      <rPr>
        <sz val="11"/>
        <color indexed="8"/>
        <rFont val="宋体"/>
        <family val="3"/>
        <charset val="134"/>
      </rPr>
      <t>经营性</t>
    </r>
  </si>
  <si>
    <t>商业</t>
    <phoneticPr fontId="4" type="noConversion"/>
  </si>
  <si>
    <r>
      <rPr>
        <sz val="11"/>
        <color indexed="8"/>
        <rFont val="宋体"/>
        <family val="3"/>
        <charset val="134"/>
      </rPr>
      <t>经营性</t>
    </r>
    <phoneticPr fontId="4" type="noConversion"/>
  </si>
  <si>
    <t>办公</t>
    <phoneticPr fontId="4" type="noConversion"/>
  </si>
  <si>
    <t>酒店</t>
    <phoneticPr fontId="4" type="noConversion"/>
  </si>
  <si>
    <t>车库</t>
    <phoneticPr fontId="4" type="noConversion"/>
  </si>
  <si>
    <t>库房</t>
    <phoneticPr fontId="4" type="noConversion"/>
  </si>
  <si>
    <r>
      <rPr>
        <b/>
        <sz val="11"/>
        <color indexed="8"/>
        <rFont val="宋体"/>
        <family val="3"/>
        <charset val="134"/>
      </rPr>
      <t>小计</t>
    </r>
    <phoneticPr fontId="4" type="noConversion"/>
  </si>
  <si>
    <r>
      <rPr>
        <sz val="11"/>
        <color indexed="8"/>
        <rFont val="宋体"/>
        <family val="3"/>
        <charset val="134"/>
      </rPr>
      <t>非经营性</t>
    </r>
    <phoneticPr fontId="4" type="noConversion"/>
  </si>
  <si>
    <r>
      <rPr>
        <sz val="11"/>
        <color indexed="8"/>
        <rFont val="宋体"/>
        <family val="3"/>
        <charset val="134"/>
      </rPr>
      <t>设备及其他</t>
    </r>
    <phoneticPr fontId="4" type="noConversion"/>
  </si>
  <si>
    <r>
      <rPr>
        <sz val="11"/>
        <color indexed="8"/>
        <rFont val="宋体"/>
        <family val="3"/>
        <charset val="134"/>
      </rPr>
      <t>公共配套及物业（住宅）</t>
    </r>
    <phoneticPr fontId="4" type="noConversion"/>
  </si>
  <si>
    <r>
      <rPr>
        <b/>
        <sz val="11"/>
        <color indexed="8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</si>
  <si>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住宅用房合计</t>
    </r>
    <phoneticPr fontId="4" type="noConversion"/>
  </si>
  <si>
    <t>用途</t>
    <phoneticPr fontId="109" type="noConversion"/>
  </si>
  <si>
    <t>面积</t>
    <phoneticPr fontId="109" type="noConversion"/>
  </si>
  <si>
    <t>单价</t>
    <phoneticPr fontId="109" type="noConversion"/>
  </si>
  <si>
    <t>总价</t>
    <phoneticPr fontId="109" type="noConversion"/>
  </si>
  <si>
    <t>序号</t>
    <phoneticPr fontId="109" type="noConversion"/>
  </si>
  <si>
    <t>商业、酒店</t>
    <phoneticPr fontId="109" type="noConversion"/>
  </si>
  <si>
    <t>办公</t>
    <phoneticPr fontId="109" type="noConversion"/>
  </si>
  <si>
    <t>车库</t>
    <phoneticPr fontId="109" type="noConversion"/>
  </si>
  <si>
    <t>仓储</t>
    <phoneticPr fontId="109" type="noConversion"/>
  </si>
  <si>
    <t>合计</t>
    <phoneticPr fontId="109" type="noConversion"/>
  </si>
  <si>
    <t>城镇拆迁</t>
  </si>
  <si>
    <t>商业和特殊用房</t>
  </si>
  <si>
    <t>单价02</t>
    <phoneticPr fontId="109" type="noConversion"/>
  </si>
  <si>
    <t>总价02</t>
    <phoneticPr fontId="10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</si>
</sst>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2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2" fillId="0" borderId="0">
      <alignment vertical="center"/>
    </xf>
    <xf numFmtId="0" fontId="139" fillId="0" borderId="0">
      <alignment vertical="center"/>
    </xf>
    <xf numFmtId="0" fontId="1" fillId="0" borderId="0">
      <alignment vertical="center"/>
    </xf>
  </cellStyleXfs>
  <cellXfs count="2021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" xfId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2" fillId="5" borderId="129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29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1" xfId="8" applyFont="1" applyFill="1" applyBorder="1" applyAlignment="1" applyProtection="1">
      <alignment horizontal="center" vertical="center" wrapText="1"/>
    </xf>
    <xf numFmtId="0" fontId="152" fillId="13" borderId="132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3" xfId="8" applyFont="1" applyFill="1" applyBorder="1" applyAlignment="1" applyProtection="1">
      <alignment horizontal="center" vertical="center" wrapText="1"/>
    </xf>
    <xf numFmtId="0" fontId="152" fillId="12" borderId="134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5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6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8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0" xfId="8" applyNumberFormat="1" applyFont="1" applyFill="1" applyBorder="1" applyAlignment="1">
      <alignment horizontal="center" vertical="center" wrapText="1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0" fontId="86" fillId="13" borderId="143" xfId="8" applyFont="1" applyFill="1" applyBorder="1" applyAlignment="1">
      <alignment horizontal="center" vertical="center" wrapText="1"/>
    </xf>
    <xf numFmtId="0" fontId="86" fillId="12" borderId="142" xfId="8" applyFont="1" applyFill="1" applyBorder="1" applyAlignment="1">
      <alignment horizontal="center" vertical="center" wrapText="1"/>
    </xf>
    <xf numFmtId="0" fontId="86" fillId="12" borderId="144" xfId="8" applyFont="1" applyFill="1" applyBorder="1" applyAlignment="1">
      <alignment horizontal="center" vertical="center" wrapText="1"/>
    </xf>
    <xf numFmtId="0" fontId="85" fillId="0" borderId="139" xfId="8" applyFont="1" applyBorder="1">
      <alignment vertical="center"/>
    </xf>
    <xf numFmtId="0" fontId="86" fillId="0" borderId="139" xfId="8" applyFont="1" applyBorder="1" applyAlignment="1">
      <alignment horizontal="center" vertical="center"/>
    </xf>
    <xf numFmtId="10" fontId="85" fillId="0" borderId="139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0" borderId="149" xfId="8" applyNumberFormat="1" applyFont="1" applyBorder="1">
      <alignment vertical="center"/>
    </xf>
    <xf numFmtId="10" fontId="85" fillId="6" borderId="139" xfId="8" applyNumberFormat="1" applyFont="1" applyFill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14" borderId="139" xfId="8" applyNumberFormat="1" applyFont="1" applyFill="1" applyBorder="1">
      <alignment vertical="center"/>
    </xf>
    <xf numFmtId="10" fontId="85" fillId="14" borderId="149" xfId="8" applyNumberFormat="1" applyFont="1" applyFill="1" applyBorder="1">
      <alignment vertical="center"/>
    </xf>
    <xf numFmtId="10" fontId="85" fillId="14" borderId="151" xfId="8" applyNumberFormat="1" applyFont="1" applyFill="1" applyBorder="1">
      <alignment vertical="center"/>
    </xf>
    <xf numFmtId="180" fontId="85" fillId="0" borderId="139" xfId="8" applyNumberFormat="1" applyFont="1" applyBorder="1" applyAlignment="1">
      <alignment horizontal="center" vertical="center"/>
    </xf>
    <xf numFmtId="0" fontId="85" fillId="6" borderId="139" xfId="8" applyFont="1" applyFill="1" applyBorder="1">
      <alignment vertical="center"/>
    </xf>
    <xf numFmtId="181" fontId="85" fillId="0" borderId="139" xfId="8" applyNumberFormat="1" applyFont="1" applyBorder="1">
      <alignment vertical="center"/>
    </xf>
    <xf numFmtId="10" fontId="85" fillId="6" borderId="149" xfId="8" applyNumberFormat="1" applyFont="1" applyFill="1" applyBorder="1">
      <alignment vertical="center"/>
    </xf>
    <xf numFmtId="0" fontId="152" fillId="13" borderId="152" xfId="8" applyFont="1" applyFill="1" applyBorder="1" applyAlignment="1">
      <alignment horizontal="center" vertical="center" wrapText="1"/>
    </xf>
    <xf numFmtId="0" fontId="152" fillId="12" borderId="153" xfId="8" applyFont="1" applyFill="1" applyBorder="1" applyAlignment="1">
      <alignment horizontal="center" vertical="center" wrapText="1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39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39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0" fontId="162" fillId="5" borderId="36" xfId="0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49" fontId="156" fillId="15" borderId="1" xfId="8" applyNumberFormat="1" applyFont="1" applyFill="1" applyBorder="1" applyAlignment="1" applyProtection="1">
      <alignment horizontal="center" vertical="center" wrapText="1"/>
    </xf>
    <xf numFmtId="184" fontId="156" fillId="15" borderId="0" xfId="8" applyNumberFormat="1" applyFont="1" applyFill="1" applyAlignment="1">
      <alignment horizontal="center" vertical="center"/>
    </xf>
    <xf numFmtId="0" fontId="156" fillId="15" borderId="114" xfId="8" applyFont="1" applyFill="1" applyBorder="1" applyAlignment="1" applyProtection="1">
      <alignment horizontal="center" vertical="center" wrapText="1"/>
    </xf>
    <xf numFmtId="0" fontId="164" fillId="15" borderId="0" xfId="8" applyFont="1" applyFill="1">
      <alignment vertical="center"/>
    </xf>
    <xf numFmtId="10" fontId="156" fillId="15" borderId="139" xfId="8" applyNumberFormat="1" applyFont="1" applyFill="1" applyBorder="1">
      <alignment vertical="center"/>
    </xf>
    <xf numFmtId="10" fontId="156" fillId="15" borderId="0" xfId="8" applyNumberFormat="1" applyFont="1" applyFill="1">
      <alignment vertical="center"/>
    </xf>
    <xf numFmtId="0" fontId="164" fillId="15" borderId="0" xfId="8" applyFont="1" applyFill="1" applyAlignment="1">
      <alignment horizontal="center" vertical="center"/>
    </xf>
    <xf numFmtId="0" fontId="164" fillId="15" borderId="139" xfId="8" applyFont="1" applyFill="1" applyBorder="1" applyAlignment="1">
      <alignment horizontal="center" vertical="center"/>
    </xf>
    <xf numFmtId="0" fontId="156" fillId="15" borderId="146" xfId="8" applyFont="1" applyFill="1" applyBorder="1" applyAlignment="1" applyProtection="1">
      <alignment horizontal="center" vertical="center" wrapText="1"/>
    </xf>
    <xf numFmtId="0" fontId="143" fillId="0" borderId="0" xfId="8" applyFont="1" applyAlignment="1">
      <alignment horizontal="center" vertical="center"/>
    </xf>
    <xf numFmtId="0" fontId="86" fillId="0" borderId="0" xfId="8" applyFont="1" applyFill="1">
      <alignment vertical="center"/>
    </xf>
    <xf numFmtId="0" fontId="8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43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</xf>
    <xf numFmtId="0" fontId="86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56" fillId="15" borderId="114" xfId="9" applyFont="1" applyFill="1" applyBorder="1" applyAlignment="1" applyProtection="1">
      <alignment horizontal="center" vertical="center" wrapText="1"/>
      <protection locked="0"/>
    </xf>
    <xf numFmtId="0" fontId="156" fillId="15" borderId="119" xfId="9" applyFont="1" applyFill="1" applyBorder="1" applyAlignment="1" applyProtection="1">
      <alignment horizontal="center" vertical="center" wrapText="1"/>
      <protection locked="0"/>
    </xf>
    <xf numFmtId="0" fontId="86" fillId="0" borderId="0" xfId="8" applyFont="1" applyAlignment="1">
      <alignment horizontal="center" vertical="center"/>
    </xf>
    <xf numFmtId="0" fontId="86" fillId="16" borderId="0" xfId="8" applyFont="1" applyFill="1">
      <alignment vertical="center"/>
    </xf>
    <xf numFmtId="0" fontId="83" fillId="16" borderId="0" xfId="0" applyFont="1" applyFill="1" applyAlignment="1" applyProtection="1">
      <alignment horizontal="center" vertical="center"/>
    </xf>
    <xf numFmtId="0" fontId="17" fillId="16" borderId="0" xfId="0" applyFont="1" applyFill="1" applyAlignment="1" applyProtection="1">
      <alignment horizontal="center" vertical="center"/>
    </xf>
    <xf numFmtId="0" fontId="143" fillId="16" borderId="0" xfId="8" applyFont="1" applyFill="1" applyAlignment="1">
      <alignment horizontal="center" vertical="center"/>
    </xf>
    <xf numFmtId="0" fontId="82" fillId="16" borderId="0" xfId="0" applyFont="1" applyFill="1" applyAlignment="1" applyProtection="1">
      <alignment horizontal="center" vertical="center"/>
    </xf>
    <xf numFmtId="0" fontId="86" fillId="16" borderId="0" xfId="8" applyFont="1" applyFill="1" applyAlignment="1">
      <alignment horizontal="center" vertical="center"/>
    </xf>
    <xf numFmtId="0" fontId="143" fillId="16" borderId="0" xfId="11" applyFont="1" applyFill="1">
      <alignment vertical="center"/>
    </xf>
    <xf numFmtId="0" fontId="86" fillId="0" borderId="0" xfId="11" applyFont="1" applyFill="1">
      <alignment vertical="center"/>
    </xf>
    <xf numFmtId="0" fontId="102" fillId="6" borderId="0" xfId="11" applyFont="1" applyFill="1">
      <alignment vertical="center"/>
    </xf>
    <xf numFmtId="0" fontId="164" fillId="6" borderId="0" xfId="8" applyFont="1" applyFill="1">
      <alignment vertical="center"/>
    </xf>
    <xf numFmtId="0" fontId="164" fillId="16" borderId="0" xfId="11" applyFont="1" applyFill="1" applyBorder="1" applyAlignment="1" applyProtection="1">
      <alignment horizontal="center" vertical="center"/>
      <protection locked="0"/>
    </xf>
    <xf numFmtId="0" fontId="155" fillId="16" borderId="0" xfId="11" applyFont="1" applyFill="1">
      <alignment vertical="center"/>
    </xf>
    <xf numFmtId="184" fontId="86" fillId="12" borderId="116" xfId="9" applyNumberFormat="1" applyFont="1" applyFill="1" applyBorder="1" applyAlignment="1">
      <alignment horizontal="center" vertical="center" wrapText="1"/>
    </xf>
    <xf numFmtId="184" fontId="86" fillId="12" borderId="140" xfId="9" applyNumberFormat="1" applyFont="1" applyFill="1" applyBorder="1" applyAlignment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horizontal="center" vertical="center"/>
    </xf>
    <xf numFmtId="181" fontId="85" fillId="5" borderId="1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53" fillId="5" borderId="1" xfId="0" applyFont="1" applyFill="1" applyBorder="1" applyAlignment="1" applyProtection="1">
      <alignment vertical="center" wrapText="1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165" fillId="5" borderId="21" xfId="7" applyFont="1" applyFill="1" applyBorder="1" applyAlignment="1" applyProtection="1">
      <alignment horizontal="left" vertical="center" wrapText="1"/>
    </xf>
    <xf numFmtId="0" fontId="128" fillId="5" borderId="3" xfId="0" applyFont="1" applyFill="1" applyBorder="1" applyAlignment="1" applyProtection="1">
      <alignment vertical="center" wrapText="1"/>
    </xf>
    <xf numFmtId="0" fontId="136" fillId="5" borderId="42" xfId="0" applyFont="1" applyFill="1" applyBorder="1" applyAlignment="1" applyProtection="1">
      <alignment horizontal="center" vertical="center" wrapText="1"/>
    </xf>
    <xf numFmtId="0" fontId="136" fillId="5" borderId="68" xfId="0" applyFont="1" applyFill="1" applyBorder="1" applyAlignment="1" applyProtection="1">
      <alignment horizontal="left" vertical="center" wrapText="1"/>
    </xf>
    <xf numFmtId="0" fontId="51" fillId="5" borderId="69" xfId="0" applyFont="1" applyFill="1" applyBorder="1" applyAlignment="1" applyProtection="1">
      <alignment horizontal="center" vertical="center" wrapText="1"/>
    </xf>
    <xf numFmtId="0" fontId="111" fillId="5" borderId="69" xfId="0" applyFont="1" applyFill="1" applyBorder="1" applyAlignment="1" applyProtection="1">
      <alignment vertical="center"/>
    </xf>
    <xf numFmtId="0" fontId="136" fillId="5" borderId="40" xfId="0" applyFont="1" applyFill="1" applyBorder="1" applyAlignment="1" applyProtection="1">
      <alignment horizontal="center" vertical="center" wrapText="1"/>
    </xf>
    <xf numFmtId="0" fontId="129" fillId="5" borderId="40" xfId="0" applyFont="1" applyFill="1" applyBorder="1" applyAlignment="1" applyProtection="1">
      <alignment vertical="center" wrapText="1"/>
    </xf>
    <xf numFmtId="0" fontId="129" fillId="5" borderId="30" xfId="0" applyFont="1" applyFill="1" applyBorder="1" applyAlignment="1" applyProtection="1">
      <alignment vertical="center" wrapText="1"/>
    </xf>
    <xf numFmtId="0" fontId="111" fillId="5" borderId="29" xfId="0" applyFont="1" applyFill="1" applyBorder="1" applyAlignment="1" applyProtection="1">
      <alignment horizontal="center" vertical="center" wrapText="1"/>
    </xf>
    <xf numFmtId="0" fontId="85" fillId="5" borderId="70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left" vertical="center"/>
    </xf>
    <xf numFmtId="0" fontId="53" fillId="5" borderId="69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70" xfId="0" applyFont="1" applyFill="1" applyBorder="1" applyAlignment="1" applyProtection="1">
      <alignment horizontal="center" vertical="center" wrapText="1"/>
    </xf>
    <xf numFmtId="0" fontId="111" fillId="5" borderId="44" xfId="0" applyFont="1" applyFill="1" applyBorder="1" applyAlignment="1" applyProtection="1">
      <alignment horizontal="center" vertical="center" wrapText="1"/>
    </xf>
    <xf numFmtId="0" fontId="111" fillId="6" borderId="59" xfId="0" applyFont="1" applyFill="1" applyBorder="1" applyAlignment="1" applyProtection="1">
      <alignment horizontal="right" vertical="center" wrapText="1"/>
      <protection locked="0"/>
    </xf>
    <xf numFmtId="0" fontId="111" fillId="5" borderId="54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57" fillId="17" borderId="59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92" fillId="0" borderId="0" xfId="13" applyFont="1">
      <alignment vertical="center"/>
    </xf>
    <xf numFmtId="49" fontId="92" fillId="0" borderId="0" xfId="13" applyNumberFormat="1" applyFont="1">
      <alignment vertical="center"/>
    </xf>
    <xf numFmtId="0" fontId="92" fillId="0" borderId="1" xfId="13" applyFont="1" applyBorder="1" applyAlignment="1">
      <alignment horizontal="center" vertical="center"/>
    </xf>
    <xf numFmtId="49" fontId="92" fillId="0" borderId="1" xfId="13" applyNumberFormat="1" applyFont="1" applyBorder="1" applyAlignment="1">
      <alignment horizontal="center" vertical="center"/>
    </xf>
    <xf numFmtId="0" fontId="92" fillId="0" borderId="0" xfId="13" applyFont="1" applyBorder="1" applyAlignment="1">
      <alignment horizontal="center" vertical="center"/>
    </xf>
    <xf numFmtId="49" fontId="92" fillId="0" borderId="0" xfId="13" applyNumberFormat="1" applyFont="1" applyBorder="1" applyAlignment="1">
      <alignment horizontal="center" vertical="center"/>
    </xf>
    <xf numFmtId="0" fontId="92" fillId="0" borderId="0" xfId="13" applyNumberFormat="1" applyFont="1" applyBorder="1" applyAlignment="1">
      <alignment horizontal="center" vertical="center"/>
    </xf>
    <xf numFmtId="0" fontId="92" fillId="0" borderId="0" xfId="13" applyFont="1" applyAlignment="1">
      <alignment horizontal="center" vertical="center"/>
    </xf>
    <xf numFmtId="0" fontId="92" fillId="0" borderId="0" xfId="13" applyNumberFormat="1" applyFont="1">
      <alignment vertical="center"/>
    </xf>
    <xf numFmtId="0" fontId="87" fillId="5" borderId="0" xfId="13" applyFont="1" applyFill="1" applyProtection="1">
      <alignment vertical="center"/>
    </xf>
    <xf numFmtId="0" fontId="47" fillId="5" borderId="0" xfId="13" applyFont="1" applyFill="1" applyProtection="1">
      <alignment vertical="center"/>
      <protection locked="0"/>
    </xf>
    <xf numFmtId="0" fontId="47" fillId="0" borderId="0" xfId="13" applyFont="1" applyProtection="1">
      <alignment vertical="center"/>
      <protection locked="0"/>
    </xf>
    <xf numFmtId="0" fontId="48" fillId="5" borderId="1" xfId="13" applyFont="1" applyFill="1" applyBorder="1" applyAlignment="1" applyProtection="1">
      <alignment horizontal="center" vertical="center"/>
    </xf>
    <xf numFmtId="176" fontId="51" fillId="5" borderId="1" xfId="1" applyNumberFormat="1" applyFont="1" applyFill="1" applyBorder="1" applyAlignment="1" applyProtection="1">
      <alignment horizontal="center" vertical="center"/>
    </xf>
    <xf numFmtId="0" fontId="47" fillId="5" borderId="2" xfId="13" applyFont="1" applyFill="1" applyBorder="1" applyProtection="1">
      <alignment vertical="center"/>
    </xf>
    <xf numFmtId="0" fontId="47" fillId="5" borderId="50" xfId="13" applyFont="1" applyFill="1" applyBorder="1" applyProtection="1">
      <alignment vertical="center"/>
    </xf>
    <xf numFmtId="0" fontId="48" fillId="5" borderId="3" xfId="13" applyFont="1" applyFill="1" applyBorder="1" applyAlignment="1" applyProtection="1">
      <alignment horizontal="center" vertical="center"/>
    </xf>
    <xf numFmtId="0" fontId="47" fillId="5" borderId="0" xfId="13" applyFont="1" applyFill="1" applyAlignment="1" applyProtection="1">
      <alignment horizontal="center" vertical="center"/>
      <protection locked="0"/>
    </xf>
    <xf numFmtId="0" fontId="48" fillId="5" borderId="18" xfId="13" applyFont="1" applyFill="1" applyBorder="1" applyAlignment="1" applyProtection="1">
      <alignment vertical="center"/>
    </xf>
    <xf numFmtId="0" fontId="47" fillId="5" borderId="18" xfId="13" applyFont="1" applyFill="1" applyBorder="1" applyProtection="1">
      <alignment vertical="center"/>
    </xf>
    <xf numFmtId="0" fontId="47" fillId="5" borderId="1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center" vertical="center"/>
    </xf>
    <xf numFmtId="0" fontId="48" fillId="5" borderId="11" xfId="13" applyFont="1" applyFill="1" applyBorder="1" applyAlignment="1" applyProtection="1">
      <alignment horizontal="center" vertical="center"/>
    </xf>
    <xf numFmtId="176" fontId="51" fillId="5" borderId="31" xfId="1" applyNumberFormat="1" applyFont="1" applyFill="1" applyBorder="1" applyAlignment="1" applyProtection="1">
      <alignment horizontal="center" vertical="center"/>
    </xf>
    <xf numFmtId="0" fontId="47" fillId="5" borderId="17" xfId="13" applyFont="1" applyFill="1" applyBorder="1" applyProtection="1">
      <alignment vertical="center"/>
    </xf>
    <xf numFmtId="0" fontId="47" fillId="5" borderId="16" xfId="13" applyFont="1" applyFill="1" applyBorder="1" applyAlignment="1" applyProtection="1">
      <alignment vertical="center"/>
    </xf>
    <xf numFmtId="0" fontId="47" fillId="5" borderId="1" xfId="13" applyFont="1" applyFill="1" applyBorder="1" applyAlignment="1" applyProtection="1">
      <alignment vertical="center"/>
    </xf>
    <xf numFmtId="176" fontId="47" fillId="5" borderId="6" xfId="13" applyNumberFormat="1" applyFont="1" applyFill="1" applyBorder="1" applyAlignment="1" applyProtection="1">
      <alignment vertical="center"/>
    </xf>
    <xf numFmtId="0" fontId="47" fillId="5" borderId="42" xfId="13" applyFont="1" applyFill="1" applyBorder="1" applyAlignment="1" applyProtection="1">
      <alignment vertical="center"/>
    </xf>
    <xf numFmtId="0" fontId="47" fillId="5" borderId="48" xfId="13" applyFont="1" applyFill="1" applyBorder="1" applyProtection="1">
      <alignment vertical="center"/>
    </xf>
    <xf numFmtId="0" fontId="47" fillId="5" borderId="18" xfId="13" applyFont="1" applyFill="1" applyBorder="1" applyAlignment="1" applyProtection="1">
      <alignment horizontal="center" vertical="center"/>
    </xf>
    <xf numFmtId="176" fontId="48" fillId="5" borderId="31" xfId="1" applyNumberFormat="1" applyFont="1" applyFill="1" applyBorder="1" applyAlignment="1" applyProtection="1">
      <alignment horizontal="center" vertical="center"/>
    </xf>
    <xf numFmtId="0" fontId="47" fillId="5" borderId="3" xfId="13" applyFont="1" applyFill="1" applyBorder="1" applyProtection="1">
      <alignment vertical="center"/>
    </xf>
    <xf numFmtId="0" fontId="47" fillId="0" borderId="1" xfId="13" applyFont="1" applyFill="1" applyBorder="1" applyAlignment="1" applyProtection="1">
      <alignment horizontal="center" vertical="center"/>
      <protection locked="0"/>
    </xf>
    <xf numFmtId="0" fontId="47" fillId="5" borderId="18" xfId="13" applyFont="1" applyFill="1" applyBorder="1" applyAlignment="1" applyProtection="1">
      <alignment vertical="center"/>
    </xf>
    <xf numFmtId="0" fontId="47" fillId="5" borderId="6" xfId="13" applyFont="1" applyFill="1" applyBorder="1" applyAlignment="1" applyProtection="1">
      <alignment vertical="center"/>
    </xf>
    <xf numFmtId="0" fontId="47" fillId="5" borderId="0" xfId="13" applyFont="1" applyFill="1" applyBorder="1" applyProtection="1">
      <alignment vertical="center"/>
      <protection locked="0"/>
    </xf>
    <xf numFmtId="0" fontId="47" fillId="5" borderId="26" xfId="13" applyFont="1" applyFill="1" applyBorder="1" applyAlignment="1" applyProtection="1">
      <alignment vertical="center"/>
    </xf>
    <xf numFmtId="0" fontId="47" fillId="5" borderId="48" xfId="13" applyFont="1" applyFill="1" applyBorder="1" applyAlignment="1" applyProtection="1">
      <alignment vertical="center"/>
    </xf>
    <xf numFmtId="0" fontId="47" fillId="0" borderId="6" xfId="13" applyFont="1" applyFill="1" applyBorder="1" applyAlignment="1" applyProtection="1">
      <alignment vertical="center"/>
      <protection locked="0"/>
    </xf>
    <xf numFmtId="0" fontId="47" fillId="5" borderId="56" xfId="13" applyFont="1" applyFill="1" applyBorder="1" applyAlignment="1" applyProtection="1">
      <alignment vertical="center"/>
    </xf>
    <xf numFmtId="0" fontId="48" fillId="5" borderId="45" xfId="13" applyFont="1" applyFill="1" applyBorder="1" applyProtection="1">
      <alignment vertical="center"/>
    </xf>
    <xf numFmtId="0" fontId="47" fillId="5" borderId="38" xfId="13" applyFont="1" applyFill="1" applyBorder="1" applyProtection="1">
      <alignment vertical="center"/>
    </xf>
    <xf numFmtId="0" fontId="47" fillId="5" borderId="5" xfId="13" applyFont="1" applyFill="1" applyBorder="1" applyAlignment="1" applyProtection="1">
      <alignment vertical="center"/>
    </xf>
    <xf numFmtId="0" fontId="47" fillId="5" borderId="55" xfId="13" applyFont="1" applyFill="1" applyBorder="1" applyProtection="1">
      <alignment vertical="center"/>
    </xf>
    <xf numFmtId="0" fontId="47" fillId="5" borderId="37" xfId="13" applyFont="1" applyFill="1" applyBorder="1" applyAlignment="1" applyProtection="1">
      <alignment vertical="center"/>
    </xf>
    <xf numFmtId="0" fontId="48" fillId="5" borderId="55" xfId="13" applyFont="1" applyFill="1" applyBorder="1" applyAlignment="1" applyProtection="1">
      <alignment horizontal="center" vertical="center"/>
    </xf>
    <xf numFmtId="176" fontId="51" fillId="5" borderId="12" xfId="1" applyNumberFormat="1" applyFont="1" applyFill="1" applyBorder="1" applyAlignment="1" applyProtection="1">
      <alignment horizontal="center" vertical="center"/>
    </xf>
    <xf numFmtId="176" fontId="51" fillId="5" borderId="46" xfId="1" applyNumberFormat="1" applyFont="1" applyFill="1" applyBorder="1" applyAlignment="1" applyProtection="1">
      <alignment horizontal="center" vertical="center"/>
    </xf>
    <xf numFmtId="176" fontId="51" fillId="5" borderId="38" xfId="1" applyNumberFormat="1" applyFont="1" applyFill="1" applyBorder="1" applyAlignment="1" applyProtection="1">
      <alignment horizontal="center" vertical="center"/>
    </xf>
    <xf numFmtId="0" fontId="48" fillId="5" borderId="95" xfId="13" applyFont="1" applyFill="1" applyBorder="1" applyAlignment="1" applyProtection="1">
      <alignment horizontal="right" vertical="center"/>
    </xf>
    <xf numFmtId="179" fontId="48" fillId="2" borderId="6" xfId="13" applyNumberFormat="1" applyFont="1" applyFill="1" applyBorder="1" applyAlignment="1" applyProtection="1">
      <alignment horizontal="center" vertical="center"/>
      <protection locked="0"/>
    </xf>
    <xf numFmtId="0" fontId="47" fillId="5" borderId="17" xfId="13" applyFont="1" applyFill="1" applyBorder="1" applyAlignment="1" applyProtection="1">
      <alignment vertical="center"/>
    </xf>
    <xf numFmtId="0" fontId="47" fillId="5" borderId="0" xfId="13" applyFont="1" applyFill="1" applyBorder="1" applyAlignment="1" applyProtection="1">
      <alignment vertical="center"/>
    </xf>
    <xf numFmtId="0" fontId="48" fillId="5" borderId="17" xfId="13" applyFont="1" applyFill="1" applyBorder="1" applyAlignment="1" applyProtection="1">
      <alignment horizontal="center" vertical="center"/>
    </xf>
    <xf numFmtId="176" fontId="52" fillId="5" borderId="17" xfId="1" applyNumberFormat="1" applyFont="1" applyFill="1" applyBorder="1" applyAlignment="1" applyProtection="1">
      <alignment horizontal="center" vertical="center"/>
    </xf>
    <xf numFmtId="0" fontId="47" fillId="5" borderId="24" xfId="13" applyFont="1" applyFill="1" applyBorder="1" applyAlignment="1" applyProtection="1">
      <alignment horizontal="center" vertical="center"/>
    </xf>
    <xf numFmtId="0" fontId="47" fillId="5" borderId="34" xfId="13" applyFont="1" applyFill="1" applyBorder="1" applyAlignment="1" applyProtection="1">
      <alignment horizontal="center" vertical="center"/>
    </xf>
    <xf numFmtId="0" fontId="47" fillId="5" borderId="7" xfId="13" applyFont="1" applyFill="1" applyBorder="1" applyAlignment="1" applyProtection="1">
      <alignment horizontal="center" vertical="center"/>
    </xf>
    <xf numFmtId="179" fontId="47" fillId="5" borderId="6" xfId="13" applyNumberFormat="1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left" vertical="center"/>
    </xf>
    <xf numFmtId="0" fontId="47" fillId="5" borderId="6" xfId="13" applyFont="1" applyFill="1" applyBorder="1" applyAlignment="1" applyProtection="1">
      <alignment horizontal="center" vertical="center"/>
    </xf>
    <xf numFmtId="0" fontId="47" fillId="5" borderId="39" xfId="13" applyFont="1" applyFill="1" applyBorder="1" applyProtection="1">
      <alignment vertical="center"/>
    </xf>
    <xf numFmtId="177" fontId="68" fillId="0" borderId="1" xfId="1" applyNumberFormat="1" applyFont="1" applyFill="1" applyBorder="1" applyAlignment="1" applyProtection="1">
      <alignment vertical="center"/>
      <protection locked="0" hidden="1"/>
    </xf>
    <xf numFmtId="176" fontId="47" fillId="5" borderId="1" xfId="13" applyNumberFormat="1" applyFont="1" applyFill="1" applyBorder="1" applyAlignment="1" applyProtection="1">
      <alignment vertical="center"/>
    </xf>
    <xf numFmtId="0" fontId="49" fillId="3" borderId="3" xfId="13" applyFont="1" applyFill="1" applyBorder="1" applyProtection="1">
      <alignment vertical="center"/>
      <protection locked="0"/>
    </xf>
    <xf numFmtId="0" fontId="49" fillId="3" borderId="6" xfId="13" applyFont="1" applyFill="1" applyBorder="1" applyProtection="1">
      <alignment vertical="center"/>
      <protection locked="0"/>
    </xf>
    <xf numFmtId="0" fontId="47" fillId="5" borderId="7" xfId="13" applyFont="1" applyFill="1" applyBorder="1" applyAlignment="1" applyProtection="1">
      <alignment vertical="center"/>
    </xf>
    <xf numFmtId="0" fontId="47" fillId="5" borderId="7" xfId="13" applyFont="1" applyFill="1" applyBorder="1" applyProtection="1">
      <alignment vertical="center"/>
    </xf>
    <xf numFmtId="0" fontId="47" fillId="5" borderId="6" xfId="13" applyFont="1" applyFill="1" applyBorder="1" applyProtection="1">
      <alignment vertical="center"/>
    </xf>
    <xf numFmtId="0" fontId="47" fillId="0" borderId="7" xfId="13" applyFont="1" applyBorder="1" applyProtection="1">
      <alignment vertical="center"/>
      <protection locked="0"/>
    </xf>
    <xf numFmtId="0" fontId="47" fillId="0" borderId="1" xfId="13" applyFont="1" applyBorder="1" applyProtection="1">
      <alignment vertical="center"/>
      <protection locked="0"/>
    </xf>
    <xf numFmtId="176" fontId="47" fillId="5" borderId="1" xfId="13" applyNumberFormat="1" applyFont="1" applyFill="1" applyBorder="1" applyProtection="1">
      <alignment vertical="center"/>
    </xf>
    <xf numFmtId="0" fontId="47" fillId="5" borderId="39" xfId="13" applyFont="1" applyFill="1" applyBorder="1" applyAlignment="1" applyProtection="1">
      <alignment vertical="center"/>
    </xf>
    <xf numFmtId="177" fontId="139" fillId="0" borderId="1" xfId="1" applyNumberFormat="1" applyFont="1" applyFill="1" applyBorder="1" applyAlignment="1" applyProtection="1">
      <alignment vertical="center"/>
      <protection locked="0"/>
    </xf>
    <xf numFmtId="0" fontId="47" fillId="3" borderId="27" xfId="13" applyFont="1" applyFill="1" applyBorder="1" applyProtection="1">
      <alignment vertical="center"/>
      <protection locked="0"/>
    </xf>
    <xf numFmtId="0" fontId="47" fillId="3" borderId="56" xfId="13" applyFont="1" applyFill="1" applyBorder="1" applyProtection="1">
      <alignment vertical="center"/>
      <protection locked="0"/>
    </xf>
    <xf numFmtId="177" fontId="47" fillId="0" borderId="1" xfId="1" applyNumberFormat="1" applyFont="1" applyFill="1" applyBorder="1" applyAlignment="1" applyProtection="1">
      <alignment vertical="center"/>
      <protection locked="0"/>
    </xf>
    <xf numFmtId="177" fontId="47" fillId="0" borderId="3" xfId="1" applyNumberFormat="1" applyFont="1" applyFill="1" applyBorder="1" applyAlignment="1" applyProtection="1">
      <alignment vertical="center"/>
      <protection locked="0"/>
    </xf>
    <xf numFmtId="0" fontId="47" fillId="5" borderId="16" xfId="13" applyFont="1" applyFill="1" applyBorder="1" applyProtection="1">
      <alignment vertical="center"/>
    </xf>
    <xf numFmtId="0" fontId="47" fillId="5" borderId="56" xfId="13" applyFont="1" applyFill="1" applyBorder="1" applyProtection="1">
      <alignment vertical="center"/>
    </xf>
    <xf numFmtId="0" fontId="47" fillId="0" borderId="16" xfId="13" applyFont="1" applyBorder="1" applyProtection="1">
      <alignment vertical="center"/>
      <protection locked="0"/>
    </xf>
    <xf numFmtId="0" fontId="47" fillId="0" borderId="18" xfId="13" applyFont="1" applyBorder="1" applyProtection="1">
      <alignment vertical="center"/>
      <protection locked="0"/>
    </xf>
    <xf numFmtId="0" fontId="48" fillId="5" borderId="3" xfId="13" applyFont="1" applyFill="1" applyBorder="1" applyAlignment="1" applyProtection="1">
      <alignment horizontal="left" vertical="center"/>
    </xf>
    <xf numFmtId="176" fontId="48" fillId="5" borderId="1" xfId="13" applyNumberFormat="1" applyFont="1" applyFill="1" applyBorder="1" applyAlignment="1" applyProtection="1">
      <alignment vertical="center"/>
    </xf>
    <xf numFmtId="176" fontId="48" fillId="5" borderId="1" xfId="13" applyNumberFormat="1" applyFont="1" applyFill="1" applyBorder="1" applyAlignment="1" applyProtection="1">
      <alignment horizontal="center" vertical="center"/>
    </xf>
    <xf numFmtId="176" fontId="48" fillId="5" borderId="6" xfId="13" applyNumberFormat="1" applyFont="1" applyFill="1" applyBorder="1" applyAlignment="1" applyProtection="1">
      <alignment vertical="center"/>
    </xf>
    <xf numFmtId="176" fontId="48" fillId="5" borderId="8" xfId="13" applyNumberFormat="1" applyFont="1" applyFill="1" applyBorder="1" applyAlignment="1" applyProtection="1">
      <alignment vertical="center"/>
    </xf>
    <xf numFmtId="176" fontId="48" fillId="5" borderId="70" xfId="13" applyNumberFormat="1" applyFont="1" applyFill="1" applyBorder="1" applyAlignment="1" applyProtection="1">
      <alignment vertical="center"/>
    </xf>
    <xf numFmtId="0" fontId="48" fillId="5" borderId="8" xfId="13" applyFont="1" applyFill="1" applyBorder="1" applyProtection="1">
      <alignment vertical="center"/>
    </xf>
    <xf numFmtId="0" fontId="48" fillId="5" borderId="59" xfId="13" applyFont="1" applyFill="1" applyBorder="1" applyProtection="1">
      <alignment vertical="center"/>
    </xf>
    <xf numFmtId="0" fontId="48" fillId="5" borderId="43" xfId="13" applyFont="1" applyFill="1" applyBorder="1" applyProtection="1">
      <alignment vertical="center"/>
    </xf>
    <xf numFmtId="0" fontId="47" fillId="5" borderId="43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right" vertical="center" wrapText="1"/>
    </xf>
    <xf numFmtId="0" fontId="47" fillId="5" borderId="3" xfId="13" applyFont="1" applyFill="1" applyBorder="1" applyAlignment="1" applyProtection="1">
      <alignment vertical="center"/>
    </xf>
    <xf numFmtId="0" fontId="47" fillId="5" borderId="41" xfId="13" applyFont="1" applyFill="1" applyBorder="1" applyProtection="1">
      <alignment vertical="center"/>
    </xf>
    <xf numFmtId="0" fontId="47" fillId="5" borderId="3" xfId="13" applyFont="1" applyFill="1" applyBorder="1" applyAlignment="1" applyProtection="1">
      <alignment horizontal="left" vertical="center"/>
    </xf>
    <xf numFmtId="0" fontId="47" fillId="5" borderId="27" xfId="13" applyFont="1" applyFill="1" applyBorder="1" applyProtection="1">
      <alignment vertical="center"/>
    </xf>
    <xf numFmtId="0" fontId="48" fillId="5" borderId="27" xfId="13" applyFont="1" applyFill="1" applyBorder="1" applyAlignment="1" applyProtection="1">
      <alignment horizontal="left" vertical="center"/>
    </xf>
    <xf numFmtId="0" fontId="47" fillId="5" borderId="29" xfId="13" applyFont="1" applyFill="1" applyBorder="1" applyAlignment="1" applyProtection="1">
      <alignment vertical="center"/>
    </xf>
    <xf numFmtId="0" fontId="47" fillId="5" borderId="44" xfId="13" applyFont="1" applyFill="1" applyBorder="1" applyProtection="1">
      <alignment vertical="center"/>
    </xf>
    <xf numFmtId="0" fontId="48" fillId="5" borderId="59" xfId="13" applyFont="1" applyFill="1" applyBorder="1" applyAlignment="1" applyProtection="1">
      <alignment vertical="center"/>
    </xf>
    <xf numFmtId="179" fontId="48" fillId="5" borderId="54" xfId="13" applyNumberFormat="1" applyFont="1" applyFill="1" applyBorder="1" applyAlignment="1" applyProtection="1">
      <alignment vertical="center"/>
    </xf>
    <xf numFmtId="179" fontId="48" fillId="5" borderId="59" xfId="13" applyNumberFormat="1" applyFont="1" applyFill="1" applyBorder="1" applyAlignment="1" applyProtection="1">
      <alignment vertical="center"/>
    </xf>
    <xf numFmtId="179" fontId="48" fillId="5" borderId="43" xfId="13" applyNumberFormat="1" applyFont="1" applyFill="1" applyBorder="1" applyAlignment="1" applyProtection="1">
      <alignment vertical="center"/>
    </xf>
    <xf numFmtId="179" fontId="47" fillId="5" borderId="17" xfId="13" applyNumberFormat="1" applyFont="1" applyFill="1" applyBorder="1" applyProtection="1">
      <alignment vertical="center"/>
    </xf>
    <xf numFmtId="176" fontId="47" fillId="0" borderId="0" xfId="13" applyNumberFormat="1" applyFont="1" applyProtection="1">
      <alignment vertical="center"/>
      <protection locked="0"/>
    </xf>
    <xf numFmtId="0" fontId="7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6" fillId="0" borderId="1" xfId="0" applyFont="1" applyBorder="1" applyAlignment="1">
      <alignment horizontal="center" vertical="center"/>
    </xf>
    <xf numFmtId="0" fontId="76" fillId="0" borderId="48" xfId="0" applyFont="1" applyFill="1" applyBorder="1" applyAlignment="1">
      <alignment horizontal="left" vertical="center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48" fillId="5" borderId="22" xfId="13" applyFont="1" applyFill="1" applyBorder="1" applyAlignment="1" applyProtection="1">
      <alignment horizontal="center" vertical="center"/>
    </xf>
    <xf numFmtId="0" fontId="48" fillId="5" borderId="55" xfId="13" applyFont="1" applyFill="1" applyBorder="1" applyAlignment="1" applyProtection="1">
      <alignment horizontal="center" vertical="center"/>
    </xf>
    <xf numFmtId="0" fontId="48" fillId="5" borderId="57" xfId="13" applyFont="1" applyFill="1" applyBorder="1" applyAlignment="1" applyProtection="1">
      <alignment horizontal="center" vertical="center"/>
    </xf>
    <xf numFmtId="0" fontId="47" fillId="5" borderId="4" xfId="13" applyFont="1" applyFill="1" applyBorder="1" applyAlignment="1" applyProtection="1">
      <alignment horizontal="center" vertical="center"/>
    </xf>
    <xf numFmtId="0" fontId="47" fillId="5" borderId="11" xfId="13" applyFont="1" applyFill="1" applyBorder="1" applyAlignment="1" applyProtection="1">
      <alignment horizontal="center" vertical="center"/>
    </xf>
    <xf numFmtId="0" fontId="47" fillId="5" borderId="31" xfId="13" applyFont="1" applyFill="1" applyBorder="1" applyAlignment="1" applyProtection="1">
      <alignment horizontal="center" vertical="center"/>
    </xf>
    <xf numFmtId="0" fontId="48" fillId="5" borderId="1" xfId="13" applyFont="1" applyFill="1" applyBorder="1" applyAlignment="1" applyProtection="1">
      <alignment horizontal="center" vertical="center"/>
    </xf>
    <xf numFmtId="0" fontId="48" fillId="5" borderId="18" xfId="13" applyFont="1" applyFill="1" applyBorder="1" applyAlignment="1" applyProtection="1">
      <alignment horizontal="center" vertical="center"/>
    </xf>
    <xf numFmtId="0" fontId="48" fillId="5" borderId="45" xfId="13" applyFont="1" applyFill="1" applyBorder="1" applyAlignment="1" applyProtection="1">
      <alignment horizontal="center" vertical="center"/>
    </xf>
    <xf numFmtId="0" fontId="48" fillId="5" borderId="46" xfId="13" applyFont="1" applyFill="1" applyBorder="1" applyAlignment="1" applyProtection="1">
      <alignment horizontal="center" vertical="center"/>
    </xf>
    <xf numFmtId="0" fontId="48" fillId="5" borderId="28" xfId="13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center" vertical="center"/>
    </xf>
    <xf numFmtId="0" fontId="47" fillId="5" borderId="45" xfId="13" applyFont="1" applyFill="1" applyBorder="1" applyAlignment="1" applyProtection="1">
      <alignment horizontal="center" vertical="center"/>
    </xf>
    <xf numFmtId="0" fontId="47" fillId="5" borderId="46" xfId="13" applyFont="1" applyFill="1" applyBorder="1" applyAlignment="1" applyProtection="1">
      <alignment horizontal="center" vertical="center"/>
    </xf>
    <xf numFmtId="0" fontId="47" fillId="5" borderId="28" xfId="13" applyFont="1" applyFill="1" applyBorder="1" applyAlignment="1" applyProtection="1">
      <alignment horizontal="center" vertical="center"/>
    </xf>
    <xf numFmtId="0" fontId="92" fillId="0" borderId="1" xfId="13" applyFont="1" applyBorder="1" applyAlignment="1">
      <alignment horizontal="center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11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11" fillId="5" borderId="156" xfId="0" applyFont="1" applyFill="1" applyBorder="1" applyAlignment="1" applyProtection="1">
      <alignment horizontal="center" vertical="center" wrapText="1"/>
    </xf>
    <xf numFmtId="0" fontId="111" fillId="5" borderId="157" xfId="0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5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5" fillId="12" borderId="146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6" fillId="0" borderId="130" xfId="8" applyFont="1" applyBorder="1" applyAlignment="1">
      <alignment horizontal="center" vertical="center"/>
    </xf>
    <xf numFmtId="0" fontId="152" fillId="12" borderId="155" xfId="8" applyFont="1" applyFill="1" applyBorder="1" applyAlignment="1" applyProtection="1">
      <alignment horizontal="center" vertical="center" wrapText="1"/>
    </xf>
  </cellXfs>
  <cellStyles count="19">
    <cellStyle name="百分比 2" xfId="6" xr:uid="{00000000-0005-0000-0000-000000000000}"/>
    <cellStyle name="常规" xfId="0" builtinId="0"/>
    <cellStyle name="常规 13 2" xfId="17" xr:uid="{00000000-0005-0000-0000-000002000000}"/>
    <cellStyle name="常规 16" xfId="13" xr:uid="{00000000-0005-0000-0000-000003000000}"/>
    <cellStyle name="常规 2" xfId="1" xr:uid="{00000000-0005-0000-0000-000004000000}"/>
    <cellStyle name="常规 2 2" xfId="12" xr:uid="{00000000-0005-0000-0000-000005000000}"/>
    <cellStyle name="常规 2 2 2 2 3" xfId="7" xr:uid="{00000000-0005-0000-0000-000006000000}"/>
    <cellStyle name="常规 3" xfId="2" xr:uid="{00000000-0005-0000-0000-000007000000}"/>
    <cellStyle name="常规 3 2" xfId="3" xr:uid="{00000000-0005-0000-0000-000008000000}"/>
    <cellStyle name="常规 4" xfId="4" xr:uid="{00000000-0005-0000-0000-000009000000}"/>
    <cellStyle name="常规 5" xfId="5" xr:uid="{00000000-0005-0000-0000-00000A000000}"/>
    <cellStyle name="常规 5 6 5" xfId="18" xr:uid="{00000000-0005-0000-0000-00000B000000}"/>
    <cellStyle name="常规 6" xfId="8" xr:uid="{00000000-0005-0000-0000-00000C000000}"/>
    <cellStyle name="常规 6 2" xfId="9" xr:uid="{00000000-0005-0000-0000-00000D000000}"/>
    <cellStyle name="常规 6 2 2" xfId="11" xr:uid="{00000000-0005-0000-0000-00000E000000}"/>
    <cellStyle name="常规 6 3" xfId="14" xr:uid="{00000000-0005-0000-0000-00000F000000}"/>
    <cellStyle name="常规 7" xfId="15" xr:uid="{00000000-0005-0000-0000-000010000000}"/>
    <cellStyle name="常规 8" xfId="16" xr:uid="{00000000-0005-0000-0000-000011000000}"/>
    <cellStyle name="常规 9" xfId="10" xr:uid="{00000000-0005-0000-0000-000012000000}"/>
  </cellStyles>
  <dxfs count="2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3500;&#21147;&#25269;&#25276;&#29289;&#25104;&#26412;&#278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1150;&#208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36710;&#242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403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数据-汇总表"/>
      <sheetName val="面积新"/>
      <sheetName val="面积"/>
      <sheetName val="租金台账"/>
      <sheetName val="抵押物清单（分楼）"/>
      <sheetName val="数据-取费表"/>
      <sheetName val="估价对象房地状况"/>
      <sheetName val="系统读取表"/>
      <sheetName val="结果表111 "/>
      <sheetName val="结果表（酒店）"/>
      <sheetName val="成本法"/>
      <sheetName val="结果表 (办公)"/>
      <sheetName val="比较法-办公"/>
      <sheetName val="土地比较法-住宅、综合"/>
      <sheetName val="土地案例"/>
      <sheetName val="基准地价修正（商业）"/>
      <sheetName val="基准地价修正 (办公)"/>
      <sheetName val="收益法-商业"/>
      <sheetName val="租金"/>
      <sheetName val="收益法-办公"/>
      <sheetName val="成本法 (元)"/>
      <sheetName val="假设开发法"/>
      <sheetName val="收益法 (元)"/>
      <sheetName val="成本法-酒店"/>
      <sheetName val="比较法-住宅"/>
      <sheetName val="比较法-商业"/>
      <sheetName val="比较法-工业"/>
      <sheetName val="比较法-车位"/>
      <sheetName val="比较法-仓储"/>
      <sheetName val="土地比较法-工业"/>
      <sheetName val="结果表（库房）"/>
      <sheetName val="成本法-库房"/>
      <sheetName val="收益法-酒店"/>
      <sheetName val="酒店收入计算"/>
      <sheetName val="收益法-库房"/>
      <sheetName val="结果表（车库）"/>
      <sheetName val="收益法-车库"/>
      <sheetName val="收益法（汇总）"/>
      <sheetName val="成本法-车库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李立</v>
          </cell>
        </row>
        <row r="6">
          <cell r="A6" t="str">
            <v>叶凌</v>
          </cell>
        </row>
        <row r="7">
          <cell r="A7" t="str">
            <v>王鹏</v>
          </cell>
        </row>
        <row r="8">
          <cell r="A8" t="str">
            <v>欧红伟</v>
          </cell>
        </row>
        <row r="9">
          <cell r="A9" t="str">
            <v>吴薇</v>
          </cell>
        </row>
        <row r="10">
          <cell r="A10" t="str">
            <v>陈颖</v>
          </cell>
        </row>
        <row r="11">
          <cell r="A11" t="str">
            <v>崔锴</v>
          </cell>
        </row>
        <row r="12">
          <cell r="A12" t="str">
            <v>白景生</v>
          </cell>
        </row>
        <row r="13">
          <cell r="A13" t="str">
            <v>郑燚</v>
          </cell>
        </row>
        <row r="14">
          <cell r="A14" t="str">
            <v>马琳琳</v>
          </cell>
        </row>
        <row r="15">
          <cell r="A15" t="str">
            <v>杨红英</v>
          </cell>
        </row>
        <row r="16">
          <cell r="A16" t="str">
            <v>刘梅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刘敬东</v>
          </cell>
        </row>
        <row r="23">
          <cell r="A23" t="str">
            <v>王萌</v>
          </cell>
        </row>
        <row r="24">
          <cell r="A24" t="str">
            <v>——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*</v>
          </cell>
        </row>
        <row r="18">
          <cell r="A18" t="str">
            <v>办公楼</v>
          </cell>
          <cell r="B18">
            <v>0</v>
          </cell>
        </row>
        <row r="19">
          <cell r="A19" t="str">
            <v>宿舍</v>
          </cell>
          <cell r="B19">
            <v>0</v>
          </cell>
        </row>
        <row r="20">
          <cell r="A20" t="str">
            <v>食堂</v>
          </cell>
          <cell r="B20" t="str">
            <v>收益法-办公</v>
          </cell>
        </row>
        <row r="21">
          <cell r="A21" t="str">
            <v>车库</v>
          </cell>
          <cell r="B21" t="str">
            <v>收益法-商业</v>
          </cell>
        </row>
        <row r="22">
          <cell r="A22" t="str">
            <v>戊类库房</v>
          </cell>
          <cell r="B22" t="str">
            <v>收益法-车库</v>
          </cell>
        </row>
        <row r="23">
          <cell r="A23" t="str">
            <v>燃品库房</v>
          </cell>
          <cell r="B23" t="str">
            <v>收益法-库房</v>
          </cell>
        </row>
        <row r="24">
          <cell r="A24" t="str">
            <v>非燃品库房</v>
          </cell>
          <cell r="B24" t="str">
            <v>收益法-酒店</v>
          </cell>
        </row>
        <row r="25">
          <cell r="A25" t="str">
            <v>限价商品房</v>
          </cell>
          <cell r="B25" t="str">
            <v>成本法-商业</v>
          </cell>
        </row>
        <row r="26">
          <cell r="A26" t="str">
            <v>自住商品房</v>
          </cell>
          <cell r="B26" t="str">
            <v>成本法-库房</v>
          </cell>
        </row>
        <row r="27">
          <cell r="A27" t="str">
            <v>*</v>
          </cell>
          <cell r="B27" t="str">
            <v>成本法-车库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>
        <row r="3">
          <cell r="A3">
            <v>11147.87</v>
          </cell>
          <cell r="B3">
            <v>98810.33</v>
          </cell>
        </row>
        <row r="5">
          <cell r="A5" t="str">
            <v>建筑面积合计</v>
          </cell>
          <cell r="B5">
            <v>0</v>
          </cell>
          <cell r="C5">
            <v>0</v>
          </cell>
          <cell r="D5">
            <v>0</v>
          </cell>
          <cell r="E5" t="str">
            <v>——</v>
          </cell>
          <cell r="F5">
            <v>0</v>
          </cell>
          <cell r="G5">
            <v>98810.33</v>
          </cell>
          <cell r="H5">
            <v>98810.33</v>
          </cell>
          <cell r="I5">
            <v>10941.939999999999</v>
          </cell>
          <cell r="J5">
            <v>0</v>
          </cell>
          <cell r="K5">
            <v>3358.16</v>
          </cell>
          <cell r="L5">
            <v>0</v>
          </cell>
          <cell r="M5">
            <v>61608.09</v>
          </cell>
          <cell r="N5">
            <v>0</v>
          </cell>
          <cell r="O5">
            <v>6914.72</v>
          </cell>
          <cell r="P5">
            <v>0</v>
          </cell>
          <cell r="Q5">
            <v>15987.419999999998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 t="str">
            <v>建筑面积合计</v>
          </cell>
          <cell r="AW5">
            <v>0</v>
          </cell>
          <cell r="AX5">
            <v>0</v>
          </cell>
          <cell r="AY5" t="str">
            <v>——</v>
          </cell>
          <cell r="AZ5">
            <v>98810.33</v>
          </cell>
          <cell r="BA5">
            <v>98810.33</v>
          </cell>
          <cell r="BB5">
            <v>10941.939999999999</v>
          </cell>
          <cell r="BC5">
            <v>3358.16</v>
          </cell>
          <cell r="BD5">
            <v>61608.09</v>
          </cell>
          <cell r="BE5">
            <v>6914.72</v>
          </cell>
          <cell r="BF5">
            <v>15987.419999999998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</row>
        <row r="6">
          <cell r="AY6">
            <v>11147.87</v>
          </cell>
        </row>
        <row r="9">
          <cell r="I9" t="str">
            <v>地上</v>
          </cell>
          <cell r="J9">
            <v>0</v>
          </cell>
          <cell r="K9" t="str">
            <v>地上</v>
          </cell>
          <cell r="L9">
            <v>0</v>
          </cell>
          <cell r="M9" t="str">
            <v>地上</v>
          </cell>
          <cell r="N9">
            <v>0</v>
          </cell>
          <cell r="O9" t="str">
            <v>地下</v>
          </cell>
          <cell r="P9">
            <v>0</v>
          </cell>
          <cell r="Q9" t="str">
            <v>地下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小计</v>
          </cell>
          <cell r="AD9" t="str">
            <v>地上</v>
          </cell>
          <cell r="AE9">
            <v>0</v>
          </cell>
          <cell r="AF9" t="str">
            <v>地下</v>
          </cell>
          <cell r="AG9">
            <v>0</v>
          </cell>
          <cell r="AH9" t="str">
            <v>地上</v>
          </cell>
          <cell r="AI9">
            <v>0</v>
          </cell>
          <cell r="AJ9" t="str">
            <v>地下</v>
          </cell>
          <cell r="AK9">
            <v>0</v>
          </cell>
          <cell r="AL9" t="str">
            <v>地上</v>
          </cell>
          <cell r="AM9">
            <v>0</v>
          </cell>
          <cell r="AN9" t="str">
            <v>地下</v>
          </cell>
          <cell r="AO9">
            <v>0</v>
          </cell>
          <cell r="AP9" t="str">
            <v>地上</v>
          </cell>
          <cell r="AQ9">
            <v>0</v>
          </cell>
          <cell r="AR9" t="str">
            <v>地下</v>
          </cell>
          <cell r="AS9">
            <v>0</v>
          </cell>
        </row>
        <row r="10">
          <cell r="BB10" t="str">
            <v>地上</v>
          </cell>
          <cell r="BC10" t="str">
            <v>地上</v>
          </cell>
          <cell r="BD10" t="str">
            <v>地上</v>
          </cell>
          <cell r="BE10" t="str">
            <v>地下</v>
          </cell>
          <cell r="BF10" t="str">
            <v>地下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底商</v>
          </cell>
          <cell r="J11">
            <v>0</v>
          </cell>
          <cell r="K11" t="str">
            <v>办公楼</v>
          </cell>
          <cell r="L11">
            <v>0</v>
          </cell>
          <cell r="M11" t="str">
            <v>酒店</v>
          </cell>
          <cell r="N11">
            <v>0</v>
          </cell>
          <cell r="O11" t="str">
            <v>戊类库房</v>
          </cell>
          <cell r="P11">
            <v>0</v>
          </cell>
          <cell r="Q11" t="str">
            <v>车库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（住宅）</v>
          </cell>
          <cell r="AE11">
            <v>0</v>
          </cell>
          <cell r="AF11" t="str">
            <v>（住宅）</v>
          </cell>
          <cell r="AG11">
            <v>0</v>
          </cell>
          <cell r="AH11" t="str">
            <v>（住宅、计出让金）</v>
          </cell>
          <cell r="AI11">
            <v>0</v>
          </cell>
          <cell r="AJ11" t="str">
            <v>（住宅、计出让金）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 t="str">
            <v>商业</v>
          </cell>
          <cell r="BC11" t="str">
            <v>办公</v>
          </cell>
          <cell r="BD11" t="str">
            <v>商业</v>
          </cell>
          <cell r="BE11" t="str">
            <v>仓储</v>
          </cell>
          <cell r="BF11" t="str">
            <v>车库—商业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 t="str">
            <v>公共配套设施</v>
          </cell>
          <cell r="BN11" t="str">
            <v>公共配套设施</v>
          </cell>
          <cell r="BO11" t="str">
            <v>物业管理用房</v>
          </cell>
          <cell r="BP11" t="str">
            <v>物业管理用房</v>
          </cell>
          <cell r="BQ11" t="str">
            <v>设备及其他</v>
          </cell>
          <cell r="BR11" t="str">
            <v>设备及其他</v>
          </cell>
          <cell r="BS11" t="str">
            <v>未注明</v>
          </cell>
          <cell r="BT11" t="str">
            <v>未注明</v>
          </cell>
        </row>
        <row r="13">
          <cell r="I13">
            <v>10941.939999999999</v>
          </cell>
          <cell r="K13">
            <v>3358.16</v>
          </cell>
          <cell r="M13">
            <v>61608.09</v>
          </cell>
          <cell r="O13">
            <v>6914.72</v>
          </cell>
          <cell r="Q13">
            <v>15987.419999999998</v>
          </cell>
        </row>
      </sheetData>
      <sheetData sheetId="12"/>
      <sheetData sheetId="13"/>
      <sheetData sheetId="14"/>
      <sheetData sheetId="15"/>
      <sheetData sheetId="16"/>
      <sheetData sheetId="17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25">
        <row r="73">
          <cell r="A73" t="str">
            <v>交易情况</v>
          </cell>
          <cell r="B73">
            <v>0</v>
          </cell>
          <cell r="C73" t="str">
            <v>正常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5">
          <cell r="B75" t="str">
            <v>用途</v>
          </cell>
          <cell r="C75" t="str">
            <v>商业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106">
          <cell r="B106" t="str">
            <v>毗邻道路的类型与等级</v>
          </cell>
          <cell r="C106" t="str">
            <v>快速</v>
          </cell>
          <cell r="D106" t="str">
            <v>主干道</v>
          </cell>
          <cell r="E106" t="str">
            <v>次干道</v>
          </cell>
          <cell r="F106" t="str">
            <v>支路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土地级别</v>
          </cell>
          <cell r="C108" t="str">
            <v>一级</v>
          </cell>
          <cell r="D108" t="str">
            <v>二级</v>
          </cell>
          <cell r="E108" t="str">
            <v>三级</v>
          </cell>
          <cell r="F108" t="str">
            <v>四级</v>
          </cell>
          <cell r="G108" t="str">
            <v>五级</v>
          </cell>
          <cell r="H108" t="str">
            <v>六级</v>
          </cell>
          <cell r="I108" t="str">
            <v>七级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9">
          <cell r="B119" t="str">
            <v>宗地形状</v>
          </cell>
          <cell r="C119" t="str">
            <v>规则</v>
          </cell>
          <cell r="D119" t="str">
            <v>较规则</v>
          </cell>
          <cell r="E119" t="str">
            <v>较不规则</v>
          </cell>
          <cell r="F119" t="str">
            <v>不规则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1">
          <cell r="B121" t="str">
            <v>临街宽度及深度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宗地开发程度</v>
          </cell>
          <cell r="C123" t="str">
            <v>七通</v>
          </cell>
          <cell r="D123" t="str">
            <v>六通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工程地质条件</v>
          </cell>
          <cell r="C125" t="str">
            <v>良好</v>
          </cell>
          <cell r="D125" t="str">
            <v>一般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7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8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9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40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41">
        <row r="70">
          <cell r="B70" t="str">
            <v>用途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97">
          <cell r="B97" t="str">
            <v>毗邻道路的类型与等级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9">
          <cell r="B99" t="str">
            <v>土地级别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10">
          <cell r="B110" t="str">
            <v>宗地形状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2">
          <cell r="B112" t="str">
            <v>宗地开发程度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工程地质条件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52"/>
      <sheetData sheetId="53"/>
      <sheetData sheetId="54"/>
      <sheetData sheetId="55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办公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5">
          <cell r="F35">
            <v>6524</v>
          </cell>
        </row>
        <row r="36">
          <cell r="F36">
            <v>2190.6957000000002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车库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5">
          <cell r="F35">
            <v>3951</v>
          </cell>
        </row>
        <row r="36">
          <cell r="F36">
            <v>6316.4218000000001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仓储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5">
          <cell r="F35">
            <v>2978</v>
          </cell>
        </row>
        <row r="36">
          <cell r="F36">
            <v>2059.3764999999999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872" t="s">
        <v>168</v>
      </c>
      <c r="B15" s="663" t="s">
        <v>253</v>
      </c>
    </row>
    <row r="16" spans="1:7" ht="13.5">
      <c r="A16" s="1873"/>
      <c r="B16" s="664" t="s">
        <v>169</v>
      </c>
    </row>
    <row r="17" spans="1:2" ht="13.5">
      <c r="A17" s="180" t="s">
        <v>170</v>
      </c>
      <c r="B17" s="665"/>
    </row>
    <row r="18" spans="1:2" ht="13.5">
      <c r="A18" s="1871" t="s">
        <v>171</v>
      </c>
      <c r="B18" s="663" t="s">
        <v>1400</v>
      </c>
    </row>
    <row r="19" spans="1:2" ht="13.5">
      <c r="A19" s="1871"/>
      <c r="B19" s="663" t="s">
        <v>1401</v>
      </c>
    </row>
    <row r="20" spans="1:2" ht="13.5">
      <c r="A20" s="1871"/>
      <c r="B20" s="663" t="s">
        <v>1402</v>
      </c>
    </row>
    <row r="21" spans="1:2" ht="13.5">
      <c r="A21" s="1871"/>
      <c r="B21" s="500" t="s">
        <v>172</v>
      </c>
    </row>
    <row r="22" spans="1:2" ht="13.5">
      <c r="A22" s="1871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1480</v>
      </c>
      <c r="B1" s="825"/>
      <c r="C1" s="723" t="s">
        <v>1184</v>
      </c>
      <c r="D1" s="523">
        <f>'主表(商业）'!B7</f>
        <v>72550.03</v>
      </c>
      <c r="E1" s="722" t="s">
        <v>1568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'主表(商业）'!B12</f>
        <v>商业</v>
      </c>
      <c r="F2" s="730" t="s">
        <v>914</v>
      </c>
      <c r="G2" s="732" t="str">
        <f>'主表(商业）'!B10</f>
        <v>四级</v>
      </c>
      <c r="H2" s="827" t="s">
        <v>915</v>
      </c>
      <c r="I2" s="681">
        <f>'主表(商业）'!B11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>
        <f>IF(F3="容积率",'主表(商业）'!B8,'主表(商业）'!B9)</f>
        <v>8.86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1772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 t="e">
        <f>ROUND(IF(E2="商业",C6*C7+C16,(IF(E2="住宅/居住",C6*C12+C16,C6+C16))),0)</f>
        <v>#DIV/0!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1481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925">
        <f>IF(E2="商业",IF(C8="不临58条商业街","",2),"")</f>
        <v>2</v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926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1497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926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1498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926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1499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926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1500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925" t="str">
        <f>IF(E2="住宅/居住",2,"")</f>
        <v/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927"/>
      <c r="B13" s="858" t="s">
        <v>1482</v>
      </c>
      <c r="C13" s="325" t="s">
        <v>1483</v>
      </c>
      <c r="D13" s="668" t="s">
        <v>1484</v>
      </c>
      <c r="E13" s="668" t="s">
        <v>1485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927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928"/>
      <c r="B15" s="869" t="s">
        <v>1486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925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934" t="s">
        <v>931</v>
      </c>
      <c r="E16" s="1935"/>
      <c r="F16" s="1934" t="s">
        <v>929</v>
      </c>
      <c r="G16" s="1936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929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28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ROUND(SUMIF(地价!B3:F3,E2,地价!B29:F29),0)</f>
        <v>258</v>
      </c>
      <c r="G19" s="1494" t="s">
        <v>266</v>
      </c>
      <c r="H19" s="1335">
        <f>'主表(商业）'!B4</f>
        <v>39036</v>
      </c>
      <c r="I19" s="1616">
        <f>ROUND(SUMPRODUCT((地价!A6:A29=YEAR(H19)&amp;"-"&amp;ROUNDUP(MONTH(H19)/3,0))*(地价!B3:F3=E2)*(地价!B6:F29)),0)</f>
        <v>0</v>
      </c>
      <c r="J19" s="1617"/>
      <c r="K19" s="781"/>
      <c r="L19" s="796" t="s">
        <v>267</v>
      </c>
      <c r="M19" s="797" t="s">
        <v>268</v>
      </c>
      <c r="N19" s="620" t="s">
        <v>1752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0.97829999999999995</v>
      </c>
      <c r="D20" s="1495" t="s">
        <v>938</v>
      </c>
      <c r="E20" s="1496">
        <f ca="1">INDIRECT("'存贷款利率'!e"&amp;存贷款利率!$K$4)/100</f>
        <v>6.1200000000000004E-2</v>
      </c>
      <c r="F20" s="1493" t="s">
        <v>939</v>
      </c>
      <c r="G20" s="1497">
        <f ca="1">SUMIF(P18:S18,E2,P20:S20)</f>
        <v>7.6999999999999999E-2</v>
      </c>
      <c r="H20" s="1498" t="s">
        <v>1650</v>
      </c>
      <c r="I20" s="1040">
        <f>IF(H20="剩余土地使用年限",'主表(商业）'!B15,'主表(商业）'!B16)</f>
        <v>35.46</v>
      </c>
      <c r="J20" s="387">
        <f>IF(E2="住宅/居住",70,IF(E2="商业",40,50))</f>
        <v>40</v>
      </c>
      <c r="K20" s="781"/>
      <c r="L20" s="800" t="s">
        <v>281</v>
      </c>
      <c r="M20" s="670"/>
      <c r="N20" s="28">
        <f ca="1">'地价（废）'!G2</f>
        <v>2.4E-2</v>
      </c>
      <c r="O20" s="874" t="s">
        <v>939</v>
      </c>
      <c r="P20" s="622">
        <f ca="1">ROUND($E$20*(1+P19),3)</f>
        <v>7.6999999999999999E-2</v>
      </c>
      <c r="Q20" s="622">
        <f ca="1">ROUND($E$20*(1+Q19),3)</f>
        <v>7.2999999999999995E-2</v>
      </c>
      <c r="R20" s="622">
        <f ca="1">ROUND($E$20*(1+R19),3)</f>
        <v>7.0000000000000007E-2</v>
      </c>
      <c r="S20" s="951">
        <f ca="1">ROUND($E$20*(1+S19),3)</f>
        <v>6.7000000000000004E-2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0.73770000000000002</v>
      </c>
      <c r="D21" s="881"/>
      <c r="E21" s="881" t="s">
        <v>1774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2.0299999999999999E-2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1493</v>
      </c>
      <c r="D22" s="1487">
        <f>IF(E22=G22,F22,IF(G3&lt;=10,ROUND(F22+(H22-F22)*(G3-E22)/(G22-E22),4),"——"))</f>
        <v>0.73770000000000002</v>
      </c>
      <c r="E22" s="1502">
        <f>ROUNDDOWN(G3,1)</f>
        <v>8.8000000000000007</v>
      </c>
      <c r="F22" s="150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0.73850000000000005</v>
      </c>
      <c r="G22" s="1501">
        <f>ROUNDUP(G3,1)</f>
        <v>8.9</v>
      </c>
      <c r="H22" s="148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0.73719999999999997</v>
      </c>
      <c r="I22" s="1500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2.0299999999999999E-2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2.5899999999999999E-2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1.52E-2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1487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1768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931" t="s">
        <v>1756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932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932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933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1769</v>
      </c>
      <c r="C41" s="1736">
        <f ca="1">ROUND(POWER(1+E41,H41-G41)*(POWER(1+E41,G41)-1)/(POWER(1+E41,H41)-1),4)</f>
        <v>0</v>
      </c>
      <c r="D41" s="26" t="s">
        <v>1766</v>
      </c>
      <c r="E41" s="1734">
        <f ca="1">G20</f>
        <v>7.6999999999999999E-2</v>
      </c>
      <c r="F41" s="26" t="s">
        <v>1767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1467</v>
      </c>
      <c r="E47" s="809" t="s">
        <v>1468</v>
      </c>
      <c r="F47" s="938" t="s">
        <v>1144</v>
      </c>
      <c r="G47" s="248" t="s">
        <v>1489</v>
      </c>
      <c r="H47" s="939" t="s">
        <v>1163</v>
      </c>
      <c r="I47" s="248" t="s">
        <v>1488</v>
      </c>
      <c r="J47" s="810" t="s">
        <v>1469</v>
      </c>
      <c r="K47" s="810" t="s">
        <v>1470</v>
      </c>
      <c r="L47" s="810" t="s">
        <v>1471</v>
      </c>
      <c r="M47" s="810" t="s">
        <v>1472</v>
      </c>
      <c r="N47" s="810" t="s">
        <v>1473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1753</v>
      </c>
      <c r="C51" s="811"/>
      <c r="D51" s="490">
        <f t="shared" si="4"/>
        <v>0</v>
      </c>
      <c r="E51" s="255"/>
      <c r="F51" s="953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1754</v>
      </c>
      <c r="C53" s="811"/>
      <c r="D53" s="490">
        <f t="shared" si="4"/>
        <v>0</v>
      </c>
      <c r="E53" s="255"/>
      <c r="F53" s="953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1467</v>
      </c>
      <c r="E58" s="809" t="s">
        <v>1474</v>
      </c>
      <c r="F58" s="938" t="s">
        <v>1144</v>
      </c>
      <c r="G58" s="248" t="s">
        <v>1490</v>
      </c>
      <c r="H58" s="939" t="s">
        <v>1164</v>
      </c>
      <c r="I58" s="248" t="s">
        <v>1488</v>
      </c>
      <c r="J58" s="810" t="s">
        <v>14</v>
      </c>
      <c r="K58" s="810" t="s">
        <v>13</v>
      </c>
      <c r="L58" s="810" t="s">
        <v>1475</v>
      </c>
      <c r="M58" s="810" t="s">
        <v>1476</v>
      </c>
      <c r="N58" s="810" t="s">
        <v>1477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1753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1754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1467</v>
      </c>
      <c r="E69" s="809" t="s">
        <v>1474</v>
      </c>
      <c r="F69" s="938" t="s">
        <v>1144</v>
      </c>
      <c r="G69" s="248" t="s">
        <v>1490</v>
      </c>
      <c r="H69" s="939" t="s">
        <v>1164</v>
      </c>
      <c r="I69" s="248" t="s">
        <v>1488</v>
      </c>
      <c r="J69" s="810" t="s">
        <v>14</v>
      </c>
      <c r="K69" s="810" t="s">
        <v>13</v>
      </c>
      <c r="L69" s="810" t="s">
        <v>1475</v>
      </c>
      <c r="M69" s="810" t="s">
        <v>1476</v>
      </c>
      <c r="N69" s="810" t="s">
        <v>1477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1754</v>
      </c>
      <c r="C76" s="811"/>
      <c r="D76" s="490">
        <f t="shared" si="14"/>
        <v>0</v>
      </c>
      <c r="E76" s="263"/>
      <c r="F76" s="954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1467</v>
      </c>
      <c r="E80" s="809" t="s">
        <v>1474</v>
      </c>
      <c r="F80" s="938" t="s">
        <v>1144</v>
      </c>
      <c r="G80" s="248" t="s">
        <v>1490</v>
      </c>
      <c r="H80" s="939" t="s">
        <v>1164</v>
      </c>
      <c r="I80" s="248" t="s">
        <v>1488</v>
      </c>
      <c r="J80" s="810" t="s">
        <v>14</v>
      </c>
      <c r="K80" s="810" t="s">
        <v>13</v>
      </c>
      <c r="L80" s="810" t="s">
        <v>1475</v>
      </c>
      <c r="M80" s="810" t="s">
        <v>1476</v>
      </c>
      <c r="N80" s="810" t="s">
        <v>1477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1754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930" t="s">
        <v>1165</v>
      </c>
      <c r="B91" s="1930"/>
      <c r="C91" s="1930"/>
      <c r="D91" s="1930"/>
      <c r="E91" s="1930"/>
      <c r="F91" s="1930"/>
      <c r="G91" s="1930"/>
      <c r="H91" s="1930"/>
      <c r="I91" s="1930"/>
      <c r="J91" s="1930"/>
      <c r="K91" s="669"/>
      <c r="L91" s="669"/>
      <c r="M91" s="669"/>
      <c r="N91" s="669"/>
    </row>
    <row r="92" spans="1:37">
      <c r="A92" s="1938" t="s">
        <v>1166</v>
      </c>
      <c r="B92" s="1938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938"/>
      <c r="B93" s="1938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939" t="s">
        <v>1491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940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940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940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940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940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940"/>
      <c r="B100" s="955" t="s">
        <v>1494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941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939" t="s">
        <v>1492</v>
      </c>
      <c r="B102" s="959" t="s">
        <v>1495</v>
      </c>
      <c r="C102" s="960">
        <f>$G$3</f>
        <v>8.86</v>
      </c>
      <c r="D102" s="960">
        <f t="shared" ref="D102:N102" si="25">$G$3</f>
        <v>8.86</v>
      </c>
      <c r="E102" s="960">
        <f t="shared" si="25"/>
        <v>8.86</v>
      </c>
      <c r="F102" s="960">
        <f t="shared" si="25"/>
        <v>8.86</v>
      </c>
      <c r="G102" s="960">
        <f t="shared" si="25"/>
        <v>8.86</v>
      </c>
      <c r="H102" s="960">
        <f t="shared" si="25"/>
        <v>8.86</v>
      </c>
      <c r="I102" s="960">
        <f t="shared" si="25"/>
        <v>8.86</v>
      </c>
      <c r="J102" s="960">
        <f t="shared" si="25"/>
        <v>8.86</v>
      </c>
      <c r="K102" s="960">
        <f t="shared" si="25"/>
        <v>8.86</v>
      </c>
      <c r="L102" s="960">
        <f t="shared" si="25"/>
        <v>8.86</v>
      </c>
      <c r="M102" s="960">
        <f t="shared" si="25"/>
        <v>8.86</v>
      </c>
      <c r="N102" s="960">
        <f t="shared" si="25"/>
        <v>8.86</v>
      </c>
    </row>
    <row r="103" spans="1:14" ht="12.75">
      <c r="A103" s="1940"/>
      <c r="B103" s="955">
        <v>1</v>
      </c>
      <c r="C103" s="956">
        <f>1.9362/C102</f>
        <v>0.21853273137697518</v>
      </c>
      <c r="D103" s="956">
        <f>1.9362/D102</f>
        <v>0.21853273137697518</v>
      </c>
      <c r="E103" s="956">
        <f>1.8629/E102</f>
        <v>0.21025959367945826</v>
      </c>
      <c r="F103" s="956">
        <f>1.8629/F102</f>
        <v>0.21025959367945826</v>
      </c>
      <c r="G103" s="956">
        <f>1.8629/G102</f>
        <v>0.21025959367945826</v>
      </c>
      <c r="H103" s="956">
        <f>1.8629/H102</f>
        <v>0.21025959367945826</v>
      </c>
      <c r="I103" s="956">
        <f>1.8629/I102</f>
        <v>0.21025959367945826</v>
      </c>
      <c r="J103" s="956">
        <f>1.942/J102</f>
        <v>0.21918735891647856</v>
      </c>
      <c r="K103" s="956">
        <f>1.942/K102</f>
        <v>0.21918735891647856</v>
      </c>
      <c r="L103" s="956">
        <f>1.942/L102</f>
        <v>0.21918735891647856</v>
      </c>
      <c r="M103" s="956">
        <f>1.942/M102</f>
        <v>0.21918735891647856</v>
      </c>
      <c r="N103" s="956">
        <f>1.942/N102</f>
        <v>0.21918735891647856</v>
      </c>
    </row>
    <row r="104" spans="1:14" ht="12.75">
      <c r="A104" s="1940"/>
      <c r="B104" s="955">
        <v>2</v>
      </c>
      <c r="C104" s="956">
        <f>1.4198/C102</f>
        <v>0.16024830699774267</v>
      </c>
      <c r="D104" s="956">
        <f>1.4198/D102</f>
        <v>0.16024830699774267</v>
      </c>
      <c r="E104" s="956">
        <f>1.3372/E102</f>
        <v>0.15092550790067721</v>
      </c>
      <c r="F104" s="956">
        <f>1.3372/F102</f>
        <v>0.15092550790067721</v>
      </c>
      <c r="G104" s="956">
        <f>1.3372/G102</f>
        <v>0.15092550790067721</v>
      </c>
      <c r="H104" s="956">
        <f>1.3372/H102</f>
        <v>0.15092550790067721</v>
      </c>
      <c r="I104" s="956">
        <f>1.3372/I102</f>
        <v>0.15092550790067721</v>
      </c>
      <c r="J104" s="956">
        <f>1.2799/J102</f>
        <v>0.14445823927765239</v>
      </c>
      <c r="K104" s="956">
        <f>1.2799/K102</f>
        <v>0.14445823927765239</v>
      </c>
      <c r="L104" s="956">
        <f>1.2799/L102</f>
        <v>0.14445823927765239</v>
      </c>
      <c r="M104" s="956">
        <f>1.2799/M102</f>
        <v>0.14445823927765239</v>
      </c>
      <c r="N104" s="956">
        <f>1.2799/N102</f>
        <v>0.14445823927765239</v>
      </c>
    </row>
    <row r="105" spans="1:14" ht="12.75">
      <c r="A105" s="1940"/>
      <c r="B105" s="955">
        <v>3</v>
      </c>
      <c r="C105" s="956">
        <f>1.1594/C102</f>
        <v>0.13085778781038376</v>
      </c>
      <c r="D105" s="956">
        <f>1.1594/D102</f>
        <v>0.13085778781038376</v>
      </c>
      <c r="E105" s="956">
        <f>1.0788/E102</f>
        <v>0.1217607223476298</v>
      </c>
      <c r="F105" s="956">
        <f>1.0788/F102</f>
        <v>0.1217607223476298</v>
      </c>
      <c r="G105" s="956">
        <f>1.0788/G102</f>
        <v>0.1217607223476298</v>
      </c>
      <c r="H105" s="956">
        <f>1.0788/H102</f>
        <v>0.1217607223476298</v>
      </c>
      <c r="I105" s="956">
        <f>1.0788/I102</f>
        <v>0.1217607223476298</v>
      </c>
      <c r="J105" s="956">
        <f>1.0072/J102</f>
        <v>0.11367945823927766</v>
      </c>
      <c r="K105" s="956">
        <f>1.0072/K102</f>
        <v>0.11367945823927766</v>
      </c>
      <c r="L105" s="956">
        <f>1.0072/L102</f>
        <v>0.11367945823927766</v>
      </c>
      <c r="M105" s="956">
        <f>1.0072/M102</f>
        <v>0.11367945823927766</v>
      </c>
      <c r="N105" s="956">
        <f>1.0072/N102</f>
        <v>0.11367945823927766</v>
      </c>
    </row>
    <row r="106" spans="1:14" ht="12.75">
      <c r="A106" s="1940"/>
      <c r="B106" s="955">
        <v>4</v>
      </c>
      <c r="C106" s="956">
        <f>0.9622/C102</f>
        <v>0.10860045146726864</v>
      </c>
      <c r="D106" s="956">
        <f>0.9622/D102</f>
        <v>0.10860045146726864</v>
      </c>
      <c r="E106" s="956">
        <f>0.8656/E102</f>
        <v>9.7697516930022585E-2</v>
      </c>
      <c r="F106" s="956">
        <f>0.8656/F102</f>
        <v>9.7697516930022585E-2</v>
      </c>
      <c r="G106" s="956">
        <f>0.8656/G102</f>
        <v>9.7697516930022585E-2</v>
      </c>
      <c r="H106" s="956">
        <f>0.8656/H102</f>
        <v>9.7697516930022585E-2</v>
      </c>
      <c r="I106" s="956">
        <f>0.8656/I102</f>
        <v>9.7697516930022585E-2</v>
      </c>
      <c r="J106" s="956">
        <f>0.7525/J102</f>
        <v>8.4932279909706546E-2</v>
      </c>
      <c r="K106" s="956">
        <f>0.7525/K102</f>
        <v>8.4932279909706546E-2</v>
      </c>
      <c r="L106" s="956">
        <f>0.7525/L102</f>
        <v>8.4932279909706546E-2</v>
      </c>
      <c r="M106" s="956">
        <f>0.7525/M102</f>
        <v>8.4932279909706546E-2</v>
      </c>
      <c r="N106" s="956">
        <f>0.7525/N102</f>
        <v>8.4932279909706546E-2</v>
      </c>
    </row>
    <row r="107" spans="1:14" ht="12.75">
      <c r="A107" s="1940"/>
      <c r="B107" s="955">
        <v>5</v>
      </c>
      <c r="C107" s="956">
        <f>0.8417/C102</f>
        <v>9.5000000000000001E-2</v>
      </c>
      <c r="D107" s="956">
        <f>0.8417/D102</f>
        <v>9.5000000000000001E-2</v>
      </c>
      <c r="E107" s="956">
        <f>0.7371/E102</f>
        <v>8.3194130925507898E-2</v>
      </c>
      <c r="F107" s="956">
        <f>0.7371/F102</f>
        <v>8.3194130925507898E-2</v>
      </c>
      <c r="G107" s="956">
        <f>0.7371/G102</f>
        <v>8.3194130925507898E-2</v>
      </c>
      <c r="H107" s="956">
        <f>0.7371/H102</f>
        <v>8.3194130925507898E-2</v>
      </c>
      <c r="I107" s="956">
        <f>0.7371/I102</f>
        <v>8.3194130925507898E-2</v>
      </c>
      <c r="J107" s="956">
        <f>0.5659/J102</f>
        <v>6.3871331828442443E-2</v>
      </c>
      <c r="K107" s="956">
        <f>0.5659/K102</f>
        <v>6.3871331828442443E-2</v>
      </c>
      <c r="L107" s="956">
        <f>0.5659/L102</f>
        <v>6.3871331828442443E-2</v>
      </c>
      <c r="M107" s="956">
        <f>0.5659/M102</f>
        <v>6.3871331828442443E-2</v>
      </c>
      <c r="N107" s="956">
        <f>0.5659/N102</f>
        <v>6.3871331828442443E-2</v>
      </c>
    </row>
    <row r="108" spans="1:14" ht="12.75">
      <c r="A108" s="1940"/>
      <c r="B108" s="955">
        <v>6</v>
      </c>
      <c r="C108" s="956">
        <f>0.7608/C102</f>
        <v>8.5869074492099337E-2</v>
      </c>
      <c r="D108" s="956">
        <f>0.7608/D102</f>
        <v>8.5869074492099337E-2</v>
      </c>
      <c r="E108" s="956">
        <f>0.6482/E102</f>
        <v>7.3160270880361172E-2</v>
      </c>
      <c r="F108" s="956">
        <f>0.6482/F102</f>
        <v>7.3160270880361172E-2</v>
      </c>
      <c r="G108" s="956">
        <f>0.6482/G102</f>
        <v>7.3160270880361172E-2</v>
      </c>
      <c r="H108" s="956">
        <f>0.6482/H102</f>
        <v>7.3160270880361172E-2</v>
      </c>
      <c r="I108" s="956">
        <f>0.6482/I102</f>
        <v>7.3160270880361172E-2</v>
      </c>
      <c r="J108" s="956">
        <f>0.4525/J102</f>
        <v>5.1072234762979687E-2</v>
      </c>
      <c r="K108" s="956">
        <f>0.4525/K102</f>
        <v>5.1072234762979687E-2</v>
      </c>
      <c r="L108" s="956">
        <f>0.4525/L102</f>
        <v>5.1072234762979687E-2</v>
      </c>
      <c r="M108" s="956">
        <f>0.4525/M102</f>
        <v>5.1072234762979687E-2</v>
      </c>
      <c r="N108" s="956">
        <f>0.4525/N102</f>
        <v>5.1072234762979687E-2</v>
      </c>
    </row>
    <row r="109" spans="1:14" ht="12.75">
      <c r="A109" s="1940"/>
      <c r="B109" s="1942" t="s">
        <v>1496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941"/>
      <c r="B110" s="1943"/>
      <c r="C110" s="958">
        <f>(-0.163*(C109^2)-0.59*C109+7617)*(10^(-4))/C102</f>
        <v>8.5962155756207692E-2</v>
      </c>
      <c r="D110" s="958">
        <f>(-0.163*(D109^2)-0.59*D109+7617)*(10^(-4))/D102</f>
        <v>8.5962155756207692E-2</v>
      </c>
      <c r="E110" s="958">
        <f>(-0.161*(E109^2)-7.509*E109+6533)*(10^(-4))/E102</f>
        <v>7.3649322799097069E-2</v>
      </c>
      <c r="F110" s="958">
        <f>(-0.161*(F109^2)-7.509*F109+6533)*(10^(-4))/F102</f>
        <v>7.3649322799097069E-2</v>
      </c>
      <c r="G110" s="958">
        <f>(-0.161*(G109^2)-7.509*G109+6533)*(10^(-4))/G102</f>
        <v>7.3649322799097069E-2</v>
      </c>
      <c r="H110" s="958">
        <f>(-0.161*(H109^2)-7.509*H109+6533)*(10^(-4))/H102</f>
        <v>7.3649322799097069E-2</v>
      </c>
      <c r="I110" s="958">
        <f>(-0.161*(I109^2)-7.509*I109+6533)*(10^(-4))/I102</f>
        <v>7.3649322799097069E-2</v>
      </c>
      <c r="J110" s="958">
        <f>(-0.214*(J109^2)-21.991*J109+4665)*(10^(-4))/J102</f>
        <v>5.2401749435665917E-2</v>
      </c>
      <c r="K110" s="958">
        <f>(-0.214*(K109^2)-21.991*K109+4665)*(10^(-4))/K102</f>
        <v>5.2401749435665917E-2</v>
      </c>
      <c r="L110" s="958">
        <f>(-0.214*(L109^2)-21.991*L109+4665)*(10^(-4))/L102</f>
        <v>5.2401749435665917E-2</v>
      </c>
      <c r="M110" s="958">
        <f>(-0.214*(M109^2)-21.991*M109+4665)*(10^(-4))/M102</f>
        <v>5.2401749435665917E-2</v>
      </c>
      <c r="N110" s="958">
        <f>(-0.214*(N109^2)-21.991*N109+4665)*(10^(-4))/N102</f>
        <v>5.2401749435665917E-2</v>
      </c>
    </row>
    <row r="111" spans="1:14">
      <c r="A111" s="1937" t="s">
        <v>1181</v>
      </c>
      <c r="B111" s="1937"/>
      <c r="C111" s="1937"/>
      <c r="D111" s="1937"/>
      <c r="E111" s="1937"/>
      <c r="F111" s="1937"/>
      <c r="G111" s="1937"/>
      <c r="H111" s="1937"/>
      <c r="I111" s="1937"/>
      <c r="J111" s="1937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1478</v>
      </c>
      <c r="B114" s="495">
        <f>G3</f>
        <v>8.86</v>
      </c>
      <c r="C114" s="941" t="s">
        <v>1479</v>
      </c>
      <c r="D114" s="351">
        <f>SUMPRODUCT((A116:A119=F114)*(B115:M115=H114)*B116:M119)</f>
        <v>0.73650000000000004</v>
      </c>
      <c r="E114" s="732" t="s">
        <v>1166</v>
      </c>
      <c r="F114" s="942" t="str">
        <f>E2</f>
        <v>商业</v>
      </c>
      <c r="G114" s="732" t="s">
        <v>1183</v>
      </c>
      <c r="H114" s="942" t="str">
        <f>G2</f>
        <v>四级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0.85019999999999996</v>
      </c>
      <c r="C116" s="355">
        <f>B116</f>
        <v>0.85019999999999996</v>
      </c>
      <c r="D116" s="355">
        <f>ROUND(0.8331-0.0109*B114,4)</f>
        <v>0.73650000000000004</v>
      </c>
      <c r="E116" s="355">
        <f>D116</f>
        <v>0.73650000000000004</v>
      </c>
      <c r="F116" s="355">
        <f>E116</f>
        <v>0.73650000000000004</v>
      </c>
      <c r="G116" s="355">
        <f>F116</f>
        <v>0.73650000000000004</v>
      </c>
      <c r="H116" s="355">
        <f>G116</f>
        <v>0.73650000000000004</v>
      </c>
      <c r="I116" s="355">
        <f>ROUND(0.689-0.0155*B114,4)</f>
        <v>0.55169999999999997</v>
      </c>
      <c r="J116" s="355">
        <f t="shared" ref="J116:M119" si="27">I116</f>
        <v>0.55169999999999997</v>
      </c>
      <c r="K116" s="355">
        <f t="shared" si="27"/>
        <v>0.55169999999999997</v>
      </c>
      <c r="L116" s="355">
        <f t="shared" si="27"/>
        <v>0.55169999999999997</v>
      </c>
      <c r="M116" s="356">
        <f t="shared" si="27"/>
        <v>0.55169999999999997</v>
      </c>
    </row>
    <row r="117" spans="1:13" ht="12.75">
      <c r="A117" s="814" t="s">
        <v>1315</v>
      </c>
      <c r="B117" s="355">
        <f>ROUND(0.949-0.012*B114,4)</f>
        <v>0.8427</v>
      </c>
      <c r="C117" s="355">
        <f>B117</f>
        <v>0.8427</v>
      </c>
      <c r="D117" s="355">
        <f>ROUND(0.8567-0.013*B114,4)</f>
        <v>0.74150000000000005</v>
      </c>
      <c r="E117" s="355">
        <f t="shared" ref="E117:H118" si="28">D117</f>
        <v>0.74150000000000005</v>
      </c>
      <c r="F117" s="355">
        <f t="shared" si="28"/>
        <v>0.74150000000000005</v>
      </c>
      <c r="G117" s="355">
        <f t="shared" si="28"/>
        <v>0.74150000000000005</v>
      </c>
      <c r="H117" s="355">
        <f t="shared" si="28"/>
        <v>0.74150000000000005</v>
      </c>
      <c r="I117" s="355">
        <f>ROUND(0.7694-0.014*B114,4)</f>
        <v>0.64539999999999997</v>
      </c>
      <c r="J117" s="355">
        <f t="shared" si="27"/>
        <v>0.64539999999999997</v>
      </c>
      <c r="K117" s="355">
        <f t="shared" si="27"/>
        <v>0.64539999999999997</v>
      </c>
      <c r="L117" s="355">
        <f t="shared" si="27"/>
        <v>0.64539999999999997</v>
      </c>
      <c r="M117" s="356">
        <f t="shared" si="27"/>
        <v>0.64539999999999997</v>
      </c>
    </row>
    <row r="118" spans="1:13" ht="12.75">
      <c r="A118" s="814" t="s">
        <v>1316</v>
      </c>
      <c r="B118" s="355">
        <f>ROUND(0.8808-0.006*B114,4)</f>
        <v>0.8276</v>
      </c>
      <c r="C118" s="355">
        <f>B118</f>
        <v>0.8276</v>
      </c>
      <c r="D118" s="355">
        <f>ROUND(0.8748-0.008*B114,4)</f>
        <v>0.80389999999999995</v>
      </c>
      <c r="E118" s="355">
        <f t="shared" si="28"/>
        <v>0.80389999999999995</v>
      </c>
      <c r="F118" s="355">
        <f t="shared" si="28"/>
        <v>0.80389999999999995</v>
      </c>
      <c r="G118" s="355">
        <f t="shared" si="28"/>
        <v>0.80389999999999995</v>
      </c>
      <c r="H118" s="355">
        <f t="shared" si="28"/>
        <v>0.80389999999999995</v>
      </c>
      <c r="I118" s="355">
        <f>ROUND(0.7412-0.0095*B114,4)</f>
        <v>0.65700000000000003</v>
      </c>
      <c r="J118" s="355">
        <f t="shared" si="27"/>
        <v>0.65700000000000003</v>
      </c>
      <c r="K118" s="355">
        <f t="shared" si="27"/>
        <v>0.65700000000000003</v>
      </c>
      <c r="L118" s="355">
        <f t="shared" si="27"/>
        <v>0.65700000000000003</v>
      </c>
      <c r="M118" s="356">
        <f t="shared" si="27"/>
        <v>0.65700000000000003</v>
      </c>
    </row>
    <row r="119" spans="1:13" ht="13.5" thickBot="1">
      <c r="A119" s="815" t="s">
        <v>229</v>
      </c>
      <c r="B119" s="357">
        <f>ROUND(0.7275-0.01*B114,4)</f>
        <v>0.63890000000000002</v>
      </c>
      <c r="C119" s="357">
        <f>B119</f>
        <v>0.63890000000000002</v>
      </c>
      <c r="D119" s="357">
        <f>ROUND(0.7043-0.012*B114,4)</f>
        <v>0.59799999999999998</v>
      </c>
      <c r="E119" s="357">
        <f>D119</f>
        <v>0.59799999999999998</v>
      </c>
      <c r="F119" s="357">
        <f>E119</f>
        <v>0.59799999999999998</v>
      </c>
      <c r="G119" s="357">
        <f>ROUND(0.6299-0.0122*B114,4)</f>
        <v>0.52180000000000004</v>
      </c>
      <c r="H119" s="357">
        <f>G119</f>
        <v>0.52180000000000004</v>
      </c>
      <c r="I119" s="357">
        <f>ROUND(0.5667-0.0136*B114,4)</f>
        <v>0.44619999999999999</v>
      </c>
      <c r="J119" s="357">
        <f t="shared" si="27"/>
        <v>0.44619999999999999</v>
      </c>
      <c r="K119" s="357">
        <f t="shared" si="27"/>
        <v>0.44619999999999999</v>
      </c>
      <c r="L119" s="357">
        <f t="shared" si="27"/>
        <v>0.44619999999999999</v>
      </c>
      <c r="M119" s="358">
        <f t="shared" si="27"/>
        <v>0.44619999999999999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900-000000000000}">
      <formula1>"500米范围内,500-1000米,1000米以外"</formula1>
    </dataValidation>
    <dataValidation type="list" allowBlank="1" showInputMessage="1" showErrorMessage="1" sqref="C14:E14" xr:uid="{00000000-0002-0000-0900-000001000000}">
      <formula1>"有,无"</formula1>
    </dataValidation>
    <dataValidation type="list" allowBlank="1" showInputMessage="1" showErrorMessage="1" sqref="B21" xr:uid="{00000000-0002-0000-0900-000002000000}">
      <formula1>"容积率修正,楼层修正"</formula1>
    </dataValidation>
    <dataValidation type="list" allowBlank="1" showInputMessage="1" showErrorMessage="1" sqref="F17" xr:uid="{00000000-0002-0000-0900-000003000000}">
      <formula1>"与级别开发程度一致,与级别开发程度不一致"</formula1>
    </dataValidation>
    <dataValidation type="list" allowBlank="1" showInputMessage="1" showErrorMessage="1" sqref="C8" xr:uid="{00000000-0002-0000-0900-000004000000}">
      <formula1>商业街名称</formula1>
    </dataValidation>
    <dataValidation type="list" allowBlank="1" showInputMessage="1" showErrorMessage="1" sqref="E3" xr:uid="{00000000-0002-0000-0900-000005000000}">
      <formula1>二级分类</formula1>
    </dataValidation>
    <dataValidation type="list" allowBlank="1" showInputMessage="1" showErrorMessage="1" sqref="N19" xr:uid="{00000000-0002-0000-0900-000006000000}">
      <formula1>季度2014</formula1>
    </dataValidation>
    <dataValidation type="list" allowBlank="1" showInputMessage="1" showErrorMessage="1" sqref="C81:C88 C48:C56 C70:C78 C59:C67" xr:uid="{00000000-0002-0000-0900-000007000000}">
      <formula1>五等判定</formula1>
    </dataValidation>
    <dataValidation type="list" allowBlank="1" showInputMessage="1" showErrorMessage="1" sqref="F1" xr:uid="{00000000-0002-0000-0900-000008000000}">
      <formula1>"地上,地下"</formula1>
    </dataValidation>
    <dataValidation type="list" allowBlank="1" showInputMessage="1" showErrorMessage="1" sqref="G1" xr:uid="{00000000-0002-0000-0900-000009000000}">
      <formula1>地下</formula1>
    </dataValidation>
    <dataValidation type="list" allowBlank="1" showInputMessage="1" showErrorMessage="1" sqref="F3" xr:uid="{00000000-0002-0000-0900-00000A000000}">
      <formula1>"容积率,设定容积率"</formula1>
    </dataValidation>
    <dataValidation type="list" allowBlank="1" showInputMessage="1" showErrorMessage="1" sqref="H20" xr:uid="{00000000-0002-0000-0900-00000B000000}">
      <formula1>"剩余土地使用年限,剩余土地使用年限（设定）"</formula1>
    </dataValidation>
    <dataValidation type="list" allowBlank="1" showInputMessage="1" showErrorMessage="1" sqref="H16:O16" xr:uid="{00000000-0002-0000-09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944" t="s">
        <v>988</v>
      </c>
      <c r="B1" s="1944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944" t="s">
        <v>292</v>
      </c>
      <c r="B1" s="1944"/>
      <c r="C1" s="1944"/>
      <c r="D1" s="1944"/>
      <c r="E1" s="1944"/>
      <c r="F1" s="194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945" t="s">
        <v>305</v>
      </c>
      <c r="B2" s="1945"/>
      <c r="C2" s="1945"/>
      <c r="D2" s="1945"/>
      <c r="E2" s="1945"/>
      <c r="F2" s="194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946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94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1773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93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938"/>
      <c r="B19" s="193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938"/>
      <c r="B20" s="193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938"/>
      <c r="B21" s="193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938"/>
      <c r="B22" s="193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938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938"/>
      <c r="B24" s="193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938"/>
      <c r="B25" s="193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938"/>
      <c r="B26" s="193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938"/>
      <c r="B27" s="193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938"/>
      <c r="B28" s="193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938"/>
      <c r="B29" s="193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938"/>
      <c r="B30" s="193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938"/>
      <c r="B31" s="193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938"/>
      <c r="B32" s="193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938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93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93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938"/>
      <c r="B36" s="193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938"/>
      <c r="B37" s="193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938"/>
      <c r="B38" s="193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938"/>
      <c r="B39" s="193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93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93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93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93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93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93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93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93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93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93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93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93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93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93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93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93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93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93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93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93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93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93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93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93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93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93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93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93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93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93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93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93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93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93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93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93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93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93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93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93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93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93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93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93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93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93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93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93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93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93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0.74370000000000003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K93"/>
  <sheetViews>
    <sheetView zoomScale="90" zoomScaleNormal="90" zoomScaleSheetLayoutView="89" workbookViewId="0">
      <selection activeCell="C22" sqref="C22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'主表(商业）'!B7</f>
        <v>72550.03</v>
      </c>
      <c r="I1" s="723" t="s">
        <v>1354</v>
      </c>
      <c r="J1" s="523">
        <f>'主表(商业）'!B6</f>
        <v>8185.16</v>
      </c>
      <c r="AE1" s="728"/>
      <c r="AF1" s="728"/>
    </row>
    <row r="2" spans="1:36" ht="24">
      <c r="A2" s="683" t="s">
        <v>913</v>
      </c>
      <c r="B2" s="630" t="s">
        <v>1569</v>
      </c>
      <c r="C2" s="729" t="s">
        <v>984</v>
      </c>
      <c r="D2" s="730" t="s">
        <v>987</v>
      </c>
      <c r="E2" s="731" t="str">
        <f>'主表(商业）'!B12</f>
        <v>商业</v>
      </c>
      <c r="F2" s="730" t="s">
        <v>689</v>
      </c>
      <c r="G2" s="732" t="str">
        <f>'主表(商业）'!B10</f>
        <v>四级</v>
      </c>
      <c r="H2" s="731" t="s">
        <v>1364</v>
      </c>
      <c r="I2" s="1338" t="s">
        <v>1919</v>
      </c>
      <c r="J2" s="733"/>
      <c r="AE2" s="728"/>
      <c r="AF2" s="728"/>
    </row>
    <row r="3" spans="1:36" ht="24">
      <c r="A3" s="684" t="s">
        <v>916</v>
      </c>
      <c r="B3" s="1425">
        <f>C18</f>
        <v>3840</v>
      </c>
      <c r="C3" s="729" t="s">
        <v>917</v>
      </c>
      <c r="D3" s="730" t="s">
        <v>256</v>
      </c>
      <c r="E3" s="734" t="s">
        <v>1920</v>
      </c>
      <c r="F3" s="1486" t="s">
        <v>1918</v>
      </c>
      <c r="G3" s="238">
        <f>IF(F3="容积率",'主表(商业）'!B8,'主表(商业）'!B9)</f>
        <v>7.09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1578</v>
      </c>
      <c r="B4" s="630">
        <f>C20</f>
        <v>2154</v>
      </c>
      <c r="C4" s="1424" t="s">
        <v>1580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1579</v>
      </c>
      <c r="B5" s="1423">
        <f>C22</f>
        <v>862</v>
      </c>
      <c r="C5" s="1426" t="s">
        <v>1581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4405</v>
      </c>
      <c r="D7" s="747" t="s">
        <v>1544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(1240+1860)/2</f>
        <v>1550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1.3557999999999999</v>
      </c>
      <c r="D9" s="1621" t="s">
        <v>265</v>
      </c>
      <c r="E9" s="1622">
        <v>37257</v>
      </c>
      <c r="F9" s="1623">
        <f>ROUND(SUMIF(地价!B3:F3,E2,地价!B77:F77),0)</f>
        <v>104</v>
      </c>
      <c r="G9" s="1624" t="s">
        <v>266</v>
      </c>
      <c r="H9" s="1625">
        <f>'主表(商业）'!B4</f>
        <v>39036</v>
      </c>
      <c r="I9" s="1626">
        <f>ROUND(SUMPRODUCT((地价!A27:A77=YEAR(H9)&amp;"-"&amp;ROUNDUP(MONTH(H9)/3,0))*(地价!B3:F3=E2)*(地价!B27:F77)),0)</f>
        <v>141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0.94869999999999999</v>
      </c>
      <c r="D10" s="1508" t="s">
        <v>939</v>
      </c>
      <c r="E10" s="1509">
        <v>0.04</v>
      </c>
      <c r="F10" s="1630" t="s">
        <v>1650</v>
      </c>
      <c r="G10" s="1631">
        <f>IF(F10="剩余土地使用年限",'主表(商业）'!B15,'主表(商业）'!B16)</f>
        <v>35.46</v>
      </c>
      <c r="H10" s="1631">
        <f>IF(E2="住宅/居住",70,IF(E2="商业",40,50))</f>
        <v>40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0.62739999999999996</v>
      </c>
      <c r="D11" s="1515"/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1501</v>
      </c>
      <c r="D12" s="1504">
        <f>IF(E12=G12,F12,IF(G3&lt;=10,ROUND(F12+(H12-F12)*(G3-E12)/(G12-E12),4),"——"))</f>
        <v>0.62739999999999996</v>
      </c>
      <c r="E12" s="1506">
        <f>ROUNDDOWN(G3,1)</f>
        <v>7</v>
      </c>
      <c r="F12" s="1507">
        <f>IF(G3&lt;=10,SUMPRODUCT(('2002容积率修正'!A3:A102=E12)*('2002容积率修正'!B2:D2=E2)*('2002容积率修正'!B3:D102)),"——")</f>
        <v>0.63100000000000001</v>
      </c>
      <c r="G12" s="1505">
        <f>ROUNDUP(G3,1)</f>
        <v>7.1</v>
      </c>
      <c r="H12" s="635">
        <f>IF(G3&lt;=10,SUMPRODUCT(('2002容积率修正'!A3:A102=G12)*('2002容积率修正'!B2:D2=E2)*('2002容积率修正'!B3:D102)),"——")</f>
        <v>0.627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1501</v>
      </c>
      <c r="D13" s="1504">
        <f>IF(E12=G12,F12,IF(G3&lt;=10,ROUND(F12+(H12-F12)*(G3-E12)/(G12-E12),4),"——"))</f>
        <v>0.62739999999999996</v>
      </c>
      <c r="E13" s="1506">
        <f>ROUNDDOWN(G3,1)</f>
        <v>7</v>
      </c>
      <c r="F13" s="1507">
        <f>IF(G3&lt;=10,SUMPRODUCT(('2002容积率修正'!A3:A102=E13)*('2002容积率修正'!E2:G2=E2)*('2002容积率修正'!E3:G102)),"——")</f>
        <v>0.51200000000000001</v>
      </c>
      <c r="G13" s="1505">
        <f>ROUNDUP(G3,1)</f>
        <v>7.1</v>
      </c>
      <c r="H13" s="635">
        <f>IF(G3&lt;=10,SUMPRODUCT(('2002容积率修正'!A3:A102=G13)*('2002容积率修正'!E2:G2=E2)*('2002容积率修正'!E3:G102)),"——")</f>
        <v>0.50900000000000001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1.0802499999999999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>
        <v>1</v>
      </c>
      <c r="D16" s="1634" t="s">
        <v>1350</v>
      </c>
      <c r="E16" s="1510" t="s">
        <v>929</v>
      </c>
      <c r="F16" s="1511" t="s">
        <v>1921</v>
      </c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1502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948" t="s">
        <v>1351</v>
      </c>
      <c r="B18" s="777" t="s">
        <v>1338</v>
      </c>
      <c r="C18" s="643">
        <f>ROUND(C7*C9*C10*C11*C15*C16,0)</f>
        <v>3840</v>
      </c>
      <c r="D18" s="644">
        <f>H1</f>
        <v>72550.03</v>
      </c>
      <c r="E18" s="645">
        <f>ROUND(C18*D18,0)</f>
        <v>278592115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949"/>
      <c r="B19" s="782" t="s">
        <v>1341</v>
      </c>
      <c r="C19" s="635">
        <f>ROUND(C7*C9*C10*C11*C15*C16*G3,0)</f>
        <v>27226</v>
      </c>
      <c r="D19" s="644">
        <f>J1</f>
        <v>8185.16</v>
      </c>
      <c r="E19" s="645">
        <f>ROUND(C19*D19,0)</f>
        <v>222849166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950" t="s">
        <v>1352</v>
      </c>
      <c r="B20" s="764" t="s">
        <v>1339</v>
      </c>
      <c r="C20" s="649">
        <f>ROUND(IF(G3&gt;=I3,C8*C9*C10*C15,C8*C9*C10*C15*G3),0)</f>
        <v>2154</v>
      </c>
      <c r="D20" s="650">
        <f>H1</f>
        <v>72550.03</v>
      </c>
      <c r="E20" s="651">
        <f>ROUND(C20*D20,0)</f>
        <v>156272765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950"/>
      <c r="B21" s="787" t="s">
        <v>1340</v>
      </c>
      <c r="C21" s="652">
        <f>ROUND(IF(G3&lt;I3,C8*C9*C10*C15,C8*C9*C10*C15*G3),0)</f>
        <v>15270</v>
      </c>
      <c r="D21" s="653">
        <f>J1</f>
        <v>8185.16</v>
      </c>
      <c r="E21" s="654">
        <f t="shared" ref="E21" si="0">ROUND(C21*D21,0)</f>
        <v>124987393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>
        <f>ROUND(IF(D22="四环路内",C20*0.4,C20*0.6),0)</f>
        <v>862</v>
      </c>
      <c r="D22" s="792" t="s">
        <v>1922</v>
      </c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20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1503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1.0802499999999999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1467</v>
      </c>
      <c r="E41" s="809" t="s">
        <v>1468</v>
      </c>
      <c r="F41" s="810" t="s">
        <v>1469</v>
      </c>
      <c r="G41" s="810" t="s">
        <v>1470</v>
      </c>
      <c r="H41" s="810" t="s">
        <v>1471</v>
      </c>
      <c r="I41" s="810" t="s">
        <v>1472</v>
      </c>
      <c r="J41" s="810" t="s">
        <v>1473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 t="s">
        <v>1923</v>
      </c>
      <c r="D42" s="490">
        <f t="shared" ref="D42:D48" si="1">SUMIF($F$41:$J$41,C42,F42:J42)</f>
        <v>2.2499999999999999E-2</v>
      </c>
      <c r="E42" s="253">
        <f>SUM(D42:D48)</f>
        <v>8.0250000000000002E-2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 t="s">
        <v>1923</v>
      </c>
      <c r="D43" s="490">
        <f t="shared" si="1"/>
        <v>1.125E-2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 t="s">
        <v>1923</v>
      </c>
      <c r="D44" s="490">
        <f t="shared" si="1"/>
        <v>7.4999999999999997E-3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1753</v>
      </c>
      <c r="C45" s="811" t="s">
        <v>1923</v>
      </c>
      <c r="D45" s="490">
        <f t="shared" si="1"/>
        <v>1.4999999999999999E-2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 t="s">
        <v>1923</v>
      </c>
      <c r="D46" s="490">
        <f t="shared" si="1"/>
        <v>7.4999999999999997E-3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1754</v>
      </c>
      <c r="C47" s="811" t="s">
        <v>1923</v>
      </c>
      <c r="D47" s="490">
        <f t="shared" si="1"/>
        <v>6.0000000000000001E-3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 t="s">
        <v>1924</v>
      </c>
      <c r="D48" s="490">
        <f t="shared" si="1"/>
        <v>1.0500000000000001E-2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1504</v>
      </c>
      <c r="E50" s="250" t="s">
        <v>1505</v>
      </c>
      <c r="F50" s="138" t="s">
        <v>1506</v>
      </c>
      <c r="G50" s="138" t="s">
        <v>1507</v>
      </c>
      <c r="H50" s="138" t="s">
        <v>1508</v>
      </c>
      <c r="I50" s="138" t="s">
        <v>1509</v>
      </c>
      <c r="J50" s="138" t="s">
        <v>1510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0.04</v>
      </c>
      <c r="G51" s="528">
        <f>F51/2</f>
        <v>0.02</v>
      </c>
      <c r="H51" s="529">
        <v>0</v>
      </c>
      <c r="I51" s="528">
        <f>J51/2</f>
        <v>-0.02</v>
      </c>
      <c r="J51" s="528">
        <f>SUMPRODUCT(('2002因素修正幅度'!$A$73:$A$79=A51)*('2002因素修正幅度'!$B$35:$K$35=$G$2)*('2002因素修正幅度'!$B$73:$K$79))</f>
        <v>-0.04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0.05</v>
      </c>
      <c r="G52" s="528">
        <f t="shared" ref="G52:G57" si="5">F52/2</f>
        <v>2.5000000000000001E-2</v>
      </c>
      <c r="H52" s="529">
        <v>0</v>
      </c>
      <c r="I52" s="528">
        <f t="shared" ref="I52:I57" si="6">J52/2</f>
        <v>-2.5000000000000001E-2</v>
      </c>
      <c r="J52" s="528">
        <f>SUMPRODUCT(('2002因素修正幅度'!$A$73:$A$79=A52)*('2002因素修正幅度'!$B$35:$K$35=$G$2)*('2002因素修正幅度'!$B$73:$K$79))</f>
        <v>-0.05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0.02</v>
      </c>
      <c r="G53" s="528">
        <f t="shared" si="5"/>
        <v>0.01</v>
      </c>
      <c r="H53" s="529">
        <v>0</v>
      </c>
      <c r="I53" s="528">
        <f t="shared" si="6"/>
        <v>-0.01</v>
      </c>
      <c r="J53" s="528">
        <f>SUMPRODUCT(('2002因素修正幅度'!$A$73:$A$79=A53)*('2002因素修正幅度'!$B$35:$K$35=$G$2)*('2002因素修正幅度'!$B$73:$K$79))</f>
        <v>-0.02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1753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0.02</v>
      </c>
      <c r="G54" s="528">
        <f t="shared" si="5"/>
        <v>0.01</v>
      </c>
      <c r="H54" s="529">
        <v>0</v>
      </c>
      <c r="I54" s="528">
        <f t="shared" si="6"/>
        <v>-0.01</v>
      </c>
      <c r="J54" s="528">
        <f>SUMPRODUCT(('2002因素修正幅度'!$A$73:$A$79=A54)*('2002因素修正幅度'!$B$35:$K$35=$G$2)*('2002因素修正幅度'!$B$73:$K$79))</f>
        <v>-0.02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0.03</v>
      </c>
      <c r="G55" s="528">
        <f t="shared" si="5"/>
        <v>1.4999999999999999E-2</v>
      </c>
      <c r="H55" s="529">
        <v>0</v>
      </c>
      <c r="I55" s="528">
        <f t="shared" si="6"/>
        <v>-1.4999999999999999E-2</v>
      </c>
      <c r="J55" s="528">
        <f>SUMPRODUCT(('2002因素修正幅度'!$A$73:$A$79=A55)*('2002因素修正幅度'!$B$35:$K$35=$G$2)*('2002因素修正幅度'!$B$73:$K$79))</f>
        <v>-0.03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1754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1.6E-2</v>
      </c>
      <c r="G56" s="528">
        <f t="shared" si="5"/>
        <v>8.0000000000000002E-3</v>
      </c>
      <c r="H56" s="529">
        <v>0</v>
      </c>
      <c r="I56" s="528">
        <f t="shared" si="6"/>
        <v>-8.0000000000000002E-3</v>
      </c>
      <c r="J56" s="528">
        <f>SUMPRODUCT(('2002因素修正幅度'!$A$73:$A$79=A56)*('2002因素修正幅度'!$B$35:$K$35=$G$2)*('2002因素修正幅度'!$B$73:$K$79))</f>
        <v>-1.6E-2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2.4E-2</v>
      </c>
      <c r="G57" s="528">
        <f t="shared" si="5"/>
        <v>1.2E-2</v>
      </c>
      <c r="H57" s="529">
        <v>0</v>
      </c>
      <c r="I57" s="528">
        <f t="shared" si="6"/>
        <v>-1.2E-2</v>
      </c>
      <c r="J57" s="528">
        <f>SUMPRODUCT(('2002因素修正幅度'!$A$73:$A$79=A57)*('2002因素修正幅度'!$B$35:$K$35=$G$2)*('2002因素修正幅度'!$B$73:$K$79))</f>
        <v>-2.4E-2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1511</v>
      </c>
      <c r="E59" s="250" t="s">
        <v>1512</v>
      </c>
      <c r="F59" s="138" t="s">
        <v>1513</v>
      </c>
      <c r="G59" s="138" t="s">
        <v>1514</v>
      </c>
      <c r="H59" s="138" t="s">
        <v>1515</v>
      </c>
      <c r="I59" s="138" t="s">
        <v>1516</v>
      </c>
      <c r="J59" s="138" t="s">
        <v>1517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-8.5000000000000006E-3</v>
      </c>
      <c r="J60" s="528">
        <f>SUMPRODUCT(('2002因素修正幅度'!$A$80:$A$87=A60)*('2002因素修正幅度'!$B$35:$K$35=$G$2)*('2002因素修正幅度'!$B$80:$K$87))</f>
        <v>-1.7000000000000001E-2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-1.7000000000000001E-2</v>
      </c>
      <c r="J61" s="528">
        <f>SUMPRODUCT(('2002因素修正幅度'!$A$80:$A$87=A61)*('2002因素修正幅度'!$B$35:$K$35=$G$2)*('2002因素修正幅度'!$B$80:$K$87))</f>
        <v>-3.4000000000000002E-2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-8.5000000000000006E-3</v>
      </c>
      <c r="J62" s="528">
        <f>SUMPRODUCT(('2002因素修正幅度'!$A$80:$A$87=A62)*('2002因素修正幅度'!$B$35:$K$35=$G$2)*('2002因素修正幅度'!$B$80:$K$87))</f>
        <v>-1.7000000000000001E-2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-8.5000000000000006E-3</v>
      </c>
      <c r="J63" s="528">
        <f>SUMPRODUCT(('2002因素修正幅度'!$A$80:$A$87=A63)*('2002因素修正幅度'!$B$35:$K$35=$G$2)*('2002因素修正幅度'!$B$80:$K$87))</f>
        <v>-1.7000000000000001E-2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1754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-6.7999999999999996E-3</v>
      </c>
      <c r="J64" s="528">
        <f>SUMPRODUCT(('2002因素修正幅度'!$A$80:$A$87=A64)*('2002因素修正幅度'!$B$35:$K$35=$G$2)*('2002因素修正幅度'!$B$80:$K$87))</f>
        <v>-1.3599999999999999E-2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-1.0200000000000001E-2</v>
      </c>
      <c r="J65" s="528">
        <f>SUMPRODUCT(('2002因素修正幅度'!$A$80:$A$87=A65)*('2002因素修正幅度'!$B$35:$K$35=$G$2)*('2002因素修正幅度'!$B$80:$K$87))</f>
        <v>-2.0400000000000001E-2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-1.7000000000000001E-2</v>
      </c>
      <c r="J66" s="528">
        <f>SUMPRODUCT(('2002因素修正幅度'!$A$80:$A$87=A66)*('2002因素修正幅度'!$B$35:$K$35=$G$2)*('2002因素修正幅度'!$B$80:$K$87))</f>
        <v>-3.4000000000000002E-2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-8.5000000000000006E-3</v>
      </c>
      <c r="J67" s="528">
        <f>SUMPRODUCT(('2002因素修正幅度'!$A$80:$A$87=A67)*('2002因素修正幅度'!$B$35:$K$35=$G$2)*('2002因素修正幅度'!$B$80:$K$87))</f>
        <v>-1.7000000000000001E-2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1511</v>
      </c>
      <c r="E69" s="250" t="s">
        <v>1512</v>
      </c>
      <c r="F69" s="138" t="s">
        <v>1513</v>
      </c>
      <c r="G69" s="138" t="s">
        <v>1514</v>
      </c>
      <c r="H69" s="138" t="s">
        <v>1515</v>
      </c>
      <c r="I69" s="138" t="s">
        <v>1516</v>
      </c>
      <c r="J69" s="138" t="s">
        <v>1517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4.8000000000000001E-2</v>
      </c>
      <c r="G70" s="528">
        <f t="shared" ref="G70:G76" si="11">F70/2</f>
        <v>2.4E-2</v>
      </c>
      <c r="H70" s="529">
        <v>0</v>
      </c>
      <c r="I70" s="528">
        <f t="shared" ref="I70:I76" si="12">J70/2</f>
        <v>-2.4E-2</v>
      </c>
      <c r="J70" s="528">
        <f>SUMPRODUCT(('2002因素修正幅度'!$A$88:$A$94=A70)*('2002因素修正幅度'!$B$35:$K$35=$G$2)*('2002因素修正幅度'!$B$88:$K$94))</f>
        <v>-4.8000000000000001E-2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7.6799999999999993E-2</v>
      </c>
      <c r="G71" s="528">
        <f t="shared" si="11"/>
        <v>3.8399999999999997E-2</v>
      </c>
      <c r="H71" s="529">
        <v>0</v>
      </c>
      <c r="I71" s="528">
        <f t="shared" si="12"/>
        <v>-3.8399999999999997E-2</v>
      </c>
      <c r="J71" s="528">
        <f>SUMPRODUCT(('2002因素修正幅度'!$A$88:$A$94=A71)*('2002因素修正幅度'!$B$35:$K$35=$G$2)*('2002因素修正幅度'!$B$88:$K$94))</f>
        <v>-7.6799999999999993E-2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2.4E-2</v>
      </c>
      <c r="G72" s="528">
        <f t="shared" si="11"/>
        <v>1.2E-2</v>
      </c>
      <c r="H72" s="529">
        <v>0</v>
      </c>
      <c r="I72" s="528">
        <f t="shared" si="12"/>
        <v>-1.2E-2</v>
      </c>
      <c r="J72" s="528">
        <f>SUMPRODUCT(('2002因素修正幅度'!$A$88:$A$94=A72)*('2002因素修正幅度'!$B$35:$K$35=$G$2)*('2002因素修正幅度'!$B$88:$K$94))</f>
        <v>-2.4E-2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1.9199999999999998E-2</v>
      </c>
      <c r="G73" s="528">
        <f t="shared" si="11"/>
        <v>9.5999999999999992E-3</v>
      </c>
      <c r="H73" s="529">
        <v>0</v>
      </c>
      <c r="I73" s="528">
        <f t="shared" si="12"/>
        <v>-9.5999999999999992E-3</v>
      </c>
      <c r="J73" s="528">
        <f>SUMPRODUCT(('2002因素修正幅度'!$A$88:$A$94=A73)*('2002因素修正幅度'!$B$35:$K$35=$G$2)*('2002因素修正幅度'!$B$88:$K$94))</f>
        <v>-1.9199999999999998E-2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1754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2.8799999999999999E-2</v>
      </c>
      <c r="G74" s="528">
        <f t="shared" si="11"/>
        <v>1.44E-2</v>
      </c>
      <c r="H74" s="529">
        <v>0</v>
      </c>
      <c r="I74" s="528">
        <f t="shared" si="12"/>
        <v>-1.44E-2</v>
      </c>
      <c r="J74" s="528">
        <f>SUMPRODUCT(('2002因素修正幅度'!$A$88:$A$94=A74)*('2002因素修正幅度'!$B$35:$K$35=$G$2)*('2002因素修正幅度'!$B$88:$K$94))</f>
        <v>-2.8799999999999999E-2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2.4E-2</v>
      </c>
      <c r="G75" s="528">
        <f t="shared" si="11"/>
        <v>1.2E-2</v>
      </c>
      <c r="H75" s="529">
        <v>0</v>
      </c>
      <c r="I75" s="528">
        <f t="shared" si="12"/>
        <v>-1.2E-2</v>
      </c>
      <c r="J75" s="528">
        <f>SUMPRODUCT(('2002因素修正幅度'!$A$88:$A$94=A75)*('2002因素修正幅度'!$B$35:$K$35=$G$2)*('2002因素修正幅度'!$B$88:$K$94))</f>
        <v>-2.4E-2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1.9199999999999998E-2</v>
      </c>
      <c r="G76" s="528">
        <f t="shared" si="11"/>
        <v>9.5999999999999992E-3</v>
      </c>
      <c r="H76" s="529">
        <v>0</v>
      </c>
      <c r="I76" s="528">
        <f t="shared" si="12"/>
        <v>-9.5999999999999992E-3</v>
      </c>
      <c r="J76" s="528">
        <f>SUMPRODUCT(('2002因素修正幅度'!$A$88:$A$94=A76)*('2002因素修正幅度'!$B$35:$K$35=$G$2)*('2002因素修正幅度'!$B$88:$K$94))</f>
        <v>-1.9199999999999998E-2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1478</v>
      </c>
      <c r="B80" s="596">
        <f>G3</f>
        <v>7.09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1479</v>
      </c>
      <c r="B81" s="597">
        <f>SUMIF(A82:A85,E2,B82:B85)</f>
        <v>0.62749999999999995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0.62749999999999995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0.80989999999999995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0.86270000000000002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0.65659999999999996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 xr:uid="{00000000-0002-0000-0E00-000000000000}">
      <formula1>五等判定</formula1>
    </dataValidation>
    <dataValidation type="list" allowBlank="1" showInputMessage="1" showErrorMessage="1" sqref="C25" xr:uid="{00000000-0002-0000-0E00-000001000000}">
      <formula1>季度2002</formula1>
    </dataValidation>
    <dataValidation type="list" allowBlank="1" showInputMessage="1" showErrorMessage="1" sqref="E3" xr:uid="{00000000-0002-0000-0E00-000002000000}">
      <formula1>二级分类</formula1>
    </dataValidation>
    <dataValidation type="list" allowBlank="1" showInputMessage="1" showErrorMessage="1" sqref="F16" xr:uid="{00000000-0002-0000-0E00-000003000000}">
      <formula1>"三通一平,四通一平,五通一平,六通一平,七通一平"</formula1>
    </dataValidation>
    <dataValidation type="list" allowBlank="1" showInputMessage="1" showErrorMessage="1" sqref="D11" xr:uid="{00000000-0002-0000-0E00-000004000000}">
      <formula1>"市区,郊区"</formula1>
    </dataValidation>
    <dataValidation type="list" allowBlank="1" showInputMessage="1" showErrorMessage="1" sqref="I2" xr:uid="{00000000-0002-0000-0E00-000005000000}">
      <formula1>"地上,地下"</formula1>
    </dataValidation>
    <dataValidation type="list" allowBlank="1" showInputMessage="1" showErrorMessage="1" sqref="D22" xr:uid="{00000000-0002-0000-0E00-000006000000}">
      <formula1>"四环路外,四环路内"</formula1>
    </dataValidation>
    <dataValidation type="list" allowBlank="1" showInputMessage="1" showErrorMessage="1" sqref="F3" xr:uid="{00000000-0002-0000-0E00-000007000000}">
      <formula1>"容积率,设定容积率"</formula1>
    </dataValidation>
    <dataValidation type="list" allowBlank="1" showInputMessage="1" showErrorMessage="1" sqref="F10" xr:uid="{00000000-0002-0000-0E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商业</v>
      </c>
      <c r="L1" s="579" t="str">
        <f>'2002基准地价'!G2</f>
        <v>四级</v>
      </c>
      <c r="M1" s="580">
        <f>SUMPRODUCT((K3:K12=L1)*(L2:O2=K1)*(L3:O12))</f>
        <v>4405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954" t="s">
        <v>1322</v>
      </c>
      <c r="B1" s="1951" t="s">
        <v>1323</v>
      </c>
      <c r="C1" s="1952"/>
      <c r="D1" s="1953"/>
      <c r="E1" s="1951" t="s">
        <v>1324</v>
      </c>
      <c r="F1" s="1952"/>
      <c r="G1" s="1953"/>
    </row>
    <row r="2" spans="1:7">
      <c r="A2" s="1955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AK58"/>
  <sheetViews>
    <sheetView zoomScale="90" zoomScaleNormal="90" zoomScaleSheetLayoutView="89" workbookViewId="0">
      <selection activeCell="E33" sqref="E33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1466</v>
      </c>
      <c r="B1" s="629"/>
      <c r="C1" s="1514" t="s">
        <v>1571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959" t="s">
        <v>1437</v>
      </c>
      <c r="E2" s="1963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1567</v>
      </c>
      <c r="B3" s="714">
        <f ca="1">IF(C1="求取熟地价",C27,ROUND((C15*B11+C18)*C22/B11,0))</f>
        <v>4310</v>
      </c>
      <c r="C3" s="965" t="s">
        <v>917</v>
      </c>
      <c r="D3" s="1960"/>
      <c r="E3" s="1964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960"/>
      <c r="E4" s="1964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'主表(商业）'!B12</f>
        <v>商业</v>
      </c>
      <c r="C5" s="719"/>
      <c r="D5" s="1961"/>
      <c r="E5" s="1965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 t="s">
        <v>1915</v>
      </c>
      <c r="C6" s="719"/>
      <c r="D6" s="1959" t="s">
        <v>1438</v>
      </c>
      <c r="E6" s="1963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LEFT('主表(商业）'!B10,1)&amp;"类"</f>
        <v>四类</v>
      </c>
      <c r="C7" s="719"/>
      <c r="D7" s="1960"/>
      <c r="E7" s="1964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1572</v>
      </c>
      <c r="B8" s="1406" t="s">
        <v>1990</v>
      </c>
      <c r="C8" s="719"/>
      <c r="D8" s="1961"/>
      <c r="E8" s="1965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'主表(商业）'!B7</f>
        <v>72550.03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'主表(商业）'!B6</f>
        <v>8185.16</v>
      </c>
      <c r="C10" s="719"/>
      <c r="D10" s="1959" t="s">
        <v>1416</v>
      </c>
      <c r="E10" s="1963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1918</v>
      </c>
      <c r="B11" s="718">
        <f>IF(A11="容积率",'主表(商业）'!B8,'主表(商业）'!B9)</f>
        <v>7.09</v>
      </c>
      <c r="C11" s="719"/>
      <c r="D11" s="1962"/>
      <c r="E11" s="1966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1461</v>
      </c>
      <c r="B13" s="698"/>
      <c r="C13" s="699" t="s">
        <v>1462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>
        <v>1750</v>
      </c>
      <c r="D14" s="1382">
        <f>SUMPRODUCT((D35:M35=B7)*(B36:B39=B6)*(D36:M39))</f>
        <v>1500</v>
      </c>
      <c r="E14" s="1383">
        <f>SUMPRODUCT((D35:M35=B7)*(B40:B43=B6)*(D40:M43))</f>
        <v>2000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630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>
        <f>(D16+E16)/2</f>
        <v>630</v>
      </c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>
        <v>0</v>
      </c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1576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27400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>
        <f>(D19+E19)/2</f>
        <v>6850</v>
      </c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1991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1575</v>
      </c>
      <c r="C20" s="1401">
        <f>(D20+E20)/2</f>
        <v>300</v>
      </c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1573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5.6629999999999994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1574</v>
      </c>
      <c r="B22" s="1375" t="s">
        <v>202</v>
      </c>
      <c r="C22" s="1385">
        <f ca="1">ROUND(POWER(1+C23,C25-C24)*(POWER(1+C23,C24)-1)/(POWER(1+C23,C25)-1),4)</f>
        <v>0.95889999999999997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4.9950000000000001E-2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1650</v>
      </c>
      <c r="C24" s="635">
        <f>IF(B24="剩余土地使用年限",'主表(商业）'!B15,'主表(商业）'!B16)</f>
        <v>35.46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40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948" t="s">
        <v>1351</v>
      </c>
      <c r="B27" s="777" t="s">
        <v>1338</v>
      </c>
      <c r="C27" s="635">
        <f>ROUND(C28/B11,0)</f>
        <v>0</v>
      </c>
      <c r="D27" s="644">
        <f>B9</f>
        <v>72550.03</v>
      </c>
      <c r="E27" s="645">
        <f>ROUND(C27*D27,0)</f>
        <v>0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949"/>
      <c r="B28" s="782" t="s">
        <v>1341</v>
      </c>
      <c r="C28" s="635">
        <f>IF('主表(商业）'!B4&lt;DATE(2002,12,10),ROUND(C14*C21*C22+C15*B11+C18,0),0)</f>
        <v>0</v>
      </c>
      <c r="D28" s="644">
        <f>B10</f>
        <v>8185.16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950" t="s">
        <v>1463</v>
      </c>
      <c r="B29" s="764" t="s">
        <v>1464</v>
      </c>
      <c r="C29" s="649">
        <f>ROUND(C30/B11,0)</f>
        <v>0</v>
      </c>
      <c r="D29" s="650">
        <f>B9</f>
        <v>72550.03</v>
      </c>
      <c r="E29" s="651">
        <f>ROUND(C29*D29,0)</f>
        <v>0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969"/>
      <c r="B30" s="968" t="s">
        <v>1465</v>
      </c>
      <c r="C30" s="640">
        <f>IF('主表(商业）'!B4&lt;DATE(2002,12,10),ROUND(C14*C21*C22+C15*B11,0),0)</f>
        <v>0</v>
      </c>
      <c r="D30" s="692">
        <f>B10</f>
        <v>8185.16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967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968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968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968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968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968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968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968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956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957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957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957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957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958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957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957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957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958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 xr:uid="{00000000-0002-0000-1200-000000000000}">
      <formula1>"商业,公寓,住宅,工业"</formula1>
    </dataValidation>
    <dataValidation type="list" allowBlank="1" showInputMessage="1" showErrorMessage="1" sqref="F20" xr:uid="{00000000-0002-0000-1200-000001000000}">
      <formula1>"近郊区县征地费,远郊区县征地费"</formula1>
    </dataValidation>
    <dataValidation type="list" allowBlank="1" showInputMessage="1" showErrorMessage="1" sqref="F19" xr:uid="{00000000-0002-0000-1200-000002000000}">
      <formula1>"居民住宅,企业事业单位,商业和特殊用房"</formula1>
    </dataValidation>
    <dataValidation type="list" allowBlank="1" showInputMessage="1" showErrorMessage="1" sqref="C1" xr:uid="{00000000-0002-0000-1200-000003000000}">
      <formula1>"求取前期开发成本,求取熟地价"</formula1>
    </dataValidation>
    <dataValidation type="list" allowBlank="1" showInputMessage="1" showErrorMessage="1" sqref="B8" xr:uid="{00000000-0002-0000-1200-000004000000}">
      <formula1>"城镇拆迁,郊区县征地"</formula1>
    </dataValidation>
    <dataValidation type="list" allowBlank="1" showInputMessage="1" showErrorMessage="1" sqref="A11" xr:uid="{00000000-0002-0000-1200-000005000000}">
      <formula1>"容积率,设定容积率"</formula1>
    </dataValidation>
    <dataValidation type="list" allowBlank="1" showInputMessage="1" showErrorMessage="1" sqref="B24" xr:uid="{00000000-0002-0000-12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C26" sqref="C26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1566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92D050"/>
    <pageSetUpPr fitToPage="1"/>
  </sheetPr>
  <dimension ref="A1:AD120"/>
  <sheetViews>
    <sheetView zoomScale="91" zoomScaleNormal="91" workbookViewId="0">
      <selection activeCell="I19" sqref="I19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993" t="s">
        <v>91</v>
      </c>
      <c r="D4" s="1994"/>
      <c r="E4" s="1995" t="s">
        <v>92</v>
      </c>
      <c r="F4" s="1996"/>
      <c r="G4" s="1993" t="s">
        <v>93</v>
      </c>
      <c r="H4" s="1994"/>
      <c r="I4" s="1993" t="s">
        <v>94</v>
      </c>
      <c r="J4" s="1994"/>
      <c r="K4" s="142" t="s">
        <v>95</v>
      </c>
      <c r="L4" s="448"/>
      <c r="M4" s="449"/>
      <c r="N4" s="449"/>
      <c r="O4" s="449"/>
      <c r="P4" s="1997" t="s">
        <v>96</v>
      </c>
      <c r="Q4" s="1998"/>
      <c r="R4" s="1980" t="s">
        <v>92</v>
      </c>
      <c r="S4" s="1981"/>
      <c r="T4" s="1980" t="s">
        <v>93</v>
      </c>
      <c r="U4" s="1981"/>
      <c r="V4" s="1977" t="s">
        <v>94</v>
      </c>
      <c r="W4" s="1977"/>
      <c r="X4" s="201"/>
      <c r="Y4" s="1980" t="s">
        <v>96</v>
      </c>
      <c r="Z4" s="1981"/>
      <c r="AA4" s="1990" t="s">
        <v>92</v>
      </c>
      <c r="AB4" s="1991" t="s">
        <v>93</v>
      </c>
      <c r="AC4" s="1990" t="s">
        <v>94</v>
      </c>
    </row>
    <row r="5" spans="1:30" ht="15">
      <c r="A5" s="41"/>
      <c r="B5" s="42"/>
      <c r="C5" s="2005" t="s">
        <v>230</v>
      </c>
      <c r="D5" s="2006"/>
      <c r="E5" s="2003" t="s">
        <v>231</v>
      </c>
      <c r="F5" s="2004"/>
      <c r="G5" s="2005" t="s">
        <v>234</v>
      </c>
      <c r="H5" s="2006"/>
      <c r="I5" s="2005" t="s">
        <v>232</v>
      </c>
      <c r="J5" s="2006"/>
      <c r="K5" s="142"/>
      <c r="L5" s="448"/>
      <c r="M5" s="449"/>
      <c r="N5" s="449"/>
      <c r="O5" s="449"/>
      <c r="P5" s="1999"/>
      <c r="Q5" s="2000"/>
      <c r="R5" s="1982"/>
      <c r="S5" s="1983"/>
      <c r="T5" s="1982"/>
      <c r="U5" s="1983"/>
      <c r="V5" s="1977"/>
      <c r="W5" s="1977"/>
      <c r="X5" s="201"/>
      <c r="Y5" s="1982"/>
      <c r="Z5" s="1983"/>
      <c r="AA5" s="1991"/>
      <c r="AB5" s="1991"/>
      <c r="AC5" s="1991"/>
    </row>
    <row r="6" spans="1:30" ht="15.75" thickBot="1">
      <c r="A6" s="43"/>
      <c r="B6" s="44"/>
      <c r="C6" s="2007" t="s">
        <v>233</v>
      </c>
      <c r="D6" s="2008"/>
      <c r="E6" s="2009" t="s">
        <v>233</v>
      </c>
      <c r="F6" s="2010"/>
      <c r="G6" s="2007" t="s">
        <v>233</v>
      </c>
      <c r="H6" s="2008"/>
      <c r="I6" s="2007" t="s">
        <v>233</v>
      </c>
      <c r="J6" s="2008"/>
      <c r="K6" s="142" t="s">
        <v>97</v>
      </c>
      <c r="L6" s="448"/>
      <c r="M6" s="449"/>
      <c r="N6" s="449"/>
      <c r="O6" s="449"/>
      <c r="P6" s="2001"/>
      <c r="Q6" s="2002"/>
      <c r="R6" s="1982"/>
      <c r="S6" s="1983"/>
      <c r="T6" s="1984"/>
      <c r="U6" s="1985"/>
      <c r="V6" s="1977"/>
      <c r="W6" s="1977"/>
      <c r="X6" s="201"/>
      <c r="Y6" s="1984"/>
      <c r="Z6" s="1985"/>
      <c r="AA6" s="1992"/>
      <c r="AB6" s="1992"/>
      <c r="AC6" s="1992"/>
    </row>
    <row r="7" spans="1:30" s="22" customFormat="1" ht="15.75" thickBot="1">
      <c r="A7" s="45" t="s">
        <v>98</v>
      </c>
      <c r="B7" s="46"/>
      <c r="C7" s="1371">
        <f>'主表(商业）'!B4</f>
        <v>39036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978" t="s">
        <v>99</v>
      </c>
      <c r="Q7" s="198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978" t="s">
        <v>99</v>
      </c>
      <c r="Z7" s="197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978" t="s">
        <v>125</v>
      </c>
      <c r="Q8" s="197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978" t="s">
        <v>125</v>
      </c>
      <c r="Z8" s="197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'主表(商业）'!B12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97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98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97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98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>
        <f>IF(B11="容积率",'主表(商业）'!B8,'主表(商业）'!B9)</f>
        <v>8.86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97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98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1545</v>
      </c>
      <c r="C12" s="1082" t="str">
        <f>'主表(商业）'!B10</f>
        <v>四级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97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98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97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98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97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98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98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98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988"/>
      <c r="Q16" s="206"/>
      <c r="R16" s="207"/>
      <c r="S16" s="208"/>
      <c r="T16" s="207"/>
      <c r="U16" s="208"/>
      <c r="V16" s="207"/>
      <c r="W16" s="208"/>
      <c r="X16" s="201"/>
      <c r="Y16" s="1988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98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98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988"/>
      <c r="Q18" s="206"/>
      <c r="R18" s="207"/>
      <c r="S18" s="208"/>
      <c r="T18" s="207"/>
      <c r="U18" s="208"/>
      <c r="V18" s="207"/>
      <c r="W18" s="208"/>
      <c r="X18" s="201"/>
      <c r="Y18" s="1988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98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98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988"/>
      <c r="Q20" s="206"/>
      <c r="R20" s="207"/>
      <c r="S20" s="208"/>
      <c r="T20" s="207"/>
      <c r="U20" s="208"/>
      <c r="V20" s="207"/>
      <c r="W20" s="208"/>
      <c r="X20" s="201"/>
      <c r="Y20" s="1988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98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98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988"/>
      <c r="Q22" s="206"/>
      <c r="R22" s="207"/>
      <c r="S22" s="208"/>
      <c r="T22" s="207"/>
      <c r="U22" s="208"/>
      <c r="V22" s="207"/>
      <c r="W22" s="208"/>
      <c r="X22" s="201"/>
      <c r="Y22" s="198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98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98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988"/>
      <c r="Q24" s="235"/>
      <c r="R24" s="207"/>
      <c r="S24" s="208"/>
      <c r="T24" s="207"/>
      <c r="U24" s="208"/>
      <c r="V24" s="207"/>
      <c r="W24" s="208"/>
      <c r="X24" s="234"/>
      <c r="Y24" s="1988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98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98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988"/>
      <c r="Q26" s="206"/>
      <c r="R26" s="207"/>
      <c r="S26" s="208"/>
      <c r="T26" s="207"/>
      <c r="U26" s="208"/>
      <c r="V26" s="207"/>
      <c r="W26" s="208"/>
      <c r="X26" s="201"/>
      <c r="Y26" s="198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98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98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988"/>
      <c r="Q28" s="18"/>
      <c r="R28" s="202"/>
      <c r="S28" s="203"/>
      <c r="T28" s="202"/>
      <c r="U28" s="203"/>
      <c r="V28" s="202"/>
      <c r="W28" s="203"/>
      <c r="X28" s="204"/>
      <c r="Y28" s="1988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98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98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988"/>
      <c r="Q30" s="497"/>
      <c r="R30" s="202"/>
      <c r="S30" s="203"/>
      <c r="T30" s="202"/>
      <c r="U30" s="203"/>
      <c r="V30" s="202"/>
      <c r="W30" s="203"/>
      <c r="X30" s="204"/>
      <c r="Y30" s="198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98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98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98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98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988"/>
      <c r="Q33" s="206"/>
      <c r="R33" s="207"/>
      <c r="S33" s="208"/>
      <c r="T33" s="207"/>
      <c r="U33" s="208"/>
      <c r="V33" s="207"/>
      <c r="W33" s="208"/>
      <c r="X33" s="201"/>
      <c r="Y33" s="198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98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98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98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98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97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97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1558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97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97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1559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97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97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97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97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97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97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97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97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97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97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97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97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97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97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1560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97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97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970" t="str">
        <f>A46</f>
        <v>成交单价</v>
      </c>
      <c r="Q46" s="1970"/>
      <c r="R46" s="1977">
        <f>E46</f>
        <v>0</v>
      </c>
      <c r="S46" s="1977"/>
      <c r="T46" s="1977">
        <f>G46</f>
        <v>0</v>
      </c>
      <c r="U46" s="1977"/>
      <c r="V46" s="1977">
        <f>I46</f>
        <v>0</v>
      </c>
      <c r="W46" s="197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970" t="str">
        <f>A47</f>
        <v>比较价值（元/平方米）</v>
      </c>
      <c r="Q47" s="1970"/>
      <c r="R47" s="1971" t="e">
        <f>ROUND(PRODUCT(R46,AA7:AA45),0)</f>
        <v>#DIV/0!</v>
      </c>
      <c r="S47" s="1971"/>
      <c r="T47" s="1971" t="e">
        <f>ROUND(PRODUCT(T46,AB7:AB45),0)</f>
        <v>#DIV/0!</v>
      </c>
      <c r="U47" s="1971"/>
      <c r="V47" s="1971" t="e">
        <f>ROUND(PRODUCT(V46,AC7:AC45),0)</f>
        <v>#DIV/0!</v>
      </c>
      <c r="W47" s="1971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972" t="str">
        <f>A48</f>
        <v>估价对象比较价值（单价内涵，元/平方米）</v>
      </c>
      <c r="Q48" s="1973"/>
      <c r="R48" s="1974" t="e">
        <f>ROUND(AVERAGE(R47:V47),0)</f>
        <v>#DIV/0!</v>
      </c>
      <c r="S48" s="1974"/>
      <c r="T48" s="1974"/>
      <c r="U48" s="1974"/>
      <c r="V48" s="1974"/>
      <c r="W48" s="19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2006-11-1</v>
      </c>
      <c r="D56" s="1671">
        <f>EDATE(C56,-3)</f>
        <v>38930</v>
      </c>
      <c r="E56" s="1671">
        <f t="shared" ref="E56:O56" si="15">EDATE(D56,-3)</f>
        <v>38838</v>
      </c>
      <c r="F56" s="1671">
        <f t="shared" si="15"/>
        <v>38749</v>
      </c>
      <c r="G56" s="1671">
        <f t="shared" si="15"/>
        <v>38657</v>
      </c>
      <c r="H56" s="1671">
        <f t="shared" si="15"/>
        <v>38565</v>
      </c>
      <c r="I56" s="1671">
        <f t="shared" si="15"/>
        <v>38473</v>
      </c>
      <c r="J56" s="1671">
        <f t="shared" si="15"/>
        <v>38384</v>
      </c>
      <c r="K56" s="1671">
        <f t="shared" si="15"/>
        <v>38292</v>
      </c>
      <c r="L56" s="1671">
        <f t="shared" si="15"/>
        <v>38200</v>
      </c>
      <c r="M56" s="1671">
        <f t="shared" si="15"/>
        <v>38108</v>
      </c>
      <c r="N56" s="1671">
        <f t="shared" si="15"/>
        <v>38018</v>
      </c>
      <c r="O56" s="1671">
        <f t="shared" si="15"/>
        <v>37926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2006-4</v>
      </c>
      <c r="D58" s="1670" t="str">
        <f t="shared" ref="D58:O58" si="16">YEAR(D56)&amp;"-"&amp;ROUNDUP(MONTH(D56)/3,0)</f>
        <v>2006-3</v>
      </c>
      <c r="E58" s="1670" t="str">
        <f t="shared" si="16"/>
        <v>2006-2</v>
      </c>
      <c r="F58" s="1670" t="str">
        <f t="shared" si="16"/>
        <v>2006-1</v>
      </c>
      <c r="G58" s="1670" t="str">
        <f t="shared" si="16"/>
        <v>2005-4</v>
      </c>
      <c r="H58" s="1670" t="str">
        <f t="shared" si="16"/>
        <v>2005-3</v>
      </c>
      <c r="I58" s="1670" t="str">
        <f t="shared" si="16"/>
        <v>2005-2</v>
      </c>
      <c r="J58" s="1670" t="str">
        <f t="shared" si="16"/>
        <v>2005-1</v>
      </c>
      <c r="K58" s="1670" t="str">
        <f t="shared" si="16"/>
        <v>2004-4</v>
      </c>
      <c r="L58" s="1670" t="str">
        <f t="shared" si="16"/>
        <v>2004-3</v>
      </c>
      <c r="M58" s="1670" t="str">
        <f t="shared" si="16"/>
        <v>2004-2</v>
      </c>
      <c r="N58" s="1670" t="str">
        <f t="shared" si="16"/>
        <v>2004-1</v>
      </c>
      <c r="O58" s="1670" t="str">
        <f t="shared" si="16"/>
        <v>2003-4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'主表(商业）'!B12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1546</v>
      </c>
      <c r="D70" s="1055" t="s">
        <v>1547</v>
      </c>
      <c r="E70" s="1055" t="s">
        <v>1548</v>
      </c>
      <c r="F70" s="1055" t="s">
        <v>1549</v>
      </c>
      <c r="G70" s="1055" t="s">
        <v>1550</v>
      </c>
      <c r="H70" s="1055" t="s">
        <v>1551</v>
      </c>
      <c r="I70" s="1055" t="s">
        <v>1552</v>
      </c>
      <c r="J70" s="1055" t="s">
        <v>1553</v>
      </c>
      <c r="K70" s="1055" t="s">
        <v>1554</v>
      </c>
      <c r="L70" s="1055" t="s">
        <v>1555</v>
      </c>
      <c r="M70" s="1056" t="s">
        <v>1556</v>
      </c>
      <c r="N70" s="1056" t="s">
        <v>1557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1561</v>
      </c>
      <c r="D102" s="1134" t="s">
        <v>1562</v>
      </c>
      <c r="E102" s="1134" t="s">
        <v>1563</v>
      </c>
      <c r="F102" s="1134" t="s">
        <v>1564</v>
      </c>
      <c r="G102" s="1134" t="s">
        <v>1565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1560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1561</v>
      </c>
      <c r="D119" s="1134" t="s">
        <v>1562</v>
      </c>
      <c r="E119" s="1134" t="s">
        <v>1563</v>
      </c>
      <c r="F119" s="1134" t="s">
        <v>1564</v>
      </c>
      <c r="G119" s="1134" t="s">
        <v>1565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 xr:uid="{00000000-0002-0000-1300-000000000000}">
      <formula1>住宅朝向</formula1>
    </dataValidation>
    <dataValidation type="list" allowBlank="1" showInputMessage="1" showErrorMessage="1" sqref="E28 C28 G28 I28" xr:uid="{00000000-0002-0000-1300-000001000000}">
      <formula1>公共配套设施</formula1>
    </dataValidation>
    <dataValidation type="list" allowBlank="1" showInputMessage="1" showErrorMessage="1" sqref="G22 C22 E22 I22" xr:uid="{00000000-0002-0000-1300-000002000000}">
      <formula1>交通便捷度</formula1>
    </dataValidation>
    <dataValidation type="list" allowBlank="1" showInputMessage="1" showErrorMessage="1" sqref="E16 C16 G16 I16" xr:uid="{00000000-0002-0000-1300-000003000000}">
      <formula1>居住社区成熟度</formula1>
    </dataValidation>
    <dataValidation type="list" allowBlank="1" showInputMessage="1" showErrorMessage="1" sqref="C26 G26 E26 I26" xr:uid="{00000000-0002-0000-1300-000004000000}">
      <formula1>环境</formula1>
    </dataValidation>
    <dataValidation type="list" allowBlank="1" showInputMessage="1" showErrorMessage="1" sqref="B46" xr:uid="{00000000-0002-0000-1300-000005000000}">
      <formula1>单价内涵</formula1>
    </dataValidation>
    <dataValidation type="list" allowBlank="1" showInputMessage="1" showErrorMessage="1" sqref="C8 E8 G8 I8" xr:uid="{00000000-0002-0000-1300-000006000000}">
      <formula1>套综交易情况</formula1>
    </dataValidation>
    <dataValidation type="list" allowBlank="1" showInputMessage="1" showErrorMessage="1" sqref="I9 E9 G9" xr:uid="{00000000-0002-0000-1300-000007000000}">
      <formula1>套综用途</formula1>
    </dataValidation>
    <dataValidation type="list" allowBlank="1" showInputMessage="1" showErrorMessage="1" sqref="G18 C18 E18 I18" xr:uid="{00000000-0002-0000-1300-000008000000}">
      <formula1>商业繁华度</formula1>
    </dataValidation>
    <dataValidation type="list" allowBlank="1" showInputMessage="1" showErrorMessage="1" sqref="G20 C20 E20 I20" xr:uid="{00000000-0002-0000-1300-000009000000}">
      <formula1>办公集聚程度</formula1>
    </dataValidation>
    <dataValidation type="list" allowBlank="1" showInputMessage="1" showErrorMessage="1" sqref="C33 G33 E33 I33" xr:uid="{00000000-0002-0000-1300-00000A000000}">
      <formula1>套综道路等级</formula1>
    </dataValidation>
    <dataValidation type="list" allowBlank="1" showInputMessage="1" showErrorMessage="1" sqref="C34 E34 G34 I34" xr:uid="{00000000-0002-0000-1300-00000B000000}">
      <formula1>套综土地级别</formula1>
    </dataValidation>
    <dataValidation type="list" allowBlank="1" showInputMessage="1" showErrorMessage="1" sqref="C39 E39 G39 I39" xr:uid="{00000000-0002-0000-1300-00000C000000}">
      <formula1>套综宗地形状</formula1>
    </dataValidation>
    <dataValidation type="list" allowBlank="1" showInputMessage="1" showErrorMessage="1" sqref="C40 E40 G40 I40" xr:uid="{00000000-0002-0000-1300-00000D000000}">
      <formula1>套综临街宽度及深度</formula1>
    </dataValidation>
    <dataValidation type="list" allowBlank="1" showInputMessage="1" showErrorMessage="1" sqref="C41 E41 G41 I41" xr:uid="{00000000-0002-0000-1300-00000E000000}">
      <formula1>套综宗地内开发程度</formula1>
    </dataValidation>
    <dataValidation type="list" allowBlank="1" showInputMessage="1" showErrorMessage="1" sqref="C42 E42 G42 I42" xr:uid="{00000000-0002-0000-1300-00000F000000}">
      <formula1>套综工程地质条件</formula1>
    </dataValidation>
    <dataValidation type="list" allowBlank="1" showInputMessage="1" showErrorMessage="1" sqref="C31 G31 E31 I31" xr:uid="{00000000-0002-0000-1300-000010000000}">
      <formula1>临街状况</formula1>
    </dataValidation>
    <dataValidation type="list" allowBlank="1" showInputMessage="1" showErrorMessage="1" sqref="C24 E24 G24 I24" xr:uid="{00000000-0002-0000-1300-000011000000}">
      <formula1>区域土地利用方向</formula1>
    </dataValidation>
    <dataValidation type="list" allowBlank="1" showInputMessage="1" showErrorMessage="1" sqref="C30 G30 E30 I30" xr:uid="{00000000-0002-0000-1300-000012000000}">
      <formula1>基础设施水平</formula1>
    </dataValidation>
    <dataValidation type="list" allowBlank="1" showInputMessage="1" showErrorMessage="1" sqref="E12 G12 I12" xr:uid="{00000000-0002-0000-1300-000013000000}">
      <formula1>土地级别</formula1>
    </dataValidation>
    <dataValidation type="list" allowBlank="1" showInputMessage="1" showErrorMessage="1" sqref="C37 C45 G45 E45 E37 G37 I37 I45" xr:uid="{00000000-0002-0000-1300-000014000000}">
      <formula1>五等判定</formula1>
    </dataValidation>
    <dataValidation type="list" allowBlank="1" showInputMessage="1" showErrorMessage="1" sqref="B11" xr:uid="{00000000-0002-0000-13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1518</v>
      </c>
      <c r="C1" s="1031">
        <f>'主表(商业）'!B3</f>
        <v>44488</v>
      </c>
      <c r="D1" s="986" t="str">
        <f>'主表(商业）'!A23</f>
        <v>建设期</v>
      </c>
      <c r="E1" s="1026">
        <f>'主表(商业）'!B23</f>
        <v>1</v>
      </c>
      <c r="F1" s="986" t="s">
        <v>1519</v>
      </c>
      <c r="G1" s="987">
        <f ca="1">INDIRECT("d"&amp;$K$1)/100</f>
        <v>4.3499999999999997E-2</v>
      </c>
      <c r="H1" s="986" t="s">
        <v>1520</v>
      </c>
      <c r="I1" s="987">
        <f ca="1">SUMIF(F4:F8,E1,G4:G8)/100</f>
        <v>1.4999999999999999E-2</v>
      </c>
      <c r="J1" s="1156">
        <f>IF(C1&gt;C14,0,MATCH(C1,C$14:C$59,-1))+IF(SUMIF(C14:C59,C1,D14:D59)=0,14,13)</f>
        <v>14</v>
      </c>
      <c r="K1" s="1156">
        <f ca="1">MATCH(E1,C4:C8,1)+IF(SUMIF(C4:C8,E1,D4:D8)=0,3,2)</f>
        <v>5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'主表(商业）'!B4</f>
        <v>39036</v>
      </c>
      <c r="D2" s="1030" t="str">
        <f>'主表(商业）'!A24</f>
        <v>土地开发期</v>
      </c>
      <c r="E2" s="1026">
        <f>'主表(商业）'!B24</f>
        <v>1</v>
      </c>
      <c r="F2" s="986" t="s">
        <v>1519</v>
      </c>
      <c r="G2" s="987">
        <f ca="1">INDIRECT("e"&amp;$K$2)/100</f>
        <v>6.1200000000000004E-2</v>
      </c>
      <c r="H2" s="986" t="s">
        <v>1520</v>
      </c>
      <c r="I2" s="987">
        <f ca="1">SUMIF(F4:F8,E2,G4:G8)/100</f>
        <v>1.4999999999999999E-2</v>
      </c>
      <c r="J2" s="1156">
        <f>IF(C2&gt;C14,0,MATCH(C2,C$14:C$59,-1))+IF(SUMIF(C14:C59,C2,D14:D59)=0,14,13)</f>
        <v>39</v>
      </c>
      <c r="K2" s="1156">
        <f ca="1">MATCH(E2,C4:C8,1)+IF(SUMIF(C4:C8,E2,D4:D8)=0,3,2)</f>
        <v>5</v>
      </c>
      <c r="L2" s="1156">
        <f>IF(C2&gt;M14,0,MATCH(C2,M$14:M$52,-1))+IF(SUMIF(M14:M52,C2,N14:N52)=0,14,13)</f>
        <v>38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1519</v>
      </c>
      <c r="G3" s="1038">
        <f ca="1">INDIRECT("e"&amp;$K$3)/100</f>
        <v>6.3E-2</v>
      </c>
      <c r="H3" s="1037" t="s">
        <v>1520</v>
      </c>
      <c r="I3" s="1038">
        <f ca="1">SUMIF(F4:F8,E3,H4:H8)/100</f>
        <v>3.6900000000000002E-2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1521</v>
      </c>
      <c r="C4" s="1023">
        <v>0</v>
      </c>
      <c r="D4" s="1022">
        <f ca="1">INDIRECT("d"&amp;$J$1)</f>
        <v>4.3499999999999996</v>
      </c>
      <c r="E4" s="1022">
        <f ca="1">INDIRECT("d"&amp;$J$2)</f>
        <v>5.58</v>
      </c>
      <c r="F4" s="1023">
        <v>0.5</v>
      </c>
      <c r="G4" s="1024">
        <f ca="1">INDIRECT("p"&amp;$L$1)</f>
        <v>1.3</v>
      </c>
      <c r="H4" s="1024">
        <f ca="1">INDIRECT("p"&amp;$L$2)</f>
        <v>2.25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1522</v>
      </c>
      <c r="C5" s="993">
        <v>0.5</v>
      </c>
      <c r="D5" s="994">
        <f ca="1">INDIRECT("e"&amp;$J$1)</f>
        <v>4.3499999999999996</v>
      </c>
      <c r="E5" s="994">
        <f ca="1">INDIRECT("e"&amp;$J$2)</f>
        <v>6.12</v>
      </c>
      <c r="F5" s="993">
        <v>1</v>
      </c>
      <c r="G5" s="1025">
        <f ca="1">INDIRECT("q"&amp;$L$1)</f>
        <v>1.5</v>
      </c>
      <c r="H5" s="1025">
        <f ca="1">INDIRECT("q"&amp;$L$2)</f>
        <v>2.52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1523</v>
      </c>
      <c r="C6" s="993">
        <v>1</v>
      </c>
      <c r="D6" s="994">
        <f ca="1">INDIRECT("f"&amp;$J$1)</f>
        <v>4.75</v>
      </c>
      <c r="E6" s="994">
        <f ca="1">INDIRECT("f"&amp;$J$2)</f>
        <v>6.3</v>
      </c>
      <c r="F6" s="993">
        <v>2</v>
      </c>
      <c r="G6" s="1025">
        <f ca="1">INDIRECT("r"&amp;$L$1)</f>
        <v>2.1</v>
      </c>
      <c r="H6" s="1025">
        <f ca="1">INDIRECT("r"&amp;$L$2)</f>
        <v>3.06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1524</v>
      </c>
      <c r="C7" s="993">
        <v>3</v>
      </c>
      <c r="D7" s="994">
        <f ca="1">INDIRECT("g"&amp;$J$1)</f>
        <v>4.75</v>
      </c>
      <c r="E7" s="994">
        <f ca="1">INDIRECT("g"&amp;$J$2)</f>
        <v>6.48</v>
      </c>
      <c r="F7" s="993">
        <v>3</v>
      </c>
      <c r="G7" s="1025">
        <f ca="1">INDIRECT("s"&amp;$L$1)</f>
        <v>2.75</v>
      </c>
      <c r="H7" s="1025">
        <f ca="1">INDIRECT("s"&amp;$L$2)</f>
        <v>3.69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1525</v>
      </c>
      <c r="C8" s="993">
        <v>5</v>
      </c>
      <c r="D8" s="994">
        <f ca="1">INDIRECT("h"&amp;$J$1)</f>
        <v>4.9000000000000004</v>
      </c>
      <c r="E8" s="994">
        <f ca="1">INDIRECT("h"&amp;$J$2)</f>
        <v>6.84</v>
      </c>
      <c r="F8" s="993">
        <v>5</v>
      </c>
      <c r="G8" s="1025">
        <f ca="1">INDIRECT("t"&amp;$L$1)</f>
        <v>0</v>
      </c>
      <c r="H8" s="1025">
        <f ca="1">INDIRECT("t"&amp;$L$2)</f>
        <v>4.1399999999999997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1526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1527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1528</v>
      </c>
      <c r="C12" s="1000" t="s">
        <v>1529</v>
      </c>
      <c r="D12" s="1001" t="s">
        <v>1530</v>
      </c>
      <c r="E12" s="1002"/>
      <c r="F12" s="1001" t="s">
        <v>1531</v>
      </c>
      <c r="G12" s="1003"/>
      <c r="H12" s="1002"/>
      <c r="I12" s="1001" t="s">
        <v>1532</v>
      </c>
      <c r="J12" s="1002"/>
      <c r="K12" s="998"/>
      <c r="L12" s="999" t="s">
        <v>1528</v>
      </c>
      <c r="M12" s="1000" t="s">
        <v>1529</v>
      </c>
      <c r="N12" s="999" t="s">
        <v>1533</v>
      </c>
      <c r="O12" s="1001" t="s">
        <v>1534</v>
      </c>
      <c r="P12" s="1003"/>
      <c r="Q12" s="1003"/>
      <c r="R12" s="1003"/>
      <c r="S12" s="1003"/>
      <c r="T12" s="1002"/>
      <c r="U12" s="1001" t="s">
        <v>1535</v>
      </c>
      <c r="V12" s="1003"/>
      <c r="W12" s="1002"/>
      <c r="X12" s="999" t="s">
        <v>1536</v>
      </c>
      <c r="Y12" s="999" t="s">
        <v>1537</v>
      </c>
      <c r="Z12" s="999" t="s">
        <v>1538</v>
      </c>
    </row>
    <row r="13" spans="1:26" s="1009" customFormat="1">
      <c r="A13" s="1005"/>
      <c r="B13" s="1006"/>
      <c r="C13" s="1007"/>
      <c r="D13" s="992" t="s">
        <v>1521</v>
      </c>
      <c r="E13" s="992" t="s">
        <v>1522</v>
      </c>
      <c r="F13" s="992" t="s">
        <v>1523</v>
      </c>
      <c r="G13" s="992" t="s">
        <v>1524</v>
      </c>
      <c r="H13" s="992" t="s">
        <v>1525</v>
      </c>
      <c r="I13" s="1008" t="s">
        <v>1539</v>
      </c>
      <c r="J13" s="1008" t="s">
        <v>1539</v>
      </c>
      <c r="K13" s="1005"/>
      <c r="L13" s="1006"/>
      <c r="M13" s="1007"/>
      <c r="N13" s="1006"/>
      <c r="O13" s="1008" t="s">
        <v>1540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1541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1541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1542</v>
      </c>
      <c r="Y43" s="1016" t="s">
        <v>1542</v>
      </c>
      <c r="Z43" s="1016" t="s">
        <v>1542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1542</v>
      </c>
      <c r="Y44" s="1016" t="s">
        <v>1542</v>
      </c>
      <c r="Z44" s="1016" t="s">
        <v>1542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1542</v>
      </c>
      <c r="Y45" s="1016" t="s">
        <v>1542</v>
      </c>
      <c r="Z45" s="1016" t="s">
        <v>1542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1542</v>
      </c>
      <c r="Y46" s="1016" t="s">
        <v>1542</v>
      </c>
      <c r="Z46" s="1016" t="s">
        <v>1542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1542</v>
      </c>
      <c r="Y47" s="1016" t="s">
        <v>1542</v>
      </c>
      <c r="Z47" s="1016" t="s">
        <v>1542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1542</v>
      </c>
      <c r="Y48" s="1016" t="s">
        <v>1542</v>
      </c>
      <c r="Z48" s="1016" t="s">
        <v>1542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1542</v>
      </c>
      <c r="Y49" s="1016" t="s">
        <v>1542</v>
      </c>
      <c r="Z49" s="1016" t="s">
        <v>1542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1542</v>
      </c>
      <c r="Y50" s="1016" t="s">
        <v>1542</v>
      </c>
      <c r="Z50" s="1016" t="s">
        <v>1542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1542</v>
      </c>
      <c r="Y51" s="1016" t="s">
        <v>1542</v>
      </c>
      <c r="Z51" s="1016" t="s">
        <v>1542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1542</v>
      </c>
      <c r="V52" s="1016" t="s">
        <v>1542</v>
      </c>
      <c r="W52" s="1016" t="s">
        <v>1542</v>
      </c>
      <c r="X52" s="1016" t="s">
        <v>1542</v>
      </c>
      <c r="Y52" s="1016" t="s">
        <v>1542</v>
      </c>
      <c r="Z52" s="1016" t="s">
        <v>1542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1542</v>
      </c>
      <c r="J56" s="1016" t="s">
        <v>1542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112"/>
  <sheetViews>
    <sheetView zoomScale="80" zoomScaleNormal="80" workbookViewId="0">
      <selection activeCell="J12" sqref="J12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1718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1653</v>
      </c>
      <c r="C2" s="1614"/>
      <c r="D2" s="1614"/>
      <c r="F2" s="1614"/>
      <c r="G2" s="2019" t="s">
        <v>1654</v>
      </c>
      <c r="H2" s="2019"/>
      <c r="I2" s="2019"/>
      <c r="J2" s="2019"/>
      <c r="K2" s="2019"/>
      <c r="L2" s="2019"/>
      <c r="N2" s="2014" t="s">
        <v>1655</v>
      </c>
      <c r="O2" s="2014"/>
      <c r="P2" s="2014"/>
      <c r="Q2" s="2014"/>
      <c r="R2" s="1673"/>
      <c r="S2" s="2014" t="s">
        <v>1656</v>
      </c>
      <c r="T2" s="2014"/>
      <c r="U2" s="2014"/>
      <c r="V2" s="2014"/>
    </row>
    <row r="3" spans="1:32" s="1534" customFormat="1" ht="14.25">
      <c r="B3" s="15" t="s">
        <v>1712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1758</v>
      </c>
      <c r="H3" s="1706" t="s">
        <v>1759</v>
      </c>
      <c r="I3" s="483" t="s">
        <v>1712</v>
      </c>
      <c r="J3" s="483" t="s">
        <v>1717</v>
      </c>
      <c r="K3" s="524" t="s">
        <v>1312</v>
      </c>
      <c r="L3" s="483" t="s">
        <v>50</v>
      </c>
      <c r="N3" s="483" t="s">
        <v>1712</v>
      </c>
      <c r="O3" s="483" t="s">
        <v>1717</v>
      </c>
      <c r="P3" s="524" t="s">
        <v>1312</v>
      </c>
      <c r="Q3" s="483" t="s">
        <v>50</v>
      </c>
      <c r="R3" s="1535"/>
      <c r="S3" s="483" t="s">
        <v>1712</v>
      </c>
      <c r="T3" s="483" t="s">
        <v>1717</v>
      </c>
      <c r="U3" s="524" t="s">
        <v>1312</v>
      </c>
      <c r="V3" s="483" t="s">
        <v>50</v>
      </c>
    </row>
    <row r="4" spans="1:32" s="1718" customFormat="1" ht="14.25">
      <c r="A4" s="1729" t="s">
        <v>1761</v>
      </c>
      <c r="B4" s="1719"/>
      <c r="C4" s="1719"/>
      <c r="D4" s="1720"/>
      <c r="E4" s="1720"/>
      <c r="F4" s="1719"/>
      <c r="G4" s="1721"/>
      <c r="H4" s="1721"/>
      <c r="I4" s="1728">
        <f>ROUND(AVERAGE($I5:$I29),2)</f>
        <v>1.98</v>
      </c>
      <c r="J4" s="1728">
        <f>ROUND(AVERAGE($J5:$J29),2)</f>
        <v>1.41</v>
      </c>
      <c r="K4" s="1728">
        <f>ROUND(AVERAGE($K5:$K29),2)</f>
        <v>2.16</v>
      </c>
      <c r="L4" s="1728">
        <f>ROUND(AVERAGE($L5:$L29),2)</f>
        <v>1.38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1778</v>
      </c>
      <c r="B6" s="1698">
        <f t="shared" ref="B6" si="0">B7*(1+N6)</f>
        <v>477.19997390765138</v>
      </c>
      <c r="C6" s="1698">
        <f t="shared" ref="C6" si="1">C7*(1+O6)</f>
        <v>351.84874729536665</v>
      </c>
      <c r="D6" s="1698">
        <f t="shared" ref="D6" si="2">C6</f>
        <v>351.84874729536665</v>
      </c>
      <c r="E6" s="1698">
        <f t="shared" ref="E6" si="3">E7*(1+P6)</f>
        <v>682.29768951465201</v>
      </c>
      <c r="F6" s="1698">
        <f t="shared" ref="F6" si="4">F7*(1+Q6)</f>
        <v>315.26985675409043</v>
      </c>
      <c r="G6" s="1705">
        <v>2019</v>
      </c>
      <c r="H6" s="1699">
        <v>4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1762</v>
      </c>
      <c r="Y6" s="1727"/>
      <c r="Z6" s="1727"/>
      <c r="AA6" s="1727"/>
    </row>
    <row r="7" spans="1:32" ht="13.5" thickBot="1">
      <c r="A7" s="1536" t="s">
        <v>1777</v>
      </c>
      <c r="B7" s="1546">
        <f t="shared" ref="B7" si="9">B8*(1+N7)</f>
        <v>477.19997390765138</v>
      </c>
      <c r="C7" s="1546">
        <f t="shared" ref="C7" si="10">C8*(1+O7)</f>
        <v>351.84874729536665</v>
      </c>
      <c r="D7" s="1546">
        <f t="shared" ref="D7" si="11">C7</f>
        <v>351.84874729536665</v>
      </c>
      <c r="E7" s="1546">
        <f t="shared" ref="E7" si="12">E8*(1+P7)</f>
        <v>682.29768951465201</v>
      </c>
      <c r="F7" s="1546">
        <f t="shared" ref="F7" si="13">F8*(1+Q7)</f>
        <v>315.26985675409043</v>
      </c>
      <c r="G7" s="1759">
        <v>2019</v>
      </c>
      <c r="H7" s="1539">
        <v>3</v>
      </c>
      <c r="I7" s="1676">
        <v>0.61</v>
      </c>
      <c r="J7" s="1676">
        <v>0.67</v>
      </c>
      <c r="K7" s="1676">
        <v>0.6</v>
      </c>
      <c r="L7" s="1538">
        <v>1.03</v>
      </c>
      <c r="N7" s="1648">
        <f t="shared" ref="N7" si="14">I7/100</f>
        <v>6.0999999999999995E-3</v>
      </c>
      <c r="O7" s="1543">
        <f t="shared" ref="O7" si="15">J7/100</f>
        <v>6.7000000000000002E-3</v>
      </c>
      <c r="P7" s="1543">
        <f t="shared" ref="P7" si="16">K7/100</f>
        <v>6.0000000000000001E-3</v>
      </c>
      <c r="Q7" s="1543">
        <f t="shared" ref="Q7" si="17">L7/100</f>
        <v>1.03E-2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>
      <c r="A8" s="1536" t="s">
        <v>1775</v>
      </c>
      <c r="B8" s="1546">
        <f t="shared" ref="B8" si="18">B9*(1+N8)</f>
        <v>474.30670301923408</v>
      </c>
      <c r="C8" s="1546">
        <f t="shared" ref="C8" si="19">C9*(1+O8)</f>
        <v>349.50705005996491</v>
      </c>
      <c r="D8" s="1546">
        <f t="shared" ref="D8" si="20">C8</f>
        <v>349.50705005996491</v>
      </c>
      <c r="E8" s="1546">
        <f t="shared" ref="E8" si="21">E9*(1+P8)</f>
        <v>678.22831959706957</v>
      </c>
      <c r="F8" s="1546">
        <f t="shared" ref="F8" si="22">F9*(1+Q8)</f>
        <v>312.0556832169558</v>
      </c>
      <c r="G8" s="1757">
        <v>2019</v>
      </c>
      <c r="H8" s="1537">
        <v>2</v>
      </c>
      <c r="I8" s="1537">
        <v>1.53</v>
      </c>
      <c r="J8" s="1537">
        <v>1.01</v>
      </c>
      <c r="K8" s="1537">
        <v>1.62</v>
      </c>
      <c r="L8" s="1538">
        <v>1.25</v>
      </c>
      <c r="N8" s="1648">
        <f t="shared" ref="N8" si="23">I8/100</f>
        <v>1.5300000000000001E-2</v>
      </c>
      <c r="O8" s="1543">
        <f t="shared" ref="O8" si="24">J8/100</f>
        <v>1.01E-2</v>
      </c>
      <c r="P8" s="1543">
        <f t="shared" ref="P8" si="25">K8/100</f>
        <v>1.6200000000000003E-2</v>
      </c>
      <c r="Q8" s="1543">
        <f t="shared" ref="Q8" si="26">L8/100</f>
        <v>1.2500000000000001E-2</v>
      </c>
      <c r="R8" s="1544"/>
      <c r="S8" s="1650"/>
      <c r="T8" s="1549"/>
      <c r="U8" s="1549"/>
      <c r="V8" s="1549"/>
      <c r="AC8" s="1545"/>
      <c r="AD8" s="1545"/>
      <c r="AE8" s="1545"/>
      <c r="AF8" s="1545"/>
    </row>
    <row r="9" spans="1:32" ht="13.5" thickBot="1">
      <c r="A9" s="1536" t="s">
        <v>1776</v>
      </c>
      <c r="B9" s="1546">
        <f t="shared" ref="B9" si="27">B10*(1+N9)</f>
        <v>467.15916775261894</v>
      </c>
      <c r="C9" s="1546">
        <f t="shared" ref="C9" si="28">C10*(1+O9)</f>
        <v>346.01232557169084</v>
      </c>
      <c r="D9" s="1546">
        <f t="shared" ref="D9" si="29">C9</f>
        <v>346.01232557169084</v>
      </c>
      <c r="E9" s="1546">
        <f t="shared" ref="E9" si="30">E10*(1+P9)</f>
        <v>667.41617752122568</v>
      </c>
      <c r="F9" s="1546">
        <f t="shared" ref="F9" si="31">F10*(1+Q9)</f>
        <v>308.20314391798104</v>
      </c>
      <c r="G9" s="1757">
        <v>2019</v>
      </c>
      <c r="H9" s="1539">
        <v>1</v>
      </c>
      <c r="I9" s="1676">
        <v>0.6</v>
      </c>
      <c r="J9" s="1676">
        <v>0.37</v>
      </c>
      <c r="K9" s="1676">
        <v>0.63</v>
      </c>
      <c r="L9" s="1677">
        <v>1.1299999999999999</v>
      </c>
      <c r="N9" s="1648">
        <f t="shared" ref="N9" si="32">I9/100</f>
        <v>6.0000000000000001E-3</v>
      </c>
      <c r="O9" s="1543">
        <f t="shared" ref="O9" si="33">J9/100</f>
        <v>3.7000000000000002E-3</v>
      </c>
      <c r="P9" s="1543">
        <f t="shared" ref="P9" si="34">K9/100</f>
        <v>6.3E-3</v>
      </c>
      <c r="Q9" s="1543">
        <f t="shared" ref="Q9" si="35">L9/100</f>
        <v>1.1299999999999999E-2</v>
      </c>
      <c r="R9" s="1544"/>
      <c r="S9" s="1650">
        <f>B9/B10-1</f>
        <v>6.0000000000000053E-3</v>
      </c>
      <c r="T9" s="1549">
        <f>C9/C10-1</f>
        <v>3.7000000000000366E-3</v>
      </c>
      <c r="U9" s="1549">
        <f>E9/E10-1</f>
        <v>6.2999999999999723E-3</v>
      </c>
      <c r="V9" s="1549">
        <f>F9/F10-1</f>
        <v>1.1300000000000088E-2</v>
      </c>
      <c r="AC9" s="1545"/>
      <c r="AD9" s="1545"/>
      <c r="AE9" s="1545"/>
      <c r="AF9" s="1545"/>
    </row>
    <row r="10" spans="1:32">
      <c r="A10" s="1536" t="s">
        <v>1770</v>
      </c>
      <c r="B10" s="1730">
        <f t="shared" ref="B10" si="36">B11*(1+N10)</f>
        <v>464.37293017158942</v>
      </c>
      <c r="C10" s="1730">
        <f t="shared" ref="C10" si="37">C11*(1+O10)</f>
        <v>344.73679941385956</v>
      </c>
      <c r="D10" s="1730">
        <f t="shared" ref="D10" si="38">C10</f>
        <v>344.73679941385956</v>
      </c>
      <c r="E10" s="1730">
        <f t="shared" ref="E10" si="39">E11*(1+P10)</f>
        <v>663.2377795103107</v>
      </c>
      <c r="F10" s="1731">
        <f t="shared" ref="F10" si="40">F11*(1+Q10)</f>
        <v>304.75936311478398</v>
      </c>
      <c r="G10" s="2012">
        <v>2018</v>
      </c>
      <c r="H10" s="1537">
        <v>4</v>
      </c>
      <c r="I10" s="1537">
        <v>0.96</v>
      </c>
      <c r="J10" s="1537">
        <v>1.03</v>
      </c>
      <c r="K10" s="1537">
        <v>0.92</v>
      </c>
      <c r="L10" s="1538">
        <v>1.29</v>
      </c>
      <c r="N10" s="1648">
        <f t="shared" ref="N10" si="41">I10/100</f>
        <v>9.5999999999999992E-3</v>
      </c>
      <c r="O10" s="1543">
        <f t="shared" ref="O10" si="42">J10/100</f>
        <v>1.03E-2</v>
      </c>
      <c r="P10" s="1543">
        <f t="shared" ref="P10" si="43">K10/100</f>
        <v>9.1999999999999998E-3</v>
      </c>
      <c r="Q10" s="1543">
        <f t="shared" ref="Q10" si="44">L10/100</f>
        <v>1.29E-2</v>
      </c>
      <c r="R10" s="1544"/>
      <c r="S10" s="1658"/>
      <c r="T10" s="1545"/>
      <c r="U10" s="1545"/>
      <c r="V10" s="1545"/>
      <c r="AC10" s="1545"/>
      <c r="AD10" s="1545"/>
      <c r="AE10" s="1545"/>
      <c r="AF10" s="1545"/>
    </row>
    <row r="11" spans="1:32" s="1534" customFormat="1" ht="14.45" customHeight="1">
      <c r="A11" s="1536" t="s">
        <v>1765</v>
      </c>
      <c r="B11" s="1546">
        <f t="shared" ref="B11" si="45">B12*(1+N11)</f>
        <v>459.95733971036987</v>
      </c>
      <c r="C11" s="1546">
        <f t="shared" ref="C11" si="46">C12*(1+O11)</f>
        <v>341.22221064422405</v>
      </c>
      <c r="D11" s="1546">
        <f t="shared" ref="D11" si="47">C11</f>
        <v>341.22221064422405</v>
      </c>
      <c r="E11" s="1546">
        <f t="shared" ref="E11" si="48">E12*(1+P11)</f>
        <v>657.19161663724799</v>
      </c>
      <c r="F11" s="1546">
        <f t="shared" ref="F11" si="49">F12*(1+Q11)</f>
        <v>300.87803644464805</v>
      </c>
      <c r="G11" s="2012"/>
      <c r="H11" s="1539">
        <v>3</v>
      </c>
      <c r="I11" s="1676">
        <v>1.51</v>
      </c>
      <c r="J11" s="1676">
        <v>1.41</v>
      </c>
      <c r="K11" s="1676">
        <v>1.52</v>
      </c>
      <c r="L11" s="1677">
        <v>1.74</v>
      </c>
      <c r="N11" s="1648">
        <f t="shared" ref="N11" si="50">I11/100</f>
        <v>1.5100000000000001E-2</v>
      </c>
      <c r="O11" s="1543">
        <f t="shared" ref="O11" si="51">J11/100</f>
        <v>1.41E-2</v>
      </c>
      <c r="P11" s="1543">
        <f t="shared" ref="P11" si="52">K11/100</f>
        <v>1.52E-2</v>
      </c>
      <c r="Q11" s="1543">
        <f t="shared" ref="Q11" si="53">L11/100</f>
        <v>1.7399999999999999E-2</v>
      </c>
      <c r="R11" s="1733"/>
      <c r="S11" s="1650"/>
      <c r="T11" s="1549"/>
      <c r="U11" s="1549"/>
      <c r="V11" s="1549"/>
    </row>
    <row r="12" spans="1:32" s="1534" customFormat="1" ht="14.45" customHeight="1">
      <c r="A12" s="1536" t="s">
        <v>1764</v>
      </c>
      <c r="B12" s="1546">
        <f t="shared" ref="B12:B17" si="54">B13*(1+N12)</f>
        <v>453.11529869999993</v>
      </c>
      <c r="C12" s="1546">
        <f t="shared" ref="C12" si="55">C13*(1+O12)</f>
        <v>336.47787264000004</v>
      </c>
      <c r="D12" s="1546">
        <f t="shared" ref="D12" si="56">C12</f>
        <v>336.47787264000004</v>
      </c>
      <c r="E12" s="1546">
        <f t="shared" ref="E12" si="57">E13*(1+P12)</f>
        <v>647.35186823999993</v>
      </c>
      <c r="F12" s="1546">
        <f t="shared" ref="F12" si="58">F13*(1+Q12)</f>
        <v>295.73229452000004</v>
      </c>
      <c r="G12" s="2012"/>
      <c r="H12" s="1540">
        <v>2</v>
      </c>
      <c r="I12" s="1693">
        <v>1.49</v>
      </c>
      <c r="J12" s="1693">
        <v>0.96</v>
      </c>
      <c r="K12" s="1693">
        <v>1.58</v>
      </c>
      <c r="L12" s="1694">
        <v>2.44</v>
      </c>
      <c r="N12" s="1648">
        <f t="shared" ref="N12" si="59">I12/100</f>
        <v>1.49E-2</v>
      </c>
      <c r="O12" s="1543">
        <f t="shared" ref="O12" si="60">J12/100</f>
        <v>9.5999999999999992E-3</v>
      </c>
      <c r="P12" s="1543">
        <f t="shared" ref="P12" si="61">K12/100</f>
        <v>1.5800000000000002E-2</v>
      </c>
      <c r="Q12" s="1543">
        <f t="shared" ref="Q12" si="62">L12/100</f>
        <v>2.4399999999999998E-2</v>
      </c>
      <c r="R12" s="1732"/>
      <c r="S12" s="1650"/>
      <c r="T12" s="1549"/>
      <c r="U12" s="1549"/>
      <c r="V12" s="1549"/>
    </row>
    <row r="13" spans="1:32" s="1534" customFormat="1" ht="15" customHeight="1" thickBot="1">
      <c r="A13" s="1536" t="s">
        <v>1763</v>
      </c>
      <c r="B13" s="1546">
        <f t="shared" si="54"/>
        <v>446.46299999999997</v>
      </c>
      <c r="C13" s="1546">
        <f t="shared" ref="C13" si="63">C14*(1+O13)</f>
        <v>333.27840000000003</v>
      </c>
      <c r="D13" s="1546">
        <f t="shared" ref="D13:D18" si="64">C13</f>
        <v>333.27840000000003</v>
      </c>
      <c r="E13" s="1546">
        <f t="shared" ref="E13" si="65">E14*(1+P13)</f>
        <v>637.28279999999995</v>
      </c>
      <c r="F13" s="1546">
        <f t="shared" ref="F13" si="66">F14*(1+Q13)</f>
        <v>288.68830000000003</v>
      </c>
      <c r="G13" s="2020"/>
      <c r="H13" s="1539">
        <v>1</v>
      </c>
      <c r="I13" s="1676">
        <v>1.7</v>
      </c>
      <c r="J13" s="1676">
        <v>1.92</v>
      </c>
      <c r="K13" s="1676">
        <v>1.64</v>
      </c>
      <c r="L13" s="1677">
        <v>2.0099999999999998</v>
      </c>
      <c r="N13" s="1648">
        <f t="shared" ref="N13" si="67">I13/100</f>
        <v>1.7000000000000001E-2</v>
      </c>
      <c r="O13" s="1543">
        <f t="shared" ref="O13" si="68">J13/100</f>
        <v>1.9199999999999998E-2</v>
      </c>
      <c r="P13" s="1543">
        <f t="shared" ref="P13" si="69">K13/100</f>
        <v>1.6399999999999998E-2</v>
      </c>
      <c r="Q13" s="1543">
        <f t="shared" ref="Q13" si="70">L13/100</f>
        <v>2.0099999999999996E-2</v>
      </c>
      <c r="R13" s="1717"/>
      <c r="S13" s="1650">
        <f>B13/B14-1</f>
        <v>1.6999999999999904E-2</v>
      </c>
      <c r="T13" s="1549">
        <f>C13/C14-1</f>
        <v>1.9200000000000106E-2</v>
      </c>
      <c r="U13" s="1549">
        <f>E13/E14-1</f>
        <v>1.639999999999997E-2</v>
      </c>
      <c r="V13" s="1549">
        <f>F13/F14-1</f>
        <v>2.0100000000000007E-2</v>
      </c>
    </row>
    <row r="14" spans="1:32">
      <c r="A14" s="1536" t="s">
        <v>1760</v>
      </c>
      <c r="B14" s="1730">
        <v>439</v>
      </c>
      <c r="C14" s="1730">
        <v>327</v>
      </c>
      <c r="D14" s="1730">
        <f t="shared" si="64"/>
        <v>327</v>
      </c>
      <c r="E14" s="1730">
        <v>627</v>
      </c>
      <c r="F14" s="1731">
        <v>283</v>
      </c>
      <c r="G14" s="2015">
        <v>2017</v>
      </c>
      <c r="H14" s="1537">
        <v>4</v>
      </c>
      <c r="I14" s="1537">
        <v>1.71</v>
      </c>
      <c r="J14" s="1537">
        <v>1.78</v>
      </c>
      <c r="K14" s="1537">
        <v>1.71</v>
      </c>
      <c r="L14" s="1538">
        <v>1.43</v>
      </c>
      <c r="N14" s="1648">
        <f t="shared" ref="N14" si="71">I14/100</f>
        <v>1.7100000000000001E-2</v>
      </c>
      <c r="O14" s="1543">
        <f t="shared" ref="O14" si="72">J14/100</f>
        <v>1.78E-2</v>
      </c>
      <c r="P14" s="1543">
        <f t="shared" ref="P14" si="73">K14/100</f>
        <v>1.7100000000000001E-2</v>
      </c>
      <c r="Q14" s="1543">
        <f t="shared" ref="Q14" si="74">L14/100</f>
        <v>1.43E-2</v>
      </c>
      <c r="R14" s="1544"/>
      <c r="S14" s="1658"/>
      <c r="T14" s="1545"/>
      <c r="U14" s="1545"/>
      <c r="V14" s="1545"/>
      <c r="AC14" s="1545"/>
      <c r="AD14" s="1545"/>
      <c r="AE14" s="1545"/>
      <c r="AF14" s="1545"/>
    </row>
    <row r="15" spans="1:32" s="1534" customFormat="1" ht="14.45" customHeight="1">
      <c r="A15" s="1536" t="s">
        <v>1757</v>
      </c>
      <c r="B15" s="1546">
        <f t="shared" si="54"/>
        <v>431.80730811680002</v>
      </c>
      <c r="C15" s="1546">
        <f t="shared" ref="C15:C16" si="75">C16*(1+O15)</f>
        <v>320.57880516480003</v>
      </c>
      <c r="D15" s="1546">
        <f t="shared" si="64"/>
        <v>320.57880516480003</v>
      </c>
      <c r="E15" s="1546">
        <f t="shared" ref="E15:F17" si="76">E16*(1+P15)</f>
        <v>615.96110553196797</v>
      </c>
      <c r="F15" s="1546">
        <f t="shared" si="76"/>
        <v>279.46777300108801</v>
      </c>
      <c r="G15" s="2012"/>
      <c r="H15" s="1539">
        <v>3</v>
      </c>
      <c r="I15" s="1676">
        <v>2.98</v>
      </c>
      <c r="J15" s="1676">
        <v>2.11</v>
      </c>
      <c r="K15" s="1676">
        <v>3.24</v>
      </c>
      <c r="L15" s="1677">
        <v>1.72</v>
      </c>
      <c r="N15" s="1648">
        <f t="shared" ref="N15:Q16" si="77">I15/100</f>
        <v>2.98E-2</v>
      </c>
      <c r="O15" s="1543">
        <f t="shared" si="77"/>
        <v>2.1099999999999997E-2</v>
      </c>
      <c r="P15" s="1543">
        <f t="shared" si="77"/>
        <v>3.2400000000000005E-2</v>
      </c>
      <c r="Q15" s="1543">
        <f t="shared" si="77"/>
        <v>1.72E-2</v>
      </c>
      <c r="R15" s="1696"/>
      <c r="S15" s="1647"/>
      <c r="T15" s="1696"/>
      <c r="U15" s="1696"/>
      <c r="V15" s="1696"/>
    </row>
    <row r="16" spans="1:32" s="1534" customFormat="1" ht="14.45" customHeight="1">
      <c r="A16" s="1536" t="s">
        <v>1657</v>
      </c>
      <c r="B16" s="1546">
        <f t="shared" si="54"/>
        <v>419.31181600000002</v>
      </c>
      <c r="C16" s="1546">
        <f t="shared" si="75"/>
        <v>313.95436800000004</v>
      </c>
      <c r="D16" s="1546">
        <f t="shared" si="64"/>
        <v>313.95436800000004</v>
      </c>
      <c r="E16" s="1546">
        <f t="shared" si="76"/>
        <v>596.63028431999999</v>
      </c>
      <c r="F16" s="1546">
        <f t="shared" si="76"/>
        <v>274.74220703999998</v>
      </c>
      <c r="G16" s="2012"/>
      <c r="H16" s="1540">
        <v>2</v>
      </c>
      <c r="I16" s="1693">
        <v>3.4</v>
      </c>
      <c r="J16" s="1693">
        <v>2</v>
      </c>
      <c r="K16" s="1693">
        <v>3.82</v>
      </c>
      <c r="L16" s="1694">
        <v>1.68</v>
      </c>
      <c r="N16" s="1648">
        <f t="shared" si="77"/>
        <v>3.4000000000000002E-2</v>
      </c>
      <c r="O16" s="1543">
        <f t="shared" si="77"/>
        <v>0.02</v>
      </c>
      <c r="P16" s="1543">
        <f t="shared" si="77"/>
        <v>3.8199999999999998E-2</v>
      </c>
      <c r="Q16" s="1543">
        <f t="shared" si="77"/>
        <v>1.6799999999999999E-2</v>
      </c>
      <c r="R16" s="1535"/>
      <c r="S16" s="1647"/>
      <c r="T16" s="1535"/>
      <c r="U16" s="1535"/>
      <c r="V16" s="1535"/>
    </row>
    <row r="17" spans="1:32" s="1534" customFormat="1" ht="15" customHeight="1" thickBot="1">
      <c r="A17" s="1536" t="s">
        <v>1658</v>
      </c>
      <c r="B17" s="1546">
        <f t="shared" si="54"/>
        <v>405.524</v>
      </c>
      <c r="C17" s="1546">
        <f t="shared" ref="C17" si="78">C18*(1+O17)</f>
        <v>307.79840000000002</v>
      </c>
      <c r="D17" s="1546">
        <f t="shared" si="64"/>
        <v>307.79840000000002</v>
      </c>
      <c r="E17" s="1546">
        <f t="shared" si="76"/>
        <v>574.67759999999998</v>
      </c>
      <c r="F17" s="1546">
        <f t="shared" si="76"/>
        <v>270.20280000000002</v>
      </c>
      <c r="G17" s="2020"/>
      <c r="H17" s="1539">
        <v>1</v>
      </c>
      <c r="I17" s="1676">
        <v>3.45</v>
      </c>
      <c r="J17" s="1676">
        <v>1.92</v>
      </c>
      <c r="K17" s="1676">
        <v>3.92</v>
      </c>
      <c r="L17" s="1677">
        <v>1.58</v>
      </c>
      <c r="N17" s="1648">
        <f>I17/100</f>
        <v>3.4500000000000003E-2</v>
      </c>
      <c r="O17" s="1543">
        <f t="shared" ref="O17" si="79">J17/100</f>
        <v>1.9199999999999998E-2</v>
      </c>
      <c r="P17" s="1543">
        <f t="shared" ref="P17" si="80">K17/100</f>
        <v>3.9199999999999999E-2</v>
      </c>
      <c r="Q17" s="1543">
        <f t="shared" ref="Q17" si="81">L17/100</f>
        <v>1.5800000000000002E-2</v>
      </c>
      <c r="R17" s="1535"/>
      <c r="S17" s="1650">
        <f>B17/B18-1</f>
        <v>3.4499999999999975E-2</v>
      </c>
      <c r="T17" s="1549">
        <f>C17/C18-1</f>
        <v>1.9200000000000106E-2</v>
      </c>
      <c r="U17" s="1549">
        <f>E17/E18-1</f>
        <v>3.9199999999999902E-2</v>
      </c>
      <c r="V17" s="1549">
        <f>F17/F18-1</f>
        <v>1.5800000000000036E-2</v>
      </c>
    </row>
    <row r="18" spans="1:32">
      <c r="A18" s="1536" t="s">
        <v>280</v>
      </c>
      <c r="B18" s="1541">
        <v>392</v>
      </c>
      <c r="C18" s="1541">
        <v>302</v>
      </c>
      <c r="D18" s="1541">
        <f t="shared" si="64"/>
        <v>302</v>
      </c>
      <c r="E18" s="1541">
        <v>553</v>
      </c>
      <c r="F18" s="1640">
        <v>266</v>
      </c>
      <c r="G18" s="2015">
        <v>2016</v>
      </c>
      <c r="H18" s="1537">
        <v>4</v>
      </c>
      <c r="I18" s="1537">
        <v>4.5599999999999996</v>
      </c>
      <c r="J18" s="1537">
        <v>2.15</v>
      </c>
      <c r="K18" s="1537">
        <v>5.32</v>
      </c>
      <c r="L18" s="1538">
        <v>1.57</v>
      </c>
      <c r="N18" s="1648">
        <f>I18/100</f>
        <v>4.5599999999999995E-2</v>
      </c>
      <c r="O18" s="1543">
        <f t="shared" ref="O18:Q33" si="82">J18/100</f>
        <v>2.1499999999999998E-2</v>
      </c>
      <c r="P18" s="1543">
        <f t="shared" si="82"/>
        <v>5.3200000000000004E-2</v>
      </c>
      <c r="Q18" s="1543">
        <f t="shared" si="82"/>
        <v>1.5700000000000002E-2</v>
      </c>
      <c r="R18" s="1544"/>
      <c r="S18" s="1658"/>
      <c r="T18" s="1545"/>
      <c r="U18" s="1545"/>
      <c r="V18" s="1545"/>
      <c r="AC18" s="1545"/>
      <c r="AD18" s="1545"/>
      <c r="AE18" s="1545"/>
      <c r="AF18" s="1545"/>
    </row>
    <row r="19" spans="1:32">
      <c r="A19" s="1536" t="s">
        <v>279</v>
      </c>
      <c r="B19" s="1546">
        <f t="shared" ref="B19:C21" si="83">B18/(1+N18)</f>
        <v>374.90436113236416</v>
      </c>
      <c r="C19" s="1546">
        <f t="shared" si="83"/>
        <v>295.64366128242779</v>
      </c>
      <c r="D19" s="1546">
        <f t="shared" ref="D19:D78" si="84">C19</f>
        <v>295.64366128242779</v>
      </c>
      <c r="E19" s="1546">
        <f t="shared" ref="E19:F21" si="85">E18/(1+P18)</f>
        <v>525.06646410938095</v>
      </c>
      <c r="F19" s="1546">
        <f t="shared" si="85"/>
        <v>261.88835286009646</v>
      </c>
      <c r="G19" s="2012"/>
      <c r="H19" s="1539">
        <v>3</v>
      </c>
      <c r="I19" s="1539">
        <v>4.12</v>
      </c>
      <c r="J19" s="1539">
        <v>2</v>
      </c>
      <c r="K19" s="1539">
        <v>4.79</v>
      </c>
      <c r="L19" s="1547">
        <v>1.97</v>
      </c>
      <c r="N19" s="1648">
        <f t="shared" ref="N19:Q53" si="86">I19/100</f>
        <v>4.1200000000000001E-2</v>
      </c>
      <c r="O19" s="1543">
        <f t="shared" si="82"/>
        <v>0.02</v>
      </c>
      <c r="P19" s="1543">
        <f t="shared" si="82"/>
        <v>4.7899999999999998E-2</v>
      </c>
      <c r="Q19" s="1543">
        <f t="shared" si="82"/>
        <v>1.9699999999999999E-2</v>
      </c>
      <c r="R19" s="1544"/>
      <c r="S19" s="1648"/>
      <c r="T19" s="1543"/>
      <c r="U19" s="1543"/>
      <c r="V19" s="1543"/>
    </row>
    <row r="20" spans="1:32">
      <c r="A20" s="1536" t="s">
        <v>269</v>
      </c>
      <c r="B20" s="1546">
        <f t="shared" si="83"/>
        <v>360.06949782209392</v>
      </c>
      <c r="C20" s="1546">
        <f t="shared" si="83"/>
        <v>289.84672674747821</v>
      </c>
      <c r="D20" s="1546">
        <f t="shared" si="84"/>
        <v>289.84672674747821</v>
      </c>
      <c r="E20" s="1546">
        <f t="shared" si="85"/>
        <v>501.06543001181495</v>
      </c>
      <c r="F20" s="1546">
        <f t="shared" si="85"/>
        <v>256.82882500744967</v>
      </c>
      <c r="G20" s="2012"/>
      <c r="H20" s="1540">
        <v>2</v>
      </c>
      <c r="I20" s="1540">
        <v>3.85</v>
      </c>
      <c r="J20" s="1540">
        <v>1.95</v>
      </c>
      <c r="K20" s="1540">
        <v>4.4800000000000004</v>
      </c>
      <c r="L20" s="1548">
        <v>1.41</v>
      </c>
      <c r="N20" s="1648">
        <f t="shared" si="86"/>
        <v>3.85E-2</v>
      </c>
      <c r="O20" s="1543">
        <f t="shared" si="82"/>
        <v>1.95E-2</v>
      </c>
      <c r="P20" s="1543">
        <f t="shared" si="82"/>
        <v>4.4800000000000006E-2</v>
      </c>
      <c r="Q20" s="1543">
        <f t="shared" si="82"/>
        <v>1.41E-2</v>
      </c>
      <c r="R20" s="1544"/>
      <c r="S20" s="1648"/>
      <c r="T20" s="1543"/>
      <c r="U20" s="1543"/>
      <c r="V20" s="1543"/>
    </row>
    <row r="21" spans="1:32" ht="13.5" thickBot="1">
      <c r="A21" s="1536" t="s">
        <v>278</v>
      </c>
      <c r="B21" s="1546">
        <f t="shared" si="83"/>
        <v>346.720748986128</v>
      </c>
      <c r="C21" s="1546">
        <f t="shared" si="83"/>
        <v>284.30282172386285</v>
      </c>
      <c r="D21" s="1546">
        <f t="shared" si="84"/>
        <v>284.30282172386285</v>
      </c>
      <c r="E21" s="1546">
        <f t="shared" si="85"/>
        <v>479.58023546306947</v>
      </c>
      <c r="F21" s="1546">
        <f t="shared" si="85"/>
        <v>253.25788877571213</v>
      </c>
      <c r="G21" s="2013"/>
      <c r="H21" s="1539">
        <v>1</v>
      </c>
      <c r="I21" s="1539">
        <v>4.09</v>
      </c>
      <c r="J21" s="1539">
        <v>2.93</v>
      </c>
      <c r="K21" s="1539">
        <v>4.54</v>
      </c>
      <c r="L21" s="1547">
        <v>1.48</v>
      </c>
      <c r="N21" s="1648">
        <f t="shared" si="86"/>
        <v>4.0899999999999999E-2</v>
      </c>
      <c r="O21" s="1543">
        <f t="shared" si="82"/>
        <v>2.9300000000000003E-2</v>
      </c>
      <c r="P21" s="1543">
        <f t="shared" si="82"/>
        <v>4.5400000000000003E-2</v>
      </c>
      <c r="Q21" s="1543">
        <f t="shared" si="82"/>
        <v>1.4800000000000001E-2</v>
      </c>
      <c r="R21" s="1544"/>
      <c r="S21" s="1650">
        <f>B21/B22-1</f>
        <v>4.1203450408792808E-2</v>
      </c>
      <c r="T21" s="1549">
        <f>C21/C22-1</f>
        <v>2.6363977342465095E-2</v>
      </c>
      <c r="U21" s="1549">
        <f>E21/E22-1</f>
        <v>4.4837114298626357E-2</v>
      </c>
      <c r="V21" s="1549">
        <f>F21/F22-1</f>
        <v>1.7099954922538574E-2</v>
      </c>
      <c r="AC21" s="1550"/>
      <c r="AD21" s="1550"/>
      <c r="AE21" s="1550"/>
      <c r="AF21" s="1550"/>
    </row>
    <row r="22" spans="1:32" ht="13.5" thickBot="1">
      <c r="A22" s="1536" t="s">
        <v>277</v>
      </c>
      <c r="B22" s="1541">
        <v>333</v>
      </c>
      <c r="C22" s="1541">
        <v>277</v>
      </c>
      <c r="D22" s="1541">
        <f t="shared" si="84"/>
        <v>277</v>
      </c>
      <c r="E22" s="1541">
        <v>459</v>
      </c>
      <c r="F22" s="1640">
        <v>249</v>
      </c>
      <c r="G22" s="2011">
        <v>2015</v>
      </c>
      <c r="H22" s="1551">
        <v>4</v>
      </c>
      <c r="I22" s="1551">
        <v>1.63</v>
      </c>
      <c r="J22" s="1551">
        <v>1.1100000000000001</v>
      </c>
      <c r="K22" s="1551">
        <v>1.77</v>
      </c>
      <c r="L22" s="1552">
        <v>1.89</v>
      </c>
      <c r="N22" s="1649">
        <f t="shared" si="86"/>
        <v>1.6299999999999999E-2</v>
      </c>
      <c r="O22" s="1553">
        <f t="shared" si="82"/>
        <v>1.11E-2</v>
      </c>
      <c r="P22" s="1553">
        <f t="shared" si="82"/>
        <v>1.77E-2</v>
      </c>
      <c r="Q22" s="1553">
        <f t="shared" si="82"/>
        <v>1.89E-2</v>
      </c>
      <c r="R22" s="1544"/>
      <c r="AC22" s="1545"/>
      <c r="AD22" s="1545"/>
      <c r="AE22" s="1545"/>
      <c r="AF22" s="1545"/>
    </row>
    <row r="23" spans="1:32">
      <c r="A23" s="1536" t="s">
        <v>276</v>
      </c>
      <c r="B23" s="1546">
        <f t="shared" ref="B23:C25" si="87">B22/(1+N22)</f>
        <v>327.65915576109415</v>
      </c>
      <c r="C23" s="1546">
        <f t="shared" si="87"/>
        <v>273.95905449510434</v>
      </c>
      <c r="D23" s="1546">
        <f t="shared" si="84"/>
        <v>273.95905449510434</v>
      </c>
      <c r="E23" s="1546">
        <f t="shared" ref="E23:F25" si="88">E22/(1+P22)</f>
        <v>451.01699911565294</v>
      </c>
      <c r="F23" s="1546">
        <f t="shared" si="88"/>
        <v>244.38119540681129</v>
      </c>
      <c r="G23" s="2012"/>
      <c r="H23" s="1554">
        <v>3</v>
      </c>
      <c r="I23" s="1554">
        <v>1.65</v>
      </c>
      <c r="J23" s="1554">
        <v>0.92</v>
      </c>
      <c r="K23" s="1554">
        <v>1.88</v>
      </c>
      <c r="L23" s="1555">
        <v>1.26</v>
      </c>
      <c r="N23" s="1648">
        <f t="shared" si="86"/>
        <v>1.6500000000000001E-2</v>
      </c>
      <c r="O23" s="1556">
        <f t="shared" si="82"/>
        <v>9.1999999999999998E-3</v>
      </c>
      <c r="P23" s="1556">
        <f t="shared" si="82"/>
        <v>1.8799999999999997E-2</v>
      </c>
      <c r="Q23" s="1556">
        <f t="shared" si="82"/>
        <v>1.26E-2</v>
      </c>
      <c r="R23" s="1544"/>
      <c r="S23" s="1648"/>
      <c r="T23" s="1543"/>
      <c r="U23" s="1543"/>
      <c r="V23" s="1543"/>
    </row>
    <row r="24" spans="1:32">
      <c r="A24" s="1536" t="s">
        <v>275</v>
      </c>
      <c r="B24" s="1546">
        <f t="shared" si="87"/>
        <v>322.34053690220776</v>
      </c>
      <c r="C24" s="1546">
        <f t="shared" si="87"/>
        <v>271.46160770422546</v>
      </c>
      <c r="D24" s="1546">
        <f t="shared" si="84"/>
        <v>271.46160770422546</v>
      </c>
      <c r="E24" s="1546">
        <f t="shared" si="88"/>
        <v>442.69434542172456</v>
      </c>
      <c r="F24" s="1546">
        <f t="shared" si="88"/>
        <v>241.34030753190925</v>
      </c>
      <c r="G24" s="2012"/>
      <c r="H24" s="1540">
        <v>2</v>
      </c>
      <c r="I24" s="1540">
        <v>0.77</v>
      </c>
      <c r="J24" s="1540">
        <v>0.69</v>
      </c>
      <c r="K24" s="1540">
        <v>0.8</v>
      </c>
      <c r="L24" s="1548">
        <v>0.88</v>
      </c>
      <c r="N24" s="1648">
        <f t="shared" si="86"/>
        <v>7.7000000000000002E-3</v>
      </c>
      <c r="O24" s="1556">
        <f t="shared" si="82"/>
        <v>6.8999999999999999E-3</v>
      </c>
      <c r="P24" s="1556">
        <f t="shared" si="82"/>
        <v>8.0000000000000002E-3</v>
      </c>
      <c r="Q24" s="1556">
        <f t="shared" si="82"/>
        <v>8.8000000000000005E-3</v>
      </c>
      <c r="R24" s="1544"/>
      <c r="S24" s="1648"/>
      <c r="T24" s="1543"/>
      <c r="U24" s="1543"/>
      <c r="V24" s="1543"/>
    </row>
    <row r="25" spans="1:32">
      <c r="A25" s="1536" t="s">
        <v>274</v>
      </c>
      <c r="B25" s="1546">
        <f t="shared" si="87"/>
        <v>319.87748030386797</v>
      </c>
      <c r="C25" s="1546">
        <f t="shared" si="87"/>
        <v>269.60135833173649</v>
      </c>
      <c r="D25" s="1546">
        <f t="shared" si="84"/>
        <v>269.60135833173649</v>
      </c>
      <c r="E25" s="1546">
        <f t="shared" si="88"/>
        <v>439.18089823583784</v>
      </c>
      <c r="F25" s="1546">
        <f t="shared" si="88"/>
        <v>239.23503918706311</v>
      </c>
      <c r="G25" s="2013"/>
      <c r="H25" s="1539">
        <v>1</v>
      </c>
      <c r="I25" s="1539">
        <v>0.51</v>
      </c>
      <c r="J25" s="1539">
        <v>0.54</v>
      </c>
      <c r="K25" s="1539">
        <v>0.48</v>
      </c>
      <c r="L25" s="1547">
        <v>0.93</v>
      </c>
      <c r="N25" s="1650">
        <f t="shared" si="86"/>
        <v>5.1000000000000004E-3</v>
      </c>
      <c r="O25" s="1549">
        <f t="shared" si="82"/>
        <v>5.4000000000000003E-3</v>
      </c>
      <c r="P25" s="1549">
        <f t="shared" si="82"/>
        <v>4.7999999999999996E-3</v>
      </c>
      <c r="Q25" s="1549">
        <f t="shared" si="82"/>
        <v>9.300000000000001E-3</v>
      </c>
      <c r="R25" s="1544"/>
      <c r="S25" s="1650">
        <f>B25/B26-1</f>
        <v>5.9040261127922822E-3</v>
      </c>
      <c r="T25" s="1549">
        <f>C25/C26-1</f>
        <v>5.9752176557332781E-3</v>
      </c>
      <c r="U25" s="1549">
        <f>E25/E26-1</f>
        <v>4.9906138119859556E-3</v>
      </c>
      <c r="V25" s="1549">
        <f>F25/F26-1</f>
        <v>9.4305450930933787E-3</v>
      </c>
      <c r="AC25" s="1550"/>
      <c r="AD25" s="1550"/>
      <c r="AE25" s="1550"/>
      <c r="AF25" s="1550"/>
    </row>
    <row r="26" spans="1:32" ht="13.5" thickBot="1">
      <c r="A26" s="1536" t="s">
        <v>273</v>
      </c>
      <c r="B26" s="1557">
        <v>318</v>
      </c>
      <c r="C26" s="1557">
        <v>268</v>
      </c>
      <c r="D26" s="1557">
        <f t="shared" si="84"/>
        <v>268</v>
      </c>
      <c r="E26" s="1557">
        <v>437</v>
      </c>
      <c r="F26" s="1641">
        <v>237</v>
      </c>
      <c r="G26" s="2011">
        <v>2014</v>
      </c>
      <c r="H26" s="1551">
        <v>4</v>
      </c>
      <c r="I26" s="1551">
        <v>0.21</v>
      </c>
      <c r="J26" s="1551">
        <v>0.41</v>
      </c>
      <c r="K26" s="1551">
        <v>0.12</v>
      </c>
      <c r="L26" s="1552">
        <v>0.89</v>
      </c>
      <c r="N26" s="1648">
        <f t="shared" si="86"/>
        <v>2.0999999999999999E-3</v>
      </c>
      <c r="O26" s="1543">
        <f t="shared" si="82"/>
        <v>4.0999999999999995E-3</v>
      </c>
      <c r="P26" s="1543">
        <f t="shared" si="82"/>
        <v>1.1999999999999999E-3</v>
      </c>
      <c r="Q26" s="1543">
        <f t="shared" si="82"/>
        <v>8.8999999999999999E-3</v>
      </c>
      <c r="R26" s="1544"/>
      <c r="S26" s="1658"/>
      <c r="T26" s="1545"/>
      <c r="U26" s="1545"/>
      <c r="V26" s="1545"/>
      <c r="AC26" s="1545"/>
      <c r="AD26" s="1545"/>
      <c r="AE26" s="1545"/>
      <c r="AF26" s="1545"/>
    </row>
    <row r="27" spans="1:32">
      <c r="A27" s="1536" t="s">
        <v>272</v>
      </c>
      <c r="B27" s="1546">
        <f t="shared" ref="B27:C29" si="89">B26/(1+N26)</f>
        <v>317.33359944117353</v>
      </c>
      <c r="C27" s="1546">
        <f t="shared" si="89"/>
        <v>266.90568668459315</v>
      </c>
      <c r="D27" s="1546">
        <f t="shared" si="84"/>
        <v>266.90568668459315</v>
      </c>
      <c r="E27" s="1546">
        <f t="shared" ref="E27:F29" si="90">E26/(1+P26)</f>
        <v>436.47622852576905</v>
      </c>
      <c r="F27" s="1546">
        <f t="shared" si="90"/>
        <v>234.90930716622066</v>
      </c>
      <c r="G27" s="2012"/>
      <c r="H27" s="1558">
        <v>3</v>
      </c>
      <c r="I27" s="1558">
        <v>0.83</v>
      </c>
      <c r="J27" s="1558">
        <v>1.47</v>
      </c>
      <c r="K27" s="1558">
        <v>0.65</v>
      </c>
      <c r="L27" s="1559">
        <v>0.72</v>
      </c>
      <c r="N27" s="1648">
        <f t="shared" si="86"/>
        <v>8.3000000000000001E-3</v>
      </c>
      <c r="O27" s="1543">
        <f t="shared" si="82"/>
        <v>1.47E-2</v>
      </c>
      <c r="P27" s="1543">
        <f t="shared" si="82"/>
        <v>6.5000000000000006E-3</v>
      </c>
      <c r="Q27" s="1543">
        <f t="shared" si="82"/>
        <v>7.1999999999999998E-3</v>
      </c>
      <c r="R27" s="1544"/>
      <c r="S27" s="1648"/>
      <c r="T27" s="1543"/>
      <c r="U27" s="1543"/>
      <c r="V27" s="1543"/>
    </row>
    <row r="28" spans="1:32" ht="13.5" thickBot="1">
      <c r="A28" s="1536" t="s">
        <v>271</v>
      </c>
      <c r="B28" s="1546">
        <f t="shared" si="89"/>
        <v>314.72141172386546</v>
      </c>
      <c r="C28" s="1546">
        <f t="shared" si="89"/>
        <v>263.03901319069001</v>
      </c>
      <c r="D28" s="1546">
        <f t="shared" si="84"/>
        <v>263.03901319069001</v>
      </c>
      <c r="E28" s="1546">
        <f t="shared" si="90"/>
        <v>433.65745506782821</v>
      </c>
      <c r="F28" s="1546">
        <f t="shared" si="90"/>
        <v>233.23005080045735</v>
      </c>
      <c r="G28" s="2012"/>
      <c r="H28" s="1551">
        <v>2</v>
      </c>
      <c r="I28" s="1551">
        <v>2.4</v>
      </c>
      <c r="J28" s="1551">
        <v>2.0299999999999998</v>
      </c>
      <c r="K28" s="1551">
        <v>2.59</v>
      </c>
      <c r="L28" s="1552">
        <v>1.52</v>
      </c>
      <c r="N28" s="1648">
        <f t="shared" si="86"/>
        <v>2.4E-2</v>
      </c>
      <c r="O28" s="1543">
        <f t="shared" si="82"/>
        <v>2.0299999999999999E-2</v>
      </c>
      <c r="P28" s="1543">
        <f t="shared" si="82"/>
        <v>2.5899999999999999E-2</v>
      </c>
      <c r="Q28" s="1543">
        <f t="shared" si="82"/>
        <v>1.52E-2</v>
      </c>
      <c r="R28" s="1544"/>
      <c r="S28" s="1648"/>
      <c r="T28" s="1543"/>
      <c r="U28" s="1543"/>
      <c r="V28" s="1543"/>
    </row>
    <row r="29" spans="1:32" s="1605" customFormat="1" ht="13.5" thickBot="1">
      <c r="A29" s="1601" t="s">
        <v>270</v>
      </c>
      <c r="B29" s="1602">
        <f t="shared" si="89"/>
        <v>307.34512863658733</v>
      </c>
      <c r="C29" s="1602">
        <f t="shared" si="89"/>
        <v>257.80556031626975</v>
      </c>
      <c r="D29" s="1602">
        <f t="shared" si="84"/>
        <v>257.80556031626975</v>
      </c>
      <c r="E29" s="1602">
        <f t="shared" si="90"/>
        <v>422.70928459677179</v>
      </c>
      <c r="F29" s="1602">
        <f t="shared" si="90"/>
        <v>229.73803270336617</v>
      </c>
      <c r="G29" s="2013"/>
      <c r="H29" s="1603">
        <v>1</v>
      </c>
      <c r="I29" s="1603">
        <v>2.97</v>
      </c>
      <c r="J29" s="1603">
        <v>2.34</v>
      </c>
      <c r="K29" s="1603">
        <v>3.28</v>
      </c>
      <c r="L29" s="1604">
        <v>1.36</v>
      </c>
      <c r="N29" s="1651">
        <f t="shared" si="86"/>
        <v>2.9700000000000001E-2</v>
      </c>
      <c r="O29" s="1606">
        <f t="shared" si="82"/>
        <v>2.3399999999999997E-2</v>
      </c>
      <c r="P29" s="1606">
        <f t="shared" si="82"/>
        <v>3.2799999999999996E-2</v>
      </c>
      <c r="Q29" s="1606">
        <f t="shared" si="82"/>
        <v>1.3600000000000001E-2</v>
      </c>
      <c r="R29" s="1607"/>
      <c r="S29" s="1659">
        <f>B29/B30-1</f>
        <v>2.7910129219355539E-2</v>
      </c>
      <c r="T29" s="1608">
        <f>C29/C30-1</f>
        <v>2.3037937762975247E-2</v>
      </c>
      <c r="U29" s="1608">
        <f>E29/E30-1</f>
        <v>3.3519033243940788E-2</v>
      </c>
      <c r="V29" s="1608">
        <f>F29/F30-1</f>
        <v>1.2061818076502862E-2</v>
      </c>
      <c r="AC29" s="1609"/>
      <c r="AD29" s="1609"/>
      <c r="AE29" s="1609"/>
      <c r="AF29" s="1609"/>
    </row>
    <row r="30" spans="1:32" ht="13.5" thickBot="1">
      <c r="A30" s="1536" t="s">
        <v>1659</v>
      </c>
      <c r="B30" s="1541">
        <v>299</v>
      </c>
      <c r="C30" s="1541">
        <v>252</v>
      </c>
      <c r="D30" s="1541">
        <f t="shared" si="84"/>
        <v>252</v>
      </c>
      <c r="E30" s="1541">
        <v>409</v>
      </c>
      <c r="F30" s="1640">
        <v>227</v>
      </c>
      <c r="G30" s="2016">
        <v>2013</v>
      </c>
      <c r="H30" s="1560">
        <v>4</v>
      </c>
      <c r="I30" s="1560">
        <v>1.83</v>
      </c>
      <c r="J30" s="1560">
        <v>1.68</v>
      </c>
      <c r="K30" s="1560">
        <v>1.97</v>
      </c>
      <c r="L30" s="1561">
        <v>0.87</v>
      </c>
      <c r="N30" s="1649">
        <f t="shared" si="86"/>
        <v>1.83E-2</v>
      </c>
      <c r="O30" s="1553">
        <f t="shared" si="82"/>
        <v>1.6799999999999999E-2</v>
      </c>
      <c r="P30" s="1553">
        <f t="shared" si="82"/>
        <v>1.9699999999999999E-2</v>
      </c>
      <c r="Q30" s="1553">
        <f t="shared" si="82"/>
        <v>8.6999999999999994E-3</v>
      </c>
      <c r="R30" s="1544"/>
      <c r="S30" s="1658"/>
      <c r="T30" s="1545"/>
      <c r="U30" s="1545"/>
      <c r="V30" s="1545"/>
      <c r="AC30" s="1545"/>
      <c r="AD30" s="1545"/>
      <c r="AE30" s="1545"/>
      <c r="AF30" s="1545"/>
    </row>
    <row r="31" spans="1:32">
      <c r="A31" s="1536" t="s">
        <v>1660</v>
      </c>
      <c r="B31" s="1546">
        <f t="shared" ref="B31:C33" si="91">B30/(1+N30)</f>
        <v>293.62663262299913</v>
      </c>
      <c r="C31" s="1546">
        <f t="shared" si="91"/>
        <v>247.83634933123525</v>
      </c>
      <c r="D31" s="1546">
        <f t="shared" si="84"/>
        <v>247.83634933123525</v>
      </c>
      <c r="E31" s="1546">
        <f t="shared" ref="E31:F33" si="92">E30/(1+P30)</f>
        <v>401.09836226341076</v>
      </c>
      <c r="F31" s="1546">
        <f t="shared" si="92"/>
        <v>225.04213343908003</v>
      </c>
      <c r="G31" s="2017"/>
      <c r="H31" s="1554">
        <v>3</v>
      </c>
      <c r="I31" s="1554">
        <v>1.86</v>
      </c>
      <c r="J31" s="1554">
        <v>1.72</v>
      </c>
      <c r="K31" s="1554">
        <v>1.98</v>
      </c>
      <c r="L31" s="1555">
        <v>0.88</v>
      </c>
      <c r="N31" s="1648">
        <f t="shared" si="86"/>
        <v>1.8600000000000002E-2</v>
      </c>
      <c r="O31" s="1556">
        <f t="shared" si="82"/>
        <v>1.72E-2</v>
      </c>
      <c r="P31" s="1556">
        <f t="shared" si="82"/>
        <v>1.9799999999999998E-2</v>
      </c>
      <c r="Q31" s="1556">
        <f t="shared" si="82"/>
        <v>8.8000000000000005E-3</v>
      </c>
      <c r="R31" s="1544"/>
      <c r="S31" s="1648"/>
      <c r="T31" s="1543"/>
      <c r="U31" s="1543"/>
      <c r="V31" s="1543"/>
    </row>
    <row r="32" spans="1:32">
      <c r="A32" s="1536" t="s">
        <v>1661</v>
      </c>
      <c r="B32" s="1546">
        <f t="shared" si="91"/>
        <v>288.2649053828776</v>
      </c>
      <c r="C32" s="1546">
        <f t="shared" si="91"/>
        <v>243.64564425013293</v>
      </c>
      <c r="D32" s="1546">
        <f t="shared" si="84"/>
        <v>243.64564425013293</v>
      </c>
      <c r="E32" s="1546">
        <f t="shared" si="92"/>
        <v>393.31080825986544</v>
      </c>
      <c r="F32" s="1546">
        <f t="shared" si="92"/>
        <v>223.07903790551154</v>
      </c>
      <c r="G32" s="2017"/>
      <c r="H32" s="1540">
        <v>2</v>
      </c>
      <c r="I32" s="1540">
        <v>2.04</v>
      </c>
      <c r="J32" s="1540">
        <v>2.33</v>
      </c>
      <c r="K32" s="1540">
        <v>2.0699999999999998</v>
      </c>
      <c r="L32" s="1548">
        <v>0.69</v>
      </c>
      <c r="N32" s="1648">
        <f t="shared" si="86"/>
        <v>2.0400000000000001E-2</v>
      </c>
      <c r="O32" s="1556">
        <f t="shared" si="82"/>
        <v>2.3300000000000001E-2</v>
      </c>
      <c r="P32" s="1556">
        <f t="shared" si="82"/>
        <v>2.07E-2</v>
      </c>
      <c r="Q32" s="1556">
        <f t="shared" si="82"/>
        <v>6.8999999999999999E-3</v>
      </c>
      <c r="R32" s="1544"/>
      <c r="S32" s="1648"/>
      <c r="T32" s="1543"/>
      <c r="U32" s="1543"/>
      <c r="V32" s="1543"/>
    </row>
    <row r="33" spans="1:32">
      <c r="A33" s="1536" t="s">
        <v>1662</v>
      </c>
      <c r="B33" s="1546">
        <f t="shared" si="91"/>
        <v>282.50186729015837</v>
      </c>
      <c r="C33" s="1546">
        <f t="shared" si="91"/>
        <v>238.09796174155468</v>
      </c>
      <c r="D33" s="1546">
        <f t="shared" si="84"/>
        <v>238.09796174155468</v>
      </c>
      <c r="E33" s="1546">
        <f t="shared" si="92"/>
        <v>385.33438646014054</v>
      </c>
      <c r="F33" s="1546">
        <f t="shared" si="92"/>
        <v>221.55034055567739</v>
      </c>
      <c r="G33" s="2018"/>
      <c r="H33" s="1539">
        <v>1</v>
      </c>
      <c r="I33" s="1539">
        <v>1.67</v>
      </c>
      <c r="J33" s="1539">
        <v>1.31</v>
      </c>
      <c r="K33" s="1539">
        <v>1.85</v>
      </c>
      <c r="L33" s="1547">
        <v>0.96</v>
      </c>
      <c r="N33" s="1650">
        <f t="shared" si="86"/>
        <v>1.67E-2</v>
      </c>
      <c r="O33" s="1549">
        <f t="shared" si="82"/>
        <v>1.3100000000000001E-2</v>
      </c>
      <c r="P33" s="1549">
        <f t="shared" si="82"/>
        <v>1.8500000000000003E-2</v>
      </c>
      <c r="Q33" s="1549">
        <f t="shared" si="82"/>
        <v>9.5999999999999992E-3</v>
      </c>
      <c r="R33" s="1544"/>
      <c r="S33" s="1650">
        <f>B33/B34-1</f>
        <v>1.6193767230785472E-2</v>
      </c>
      <c r="T33" s="1549">
        <f>C33/C34-1</f>
        <v>1.7512657015190891E-2</v>
      </c>
      <c r="U33" s="1549">
        <f>E33/E34-1</f>
        <v>1.6713420739157048E-2</v>
      </c>
      <c r="V33" s="1549">
        <f>F33/F34-1</f>
        <v>7.0470025258062563E-3</v>
      </c>
      <c r="AC33" s="1550"/>
      <c r="AD33" s="1550"/>
      <c r="AE33" s="1550"/>
      <c r="AF33" s="1550"/>
    </row>
    <row r="34" spans="1:32" ht="13.5" thickBot="1">
      <c r="A34" s="1536" t="s">
        <v>1663</v>
      </c>
      <c r="B34" s="1562">
        <v>278</v>
      </c>
      <c r="C34" s="1562">
        <v>234</v>
      </c>
      <c r="D34" s="1562">
        <f t="shared" si="84"/>
        <v>234</v>
      </c>
      <c r="E34" s="1562">
        <v>379</v>
      </c>
      <c r="F34" s="1642">
        <v>220</v>
      </c>
      <c r="G34" s="2011">
        <v>2012</v>
      </c>
      <c r="H34" s="1551">
        <v>4</v>
      </c>
      <c r="I34" s="1551">
        <v>0.91</v>
      </c>
      <c r="J34" s="1551">
        <v>0.68</v>
      </c>
      <c r="K34" s="1551">
        <v>0.98</v>
      </c>
      <c r="L34" s="1552">
        <v>0.9</v>
      </c>
      <c r="N34" s="1648">
        <f t="shared" si="86"/>
        <v>9.1000000000000004E-3</v>
      </c>
      <c r="O34" s="1543">
        <f t="shared" si="86"/>
        <v>6.8000000000000005E-3</v>
      </c>
      <c r="P34" s="1543">
        <f t="shared" si="86"/>
        <v>9.7999999999999997E-3</v>
      </c>
      <c r="Q34" s="1543">
        <f t="shared" si="86"/>
        <v>9.0000000000000011E-3</v>
      </c>
      <c r="R34" s="1544"/>
      <c r="S34" s="1658"/>
      <c r="T34" s="1545"/>
      <c r="U34" s="1545"/>
      <c r="V34" s="1545"/>
      <c r="AC34" s="1545"/>
      <c r="AD34" s="1545"/>
      <c r="AE34" s="1545"/>
      <c r="AF34" s="1545"/>
    </row>
    <row r="35" spans="1:32">
      <c r="A35" s="1536" t="s">
        <v>1664</v>
      </c>
      <c r="B35" s="1546">
        <f>B34/(1+N34)</f>
        <v>275.49301357645425</v>
      </c>
      <c r="C35" s="1546">
        <f>C34/(1+O34)</f>
        <v>232.41954707985698</v>
      </c>
      <c r="D35" s="1546">
        <f t="shared" si="84"/>
        <v>232.41954707985698</v>
      </c>
      <c r="E35" s="1546">
        <f t="shared" ref="E35:F37" si="93">E34/(1+P34)</f>
        <v>375.32184591008121</v>
      </c>
      <c r="F35" s="1546">
        <f t="shared" si="93"/>
        <v>218.03766105054513</v>
      </c>
      <c r="G35" s="2012"/>
      <c r="H35" s="1554">
        <v>3</v>
      </c>
      <c r="I35" s="1554">
        <v>0.09</v>
      </c>
      <c r="J35" s="1554">
        <v>0.28999999999999998</v>
      </c>
      <c r="K35" s="1554">
        <v>-0.01</v>
      </c>
      <c r="L35" s="1555">
        <v>0.57999999999999996</v>
      </c>
      <c r="N35" s="1648">
        <f t="shared" si="86"/>
        <v>8.9999999999999998E-4</v>
      </c>
      <c r="O35" s="1543">
        <f t="shared" si="86"/>
        <v>2.8999999999999998E-3</v>
      </c>
      <c r="P35" s="1543">
        <f t="shared" si="86"/>
        <v>-1E-4</v>
      </c>
      <c r="Q35" s="1543">
        <f t="shared" si="86"/>
        <v>5.7999999999999996E-3</v>
      </c>
      <c r="R35" s="1544"/>
      <c r="S35" s="1648"/>
      <c r="T35" s="1543"/>
      <c r="U35" s="1543"/>
      <c r="V35" s="1543"/>
    </row>
    <row r="36" spans="1:32">
      <c r="A36" s="1536" t="s">
        <v>1665</v>
      </c>
      <c r="B36" s="1546">
        <f>B35/(1+N35)</f>
        <v>275.24529281292263</v>
      </c>
      <c r="C36" s="1546">
        <f>C35/(1+O35)</f>
        <v>231.74747938962707</v>
      </c>
      <c r="D36" s="1546">
        <f t="shared" si="84"/>
        <v>231.74747938962707</v>
      </c>
      <c r="E36" s="1546">
        <f t="shared" si="93"/>
        <v>375.35938184826603</v>
      </c>
      <c r="F36" s="1546">
        <f t="shared" si="93"/>
        <v>216.78033510692495</v>
      </c>
      <c r="G36" s="2012"/>
      <c r="H36" s="1540">
        <v>2</v>
      </c>
      <c r="I36" s="1540">
        <v>0.02</v>
      </c>
      <c r="J36" s="1540">
        <v>0.12</v>
      </c>
      <c r="K36" s="1540">
        <v>-0.08</v>
      </c>
      <c r="L36" s="1548">
        <v>1.24</v>
      </c>
      <c r="N36" s="1648">
        <f t="shared" si="86"/>
        <v>2.0000000000000001E-4</v>
      </c>
      <c r="O36" s="1543">
        <f t="shared" si="86"/>
        <v>1.1999999999999999E-3</v>
      </c>
      <c r="P36" s="1543">
        <f t="shared" si="86"/>
        <v>-8.0000000000000004E-4</v>
      </c>
      <c r="Q36" s="1543">
        <f t="shared" si="86"/>
        <v>1.24E-2</v>
      </c>
      <c r="R36" s="1544"/>
      <c r="S36" s="1648"/>
      <c r="T36" s="1543"/>
      <c r="U36" s="1543"/>
      <c r="V36" s="1543"/>
    </row>
    <row r="37" spans="1:32" ht="13.5" thickBot="1">
      <c r="A37" s="1536" t="s">
        <v>1666</v>
      </c>
      <c r="B37" s="1546">
        <f>B36/(1+N36)</f>
        <v>275.19025476197027</v>
      </c>
      <c r="C37" s="1563">
        <v>232</v>
      </c>
      <c r="D37" s="1563">
        <f t="shared" si="84"/>
        <v>232</v>
      </c>
      <c r="E37" s="1546">
        <f t="shared" si="93"/>
        <v>375.65990977608692</v>
      </c>
      <c r="F37" s="1546">
        <f t="shared" si="93"/>
        <v>214.12518283971252</v>
      </c>
      <c r="G37" s="2013"/>
      <c r="H37" s="1539">
        <v>1</v>
      </c>
      <c r="I37" s="1539">
        <v>0.02</v>
      </c>
      <c r="J37" s="1539">
        <v>0.13</v>
      </c>
      <c r="K37" s="1539">
        <v>-0.04</v>
      </c>
      <c r="L37" s="1547">
        <v>0.46</v>
      </c>
      <c r="N37" s="1648">
        <f t="shared" si="86"/>
        <v>2.0000000000000001E-4</v>
      </c>
      <c r="O37" s="1543">
        <f t="shared" si="86"/>
        <v>1.2999999999999999E-3</v>
      </c>
      <c r="P37" s="1543">
        <f t="shared" si="86"/>
        <v>-4.0000000000000002E-4</v>
      </c>
      <c r="Q37" s="1543">
        <f t="shared" si="86"/>
        <v>4.5999999999999999E-3</v>
      </c>
      <c r="R37" s="1544"/>
      <c r="S37" s="1650">
        <f>B37/B38-1</f>
        <v>6.9183549807361189E-4</v>
      </c>
      <c r="T37" s="1549">
        <f>C37/C38-1</f>
        <v>0</v>
      </c>
      <c r="U37" s="1549">
        <f>E37/E38-1</f>
        <v>-9.0449527636460303E-4</v>
      </c>
      <c r="V37" s="1549">
        <f>F37/F38-1</f>
        <v>5.2825485432512753E-3</v>
      </c>
      <c r="AC37" s="1550"/>
      <c r="AD37" s="1550"/>
      <c r="AE37" s="1550"/>
      <c r="AF37" s="1550"/>
    </row>
    <row r="38" spans="1:32" ht="13.5" thickBot="1">
      <c r="A38" s="1536" t="s">
        <v>1667</v>
      </c>
      <c r="B38" s="1541">
        <v>275</v>
      </c>
      <c r="C38" s="1541">
        <v>232</v>
      </c>
      <c r="D38" s="1541">
        <f t="shared" si="84"/>
        <v>232</v>
      </c>
      <c r="E38" s="1541">
        <v>376</v>
      </c>
      <c r="F38" s="1640">
        <v>213</v>
      </c>
      <c r="G38" s="2011">
        <v>2011</v>
      </c>
      <c r="H38" s="1551">
        <v>4</v>
      </c>
      <c r="I38" s="1551">
        <v>-0.2</v>
      </c>
      <c r="J38" s="1551">
        <v>0.04</v>
      </c>
      <c r="K38" s="1551">
        <v>-0.34</v>
      </c>
      <c r="L38" s="1552">
        <v>0.46</v>
      </c>
      <c r="N38" s="1649">
        <f t="shared" si="86"/>
        <v>-2E-3</v>
      </c>
      <c r="O38" s="1553">
        <f t="shared" si="86"/>
        <v>4.0000000000000002E-4</v>
      </c>
      <c r="P38" s="1553">
        <f t="shared" si="86"/>
        <v>-3.4000000000000002E-3</v>
      </c>
      <c r="Q38" s="1553">
        <f t="shared" si="86"/>
        <v>4.5999999999999999E-3</v>
      </c>
      <c r="R38" s="1544"/>
      <c r="S38" s="1658"/>
      <c r="T38" s="1545"/>
      <c r="U38" s="1545"/>
      <c r="V38" s="1545"/>
      <c r="AC38" s="1545"/>
      <c r="AD38" s="1545"/>
      <c r="AE38" s="1545"/>
      <c r="AF38" s="1545"/>
    </row>
    <row r="39" spans="1:32">
      <c r="A39" s="1536" t="s">
        <v>1668</v>
      </c>
      <c r="B39" s="1546">
        <f t="shared" ref="B39:C41" si="94">B38/(1+N38)</f>
        <v>275.55110220440883</v>
      </c>
      <c r="C39" s="1546">
        <f t="shared" si="94"/>
        <v>231.90723710515795</v>
      </c>
      <c r="D39" s="1546">
        <f t="shared" si="84"/>
        <v>231.90723710515795</v>
      </c>
      <c r="E39" s="1546">
        <f t="shared" ref="E39:F41" si="95">E38/(1+P38)</f>
        <v>377.28276138872161</v>
      </c>
      <c r="F39" s="1546">
        <f t="shared" si="95"/>
        <v>212.02468644236512</v>
      </c>
      <c r="G39" s="2012">
        <v>2011</v>
      </c>
      <c r="H39" s="1554">
        <v>3</v>
      </c>
      <c r="I39" s="1554">
        <v>0.13</v>
      </c>
      <c r="J39" s="1554">
        <v>0.75</v>
      </c>
      <c r="K39" s="1554">
        <v>-0.08</v>
      </c>
      <c r="L39" s="1555">
        <v>0.53</v>
      </c>
      <c r="N39" s="1648">
        <f t="shared" si="86"/>
        <v>1.2999999999999999E-3</v>
      </c>
      <c r="O39" s="1556">
        <f t="shared" si="86"/>
        <v>7.4999999999999997E-3</v>
      </c>
      <c r="P39" s="1556">
        <f t="shared" si="86"/>
        <v>-8.0000000000000004E-4</v>
      </c>
      <c r="Q39" s="1556">
        <f t="shared" si="86"/>
        <v>5.3E-3</v>
      </c>
      <c r="R39" s="1544"/>
      <c r="S39" s="1648"/>
      <c r="T39" s="1543"/>
      <c r="U39" s="1543"/>
      <c r="V39" s="1543"/>
    </row>
    <row r="40" spans="1:32">
      <c r="A40" s="1536" t="s">
        <v>1669</v>
      </c>
      <c r="B40" s="1546">
        <f t="shared" si="94"/>
        <v>275.19335084830601</v>
      </c>
      <c r="C40" s="1546">
        <f t="shared" si="94"/>
        <v>230.18088050139744</v>
      </c>
      <c r="D40" s="1546">
        <f t="shared" si="84"/>
        <v>230.18088050139744</v>
      </c>
      <c r="E40" s="1546">
        <f t="shared" si="95"/>
        <v>377.58482925212331</v>
      </c>
      <c r="F40" s="1546">
        <f t="shared" si="95"/>
        <v>210.90687997847917</v>
      </c>
      <c r="G40" s="2012">
        <v>2011</v>
      </c>
      <c r="H40" s="1540">
        <v>2</v>
      </c>
      <c r="I40" s="1540">
        <v>-0.4</v>
      </c>
      <c r="J40" s="1540">
        <v>0.17</v>
      </c>
      <c r="K40" s="1540">
        <v>-0.57999999999999996</v>
      </c>
      <c r="L40" s="1548">
        <v>-0.2</v>
      </c>
      <c r="N40" s="1648">
        <f t="shared" si="86"/>
        <v>-4.0000000000000001E-3</v>
      </c>
      <c r="O40" s="1556">
        <f t="shared" si="86"/>
        <v>1.7000000000000001E-3</v>
      </c>
      <c r="P40" s="1556">
        <f t="shared" si="86"/>
        <v>-5.7999999999999996E-3</v>
      </c>
      <c r="Q40" s="1556">
        <f t="shared" si="86"/>
        <v>-2E-3</v>
      </c>
      <c r="R40" s="1544"/>
      <c r="S40" s="1648"/>
      <c r="T40" s="1543"/>
      <c r="U40" s="1543"/>
      <c r="V40" s="1543"/>
    </row>
    <row r="41" spans="1:32" ht="13.5" thickBot="1">
      <c r="A41" s="1536" t="s">
        <v>1670</v>
      </c>
      <c r="B41" s="1546">
        <f t="shared" si="94"/>
        <v>276.29854502841971</v>
      </c>
      <c r="C41" s="1546">
        <f t="shared" si="94"/>
        <v>229.79023709833027</v>
      </c>
      <c r="D41" s="1546">
        <f t="shared" si="84"/>
        <v>229.79023709833027</v>
      </c>
      <c r="E41" s="1546">
        <f t="shared" si="95"/>
        <v>379.78759731655936</v>
      </c>
      <c r="F41" s="1546">
        <f t="shared" si="95"/>
        <v>211.32953905659235</v>
      </c>
      <c r="G41" s="2013">
        <v>2011</v>
      </c>
      <c r="H41" s="1539">
        <v>1</v>
      </c>
      <c r="I41" s="1539">
        <v>2.65</v>
      </c>
      <c r="J41" s="1539">
        <v>3.76</v>
      </c>
      <c r="K41" s="1539">
        <v>1.89</v>
      </c>
      <c r="L41" s="1547">
        <v>7.95</v>
      </c>
      <c r="N41" s="1650">
        <f t="shared" si="86"/>
        <v>2.6499999999999999E-2</v>
      </c>
      <c r="O41" s="1549">
        <f t="shared" si="86"/>
        <v>3.7599999999999995E-2</v>
      </c>
      <c r="P41" s="1549">
        <f t="shared" si="86"/>
        <v>1.89E-2</v>
      </c>
      <c r="Q41" s="1549">
        <f t="shared" si="86"/>
        <v>7.9500000000000001E-2</v>
      </c>
      <c r="R41" s="1544"/>
      <c r="S41" s="1650">
        <f>B41/B42-1</f>
        <v>2.713213765211786E-2</v>
      </c>
      <c r="T41" s="1549">
        <f>C41/C42-1</f>
        <v>3.9774828499231862E-2</v>
      </c>
      <c r="U41" s="1549">
        <f>E41/E42-1</f>
        <v>1.8197311840641772E-2</v>
      </c>
      <c r="V41" s="1549">
        <f>F41/F42-1</f>
        <v>7.8211933962205826E-2</v>
      </c>
      <c r="AC41" s="1550"/>
      <c r="AD41" s="1550"/>
      <c r="AE41" s="1550"/>
      <c r="AF41" s="1550"/>
    </row>
    <row r="42" spans="1:32" ht="13.5" thickBot="1">
      <c r="A42" s="1536" t="s">
        <v>1671</v>
      </c>
      <c r="B42" s="1541">
        <v>269</v>
      </c>
      <c r="C42" s="1541">
        <v>221</v>
      </c>
      <c r="D42" s="1541">
        <f t="shared" si="84"/>
        <v>221</v>
      </c>
      <c r="E42" s="1541">
        <v>373</v>
      </c>
      <c r="F42" s="1640">
        <v>196</v>
      </c>
      <c r="G42" s="2011">
        <v>2010</v>
      </c>
      <c r="H42" s="1551">
        <v>4</v>
      </c>
      <c r="I42" s="1551">
        <v>5.72</v>
      </c>
      <c r="J42" s="1551">
        <v>6.57</v>
      </c>
      <c r="K42" s="1551">
        <v>5.72</v>
      </c>
      <c r="L42" s="1552">
        <v>2.72</v>
      </c>
      <c r="N42" s="1648">
        <f t="shared" si="86"/>
        <v>5.7200000000000001E-2</v>
      </c>
      <c r="O42" s="1543">
        <f t="shared" si="86"/>
        <v>6.5700000000000008E-2</v>
      </c>
      <c r="P42" s="1543">
        <f t="shared" si="86"/>
        <v>5.7200000000000001E-2</v>
      </c>
      <c r="Q42" s="1543">
        <f t="shared" si="86"/>
        <v>2.7200000000000002E-2</v>
      </c>
      <c r="R42" s="1544"/>
      <c r="S42" s="1658"/>
      <c r="T42" s="1545"/>
      <c r="U42" s="1545"/>
      <c r="V42" s="1545"/>
      <c r="AC42" s="1545"/>
      <c r="AD42" s="1545"/>
      <c r="AE42" s="1545"/>
      <c r="AF42" s="1545"/>
    </row>
    <row r="43" spans="1:32">
      <c r="A43" s="1536" t="s">
        <v>1672</v>
      </c>
      <c r="B43" s="1546">
        <f t="shared" ref="B43:C45" si="96">B42/(1+N42)</f>
        <v>254.44570563753314</v>
      </c>
      <c r="C43" s="1546">
        <f t="shared" si="96"/>
        <v>207.37543398705074</v>
      </c>
      <c r="D43" s="1546">
        <f t="shared" si="84"/>
        <v>207.37543398705074</v>
      </c>
      <c r="E43" s="1546">
        <f t="shared" ref="E43:F45" si="97">E42/(1+P42)</f>
        <v>352.81876655315932</v>
      </c>
      <c r="F43" s="1546">
        <f t="shared" si="97"/>
        <v>190.809968847352</v>
      </c>
      <c r="G43" s="2012">
        <v>2010</v>
      </c>
      <c r="H43" s="1554">
        <v>3</v>
      </c>
      <c r="I43" s="1554">
        <v>4.7300000000000004</v>
      </c>
      <c r="J43" s="1554">
        <v>3.9</v>
      </c>
      <c r="K43" s="1554">
        <v>5.03</v>
      </c>
      <c r="L43" s="1555">
        <v>4.21</v>
      </c>
      <c r="N43" s="1648">
        <f t="shared" si="86"/>
        <v>4.7300000000000002E-2</v>
      </c>
      <c r="O43" s="1543">
        <f t="shared" si="86"/>
        <v>3.9E-2</v>
      </c>
      <c r="P43" s="1543">
        <f t="shared" si="86"/>
        <v>5.0300000000000004E-2</v>
      </c>
      <c r="Q43" s="1543">
        <f t="shared" si="86"/>
        <v>4.2099999999999999E-2</v>
      </c>
      <c r="R43" s="1544"/>
      <c r="S43" s="1648"/>
      <c r="T43" s="1543"/>
      <c r="U43" s="1543"/>
      <c r="V43" s="1543"/>
    </row>
    <row r="44" spans="1:32">
      <c r="A44" s="1536" t="s">
        <v>1673</v>
      </c>
      <c r="B44" s="1546">
        <f t="shared" si="96"/>
        <v>242.95398227588385</v>
      </c>
      <c r="C44" s="1546">
        <f t="shared" si="96"/>
        <v>199.59137053614126</v>
      </c>
      <c r="D44" s="1546">
        <f t="shared" si="84"/>
        <v>199.59137053614126</v>
      </c>
      <c r="E44" s="1546">
        <f t="shared" si="97"/>
        <v>335.92189522342125</v>
      </c>
      <c r="F44" s="1546">
        <f t="shared" si="97"/>
        <v>183.10139991109489</v>
      </c>
      <c r="G44" s="2012">
        <v>2010</v>
      </c>
      <c r="H44" s="1540">
        <v>2</v>
      </c>
      <c r="I44" s="1540">
        <v>4.6900000000000004</v>
      </c>
      <c r="J44" s="1540">
        <v>3.55</v>
      </c>
      <c r="K44" s="1540">
        <v>5.07</v>
      </c>
      <c r="L44" s="1548">
        <v>4.2300000000000004</v>
      </c>
      <c r="N44" s="1648">
        <f t="shared" si="86"/>
        <v>4.6900000000000004E-2</v>
      </c>
      <c r="O44" s="1543">
        <f t="shared" si="86"/>
        <v>3.5499999999999997E-2</v>
      </c>
      <c r="P44" s="1543">
        <f t="shared" si="86"/>
        <v>5.0700000000000002E-2</v>
      </c>
      <c r="Q44" s="1543">
        <f t="shared" si="86"/>
        <v>4.2300000000000004E-2</v>
      </c>
      <c r="R44" s="1544"/>
      <c r="S44" s="1648"/>
      <c r="T44" s="1543"/>
      <c r="U44" s="1543"/>
      <c r="V44" s="1543"/>
    </row>
    <row r="45" spans="1:32" ht="13.5" thickBot="1">
      <c r="A45" s="1536" t="s">
        <v>1674</v>
      </c>
      <c r="B45" s="1546">
        <f t="shared" si="96"/>
        <v>232.06990378821649</v>
      </c>
      <c r="C45" s="1546">
        <f t="shared" si="96"/>
        <v>192.74878854286936</v>
      </c>
      <c r="D45" s="1546">
        <f t="shared" si="84"/>
        <v>192.74878854286936</v>
      </c>
      <c r="E45" s="1546">
        <f t="shared" si="97"/>
        <v>319.71247284992984</v>
      </c>
      <c r="F45" s="1546">
        <f t="shared" si="97"/>
        <v>175.67053622862409</v>
      </c>
      <c r="G45" s="2013">
        <v>2010</v>
      </c>
      <c r="H45" s="1539">
        <v>1</v>
      </c>
      <c r="I45" s="1539">
        <v>5.4</v>
      </c>
      <c r="J45" s="1539">
        <v>3.2</v>
      </c>
      <c r="K45" s="1539">
        <v>6.16</v>
      </c>
      <c r="L45" s="1547">
        <v>4.51</v>
      </c>
      <c r="N45" s="1648">
        <f t="shared" si="86"/>
        <v>5.4000000000000006E-2</v>
      </c>
      <c r="O45" s="1543">
        <f t="shared" si="86"/>
        <v>3.2000000000000001E-2</v>
      </c>
      <c r="P45" s="1543">
        <f t="shared" si="86"/>
        <v>6.1600000000000002E-2</v>
      </c>
      <c r="Q45" s="1543">
        <f t="shared" si="86"/>
        <v>4.5100000000000001E-2</v>
      </c>
      <c r="R45" s="1544"/>
      <c r="S45" s="1650">
        <f>B45/B46-1</f>
        <v>5.4863199037347599E-2</v>
      </c>
      <c r="T45" s="1549">
        <f>C45/C46-1</f>
        <v>3.0742184721226584E-2</v>
      </c>
      <c r="U45" s="1549">
        <f>E45/E46-1</f>
        <v>6.2167683886810154E-2</v>
      </c>
      <c r="V45" s="1549">
        <f>F45/F46-1</f>
        <v>4.5657953741810031E-2</v>
      </c>
      <c r="AC45" s="1550"/>
      <c r="AD45" s="1550"/>
      <c r="AE45" s="1550"/>
      <c r="AF45" s="1550"/>
    </row>
    <row r="46" spans="1:32" ht="13.5" thickBot="1">
      <c r="A46" s="1536" t="s">
        <v>1675</v>
      </c>
      <c r="B46" s="1541">
        <v>220</v>
      </c>
      <c r="C46" s="1541">
        <v>187</v>
      </c>
      <c r="D46" s="1541">
        <f t="shared" si="84"/>
        <v>187</v>
      </c>
      <c r="E46" s="1541">
        <v>301</v>
      </c>
      <c r="F46" s="1640">
        <v>168</v>
      </c>
      <c r="G46" s="2011">
        <v>2009</v>
      </c>
      <c r="H46" s="1551">
        <v>4</v>
      </c>
      <c r="I46" s="1551">
        <v>2.2999999999999998</v>
      </c>
      <c r="J46" s="1551">
        <v>1.04</v>
      </c>
      <c r="K46" s="1551">
        <v>2.84</v>
      </c>
      <c r="L46" s="1552">
        <v>0.67</v>
      </c>
      <c r="N46" s="1649">
        <f t="shared" si="86"/>
        <v>2.3E-2</v>
      </c>
      <c r="O46" s="1553">
        <f t="shared" si="86"/>
        <v>1.04E-2</v>
      </c>
      <c r="P46" s="1553">
        <f t="shared" si="86"/>
        <v>2.8399999999999998E-2</v>
      </c>
      <c r="Q46" s="1553">
        <f t="shared" si="86"/>
        <v>6.7000000000000002E-3</v>
      </c>
      <c r="R46" s="1544"/>
      <c r="S46" s="1658"/>
      <c r="T46" s="1545"/>
      <c r="U46" s="1545"/>
      <c r="V46" s="1545"/>
      <c r="AC46" s="1545"/>
      <c r="AD46" s="1545"/>
      <c r="AE46" s="1545"/>
      <c r="AF46" s="1545"/>
    </row>
    <row r="47" spans="1:32">
      <c r="A47" s="1536" t="s">
        <v>1676</v>
      </c>
      <c r="B47" s="1546">
        <f t="shared" ref="B47:C49" si="98">B46/(1+N46)</f>
        <v>215.05376344086022</v>
      </c>
      <c r="C47" s="1546">
        <f t="shared" si="98"/>
        <v>185.0752177355503</v>
      </c>
      <c r="D47" s="1546">
        <f t="shared" si="84"/>
        <v>185.0752177355503</v>
      </c>
      <c r="E47" s="1546">
        <f t="shared" ref="E47:F49" si="99">E46/(1+P46)</f>
        <v>292.68767016725008</v>
      </c>
      <c r="F47" s="1546">
        <f t="shared" si="99"/>
        <v>166.88189132810174</v>
      </c>
      <c r="G47" s="2012">
        <v>2009</v>
      </c>
      <c r="H47" s="1554">
        <v>3</v>
      </c>
      <c r="I47" s="1554">
        <v>2.1</v>
      </c>
      <c r="J47" s="1554">
        <v>1.86</v>
      </c>
      <c r="K47" s="1554">
        <v>2.29</v>
      </c>
      <c r="L47" s="1555">
        <v>0.85</v>
      </c>
      <c r="N47" s="1648">
        <f t="shared" si="86"/>
        <v>2.1000000000000001E-2</v>
      </c>
      <c r="O47" s="1556">
        <f t="shared" si="86"/>
        <v>1.8600000000000002E-2</v>
      </c>
      <c r="P47" s="1556">
        <f t="shared" si="86"/>
        <v>2.29E-2</v>
      </c>
      <c r="Q47" s="1556">
        <f t="shared" si="86"/>
        <v>8.5000000000000006E-3</v>
      </c>
      <c r="R47" s="1544"/>
      <c r="S47" s="1648"/>
      <c r="T47" s="1543"/>
      <c r="U47" s="1543"/>
      <c r="V47" s="1543"/>
    </row>
    <row r="48" spans="1:32">
      <c r="A48" s="1536" t="s">
        <v>1677</v>
      </c>
      <c r="B48" s="1546">
        <f t="shared" si="98"/>
        <v>210.630522469011</v>
      </c>
      <c r="C48" s="1546">
        <f t="shared" si="98"/>
        <v>181.69567812247232</v>
      </c>
      <c r="D48" s="1546">
        <f t="shared" si="84"/>
        <v>181.69567812247232</v>
      </c>
      <c r="E48" s="1546">
        <f t="shared" si="99"/>
        <v>286.13517466736738</v>
      </c>
      <c r="F48" s="1546">
        <f t="shared" si="99"/>
        <v>165.47535084591149</v>
      </c>
      <c r="G48" s="2012">
        <v>2009</v>
      </c>
      <c r="H48" s="1540">
        <v>2</v>
      </c>
      <c r="I48" s="1540">
        <v>0.86</v>
      </c>
      <c r="J48" s="1540">
        <v>-1.1299999999999999</v>
      </c>
      <c r="K48" s="1540">
        <v>1.79</v>
      </c>
      <c r="L48" s="1548">
        <v>-2.0699999999999998</v>
      </c>
      <c r="N48" s="1648">
        <f t="shared" si="86"/>
        <v>8.6E-3</v>
      </c>
      <c r="O48" s="1556">
        <f t="shared" si="86"/>
        <v>-1.1299999999999999E-2</v>
      </c>
      <c r="P48" s="1556">
        <f t="shared" si="86"/>
        <v>1.7899999999999999E-2</v>
      </c>
      <c r="Q48" s="1556">
        <f t="shared" si="86"/>
        <v>-2.07E-2</v>
      </c>
      <c r="R48" s="1544"/>
      <c r="S48" s="1648"/>
      <c r="T48" s="1543"/>
      <c r="U48" s="1543"/>
      <c r="V48" s="1543"/>
    </row>
    <row r="49" spans="1:32">
      <c r="A49" s="1536" t="s">
        <v>1678</v>
      </c>
      <c r="B49" s="1546">
        <f t="shared" si="98"/>
        <v>208.83454537875372</v>
      </c>
      <c r="C49" s="1546">
        <f t="shared" si="98"/>
        <v>183.77230517090351</v>
      </c>
      <c r="D49" s="1546">
        <f t="shared" si="84"/>
        <v>183.77230517090351</v>
      </c>
      <c r="E49" s="1546">
        <f t="shared" si="99"/>
        <v>281.10342338870947</v>
      </c>
      <c r="F49" s="1546">
        <f t="shared" si="99"/>
        <v>168.97309388942256</v>
      </c>
      <c r="G49" s="2013">
        <v>2009</v>
      </c>
      <c r="H49" s="1539">
        <v>1</v>
      </c>
      <c r="I49" s="1539">
        <v>-2.64</v>
      </c>
      <c r="J49" s="1539">
        <v>-2.5299999999999998</v>
      </c>
      <c r="K49" s="1539">
        <v>-3.02</v>
      </c>
      <c r="L49" s="1547">
        <v>1.52</v>
      </c>
      <c r="N49" s="1650">
        <f t="shared" si="86"/>
        <v>-2.64E-2</v>
      </c>
      <c r="O49" s="1549">
        <f t="shared" si="86"/>
        <v>-2.53E-2</v>
      </c>
      <c r="P49" s="1549">
        <f t="shared" si="86"/>
        <v>-3.0200000000000001E-2</v>
      </c>
      <c r="Q49" s="1549">
        <f t="shared" si="86"/>
        <v>1.52E-2</v>
      </c>
      <c r="R49" s="1544"/>
      <c r="S49" s="1650">
        <f>B49/B50-1</f>
        <v>-2.4137638417038754E-2</v>
      </c>
      <c r="T49" s="1549">
        <f>C49/C50-1</f>
        <v>-2.248773845264096E-2</v>
      </c>
      <c r="U49" s="1549">
        <f>E49/E50-1</f>
        <v>-2.7323794502735366E-2</v>
      </c>
      <c r="V49" s="1549">
        <f>F49/F50-1</f>
        <v>1.7910204153148035E-2</v>
      </c>
      <c r="AC49" s="1550"/>
      <c r="AD49" s="1550"/>
      <c r="AE49" s="1550"/>
      <c r="AF49" s="1550"/>
    </row>
    <row r="50" spans="1:32" ht="13.5" thickBot="1">
      <c r="A50" s="1536" t="s">
        <v>1679</v>
      </c>
      <c r="B50" s="1562">
        <v>214</v>
      </c>
      <c r="C50" s="1562">
        <v>188</v>
      </c>
      <c r="D50" s="1562">
        <f t="shared" si="84"/>
        <v>188</v>
      </c>
      <c r="E50" s="1562">
        <v>289</v>
      </c>
      <c r="F50" s="1642">
        <v>166</v>
      </c>
      <c r="G50" s="2011">
        <v>2008</v>
      </c>
      <c r="H50" s="1551">
        <v>4</v>
      </c>
      <c r="I50" s="1551">
        <v>1.73</v>
      </c>
      <c r="J50" s="1551">
        <v>0.03</v>
      </c>
      <c r="K50" s="1551">
        <v>2.59</v>
      </c>
      <c r="L50" s="1552">
        <v>-1.66</v>
      </c>
      <c r="N50" s="1648">
        <f t="shared" si="86"/>
        <v>1.7299999999999999E-2</v>
      </c>
      <c r="O50" s="1543">
        <f t="shared" si="86"/>
        <v>2.9999999999999997E-4</v>
      </c>
      <c r="P50" s="1543">
        <f t="shared" si="86"/>
        <v>2.5899999999999999E-2</v>
      </c>
      <c r="Q50" s="1543">
        <f t="shared" si="86"/>
        <v>-1.66E-2</v>
      </c>
      <c r="R50" s="1544"/>
      <c r="S50" s="1658"/>
      <c r="T50" s="1545"/>
      <c r="U50" s="1545"/>
      <c r="V50" s="1545"/>
      <c r="AC50" s="1545"/>
      <c r="AD50" s="1545"/>
      <c r="AE50" s="1545"/>
      <c r="AF50" s="1545"/>
    </row>
    <row r="51" spans="1:32">
      <c r="A51" s="1536" t="s">
        <v>1680</v>
      </c>
      <c r="B51" s="1546">
        <f t="shared" ref="B51:C53" si="100">B50/(1+N50)</f>
        <v>210.36075887152265</v>
      </c>
      <c r="C51" s="1546">
        <f t="shared" si="100"/>
        <v>187.94361691492554</v>
      </c>
      <c r="D51" s="1546">
        <f t="shared" si="84"/>
        <v>187.94361691492554</v>
      </c>
      <c r="E51" s="1546">
        <f t="shared" ref="E51:F53" si="101">E50/(1+P50)</f>
        <v>281.70386977288234</v>
      </c>
      <c r="F51" s="1546">
        <f t="shared" si="101"/>
        <v>168.80211511083994</v>
      </c>
      <c r="G51" s="2012">
        <v>2008</v>
      </c>
      <c r="H51" s="1554">
        <v>3</v>
      </c>
      <c r="I51" s="1554">
        <v>1.96</v>
      </c>
      <c r="J51" s="1554">
        <v>2.36</v>
      </c>
      <c r="K51" s="1554">
        <v>1.82</v>
      </c>
      <c r="L51" s="1555">
        <v>2.2200000000000002</v>
      </c>
      <c r="N51" s="1648">
        <f t="shared" si="86"/>
        <v>1.9599999999999999E-2</v>
      </c>
      <c r="O51" s="1543">
        <f t="shared" si="86"/>
        <v>2.3599999999999999E-2</v>
      </c>
      <c r="P51" s="1543">
        <f t="shared" si="86"/>
        <v>1.8200000000000001E-2</v>
      </c>
      <c r="Q51" s="1543">
        <f t="shared" si="86"/>
        <v>2.2200000000000001E-2</v>
      </c>
      <c r="R51" s="1544"/>
      <c r="S51" s="1648"/>
      <c r="T51" s="1543"/>
      <c r="U51" s="1543"/>
      <c r="V51" s="1543"/>
    </row>
    <row r="52" spans="1:32">
      <c r="A52" s="1536" t="s">
        <v>1681</v>
      </c>
      <c r="B52" s="1546">
        <f t="shared" si="100"/>
        <v>206.31694671589116</v>
      </c>
      <c r="C52" s="1546">
        <f t="shared" si="100"/>
        <v>183.61041121036101</v>
      </c>
      <c r="D52" s="1546">
        <f t="shared" si="84"/>
        <v>183.61041121036101</v>
      </c>
      <c r="E52" s="1546">
        <f t="shared" si="101"/>
        <v>276.66850301795557</v>
      </c>
      <c r="F52" s="1546">
        <f t="shared" si="101"/>
        <v>165.1360938278614</v>
      </c>
      <c r="G52" s="2012">
        <v>2008</v>
      </c>
      <c r="H52" s="1540">
        <v>2</v>
      </c>
      <c r="I52" s="1540">
        <v>4.93</v>
      </c>
      <c r="J52" s="1540">
        <v>7.38</v>
      </c>
      <c r="K52" s="1540">
        <v>3.98</v>
      </c>
      <c r="L52" s="1548">
        <v>6.86</v>
      </c>
      <c r="N52" s="1648">
        <f t="shared" si="86"/>
        <v>4.9299999999999997E-2</v>
      </c>
      <c r="O52" s="1543">
        <f t="shared" si="86"/>
        <v>7.3800000000000004E-2</v>
      </c>
      <c r="P52" s="1543">
        <f t="shared" si="86"/>
        <v>3.9800000000000002E-2</v>
      </c>
      <c r="Q52" s="1543">
        <f t="shared" si="86"/>
        <v>6.8600000000000008E-2</v>
      </c>
      <c r="R52" s="1544"/>
      <c r="S52" s="1648"/>
      <c r="T52" s="1543"/>
      <c r="U52" s="1543"/>
      <c r="V52" s="1543"/>
    </row>
    <row r="53" spans="1:32" s="1567" customFormat="1" ht="13.5" thickBot="1">
      <c r="A53" s="1536" t="s">
        <v>1682</v>
      </c>
      <c r="B53" s="1564">
        <f t="shared" si="100"/>
        <v>196.62341248059772</v>
      </c>
      <c r="C53" s="1564">
        <f t="shared" si="100"/>
        <v>170.99125648199012</v>
      </c>
      <c r="D53" s="1564">
        <f t="shared" si="84"/>
        <v>170.99125648199012</v>
      </c>
      <c r="E53" s="1564">
        <f t="shared" si="101"/>
        <v>266.07857570490052</v>
      </c>
      <c r="F53" s="1564">
        <f t="shared" si="101"/>
        <v>154.53499328828505</v>
      </c>
      <c r="G53" s="2013">
        <v>2008</v>
      </c>
      <c r="H53" s="1565">
        <v>1</v>
      </c>
      <c r="I53" s="1565">
        <v>4.1399999999999997</v>
      </c>
      <c r="J53" s="1565">
        <v>3.45</v>
      </c>
      <c r="K53" s="1565">
        <v>4.95</v>
      </c>
      <c r="L53" s="1566">
        <v>4.82</v>
      </c>
      <c r="N53" s="1652">
        <f t="shared" si="86"/>
        <v>4.1399999999999999E-2</v>
      </c>
      <c r="O53" s="1568">
        <f t="shared" si="86"/>
        <v>3.4500000000000003E-2</v>
      </c>
      <c r="P53" s="1568">
        <f t="shared" si="86"/>
        <v>4.9500000000000002E-2</v>
      </c>
      <c r="Q53" s="1568">
        <f t="shared" si="86"/>
        <v>4.82E-2</v>
      </c>
      <c r="R53" s="1569"/>
      <c r="S53" s="1652">
        <f>B53/B54-1</f>
        <v>4.5869215322328349E-2</v>
      </c>
      <c r="T53" s="1568">
        <f>C53/C54-1</f>
        <v>3.6310645345394743E-2</v>
      </c>
      <c r="U53" s="1568">
        <f>E53/E54-1</f>
        <v>4.7553447657088688E-2</v>
      </c>
      <c r="V53" s="1568">
        <f>F53/F54-1</f>
        <v>4.4155360055980086E-2</v>
      </c>
      <c r="AC53" s="1570"/>
      <c r="AD53" s="1570"/>
      <c r="AE53" s="1570"/>
      <c r="AF53" s="1570"/>
    </row>
    <row r="54" spans="1:32" ht="13.5" thickBot="1">
      <c r="A54" s="1536" t="s">
        <v>1683</v>
      </c>
      <c r="B54" s="1541">
        <v>188</v>
      </c>
      <c r="C54" s="1541">
        <v>165</v>
      </c>
      <c r="D54" s="1541">
        <f t="shared" si="84"/>
        <v>165</v>
      </c>
      <c r="E54" s="1541">
        <v>254</v>
      </c>
      <c r="F54" s="1640">
        <v>148</v>
      </c>
      <c r="G54" s="2011">
        <v>2007</v>
      </c>
      <c r="H54" s="1571">
        <v>4</v>
      </c>
      <c r="I54" s="1571">
        <v>5.51</v>
      </c>
      <c r="J54" s="1571">
        <v>4.8899999999999997</v>
      </c>
      <c r="K54" s="1571">
        <v>6.43</v>
      </c>
      <c r="L54" s="1572">
        <v>5.36</v>
      </c>
      <c r="N54" s="1653">
        <f t="shared" ref="N54:O57" si="102">B54/B55-1</f>
        <v>4.1339718365245526E-2</v>
      </c>
      <c r="O54" s="1573">
        <f t="shared" si="102"/>
        <v>4.0324492593776018E-2</v>
      </c>
      <c r="P54" s="1573">
        <f t="shared" ref="P54:Q57" si="103">E54/E55-1</f>
        <v>6.1625555347990968E-2</v>
      </c>
      <c r="Q54" s="1573">
        <f t="shared" si="103"/>
        <v>4.6757569250590603E-2</v>
      </c>
      <c r="R54" s="1544"/>
      <c r="S54" s="1658"/>
      <c r="T54" s="1545"/>
      <c r="U54" s="1545"/>
      <c r="V54" s="1545"/>
      <c r="AC54" s="1545"/>
      <c r="AD54" s="1545"/>
      <c r="AE54" s="1545"/>
      <c r="AF54" s="1545"/>
    </row>
    <row r="55" spans="1:32">
      <c r="A55" s="1536" t="s">
        <v>1684</v>
      </c>
      <c r="B55" s="1546">
        <f t="shared" ref="B55:C57" si="104">B56+(B$54-B$58)*I55/SUM(I$54:I$57)</f>
        <v>180.5366651097618</v>
      </c>
      <c r="C55" s="1546">
        <f t="shared" si="104"/>
        <v>158.60435967302453</v>
      </c>
      <c r="D55" s="1546">
        <f t="shared" si="84"/>
        <v>158.60435967302453</v>
      </c>
      <c r="E55" s="1546">
        <f t="shared" ref="E55:F57" si="105">E56+(E$54-E$58)*K55/SUM(K$54:K$57)</f>
        <v>239.25573260785075</v>
      </c>
      <c r="F55" s="1546">
        <f t="shared" si="105"/>
        <v>141.38899430740037</v>
      </c>
      <c r="G55" s="2012">
        <v>2007</v>
      </c>
      <c r="H55" s="1554">
        <v>3</v>
      </c>
      <c r="I55" s="1554">
        <v>8.65</v>
      </c>
      <c r="J55" s="1554">
        <v>8.06</v>
      </c>
      <c r="K55" s="1554">
        <v>9.94</v>
      </c>
      <c r="L55" s="1555">
        <v>5.8</v>
      </c>
      <c r="N55" s="1653">
        <f t="shared" si="102"/>
        <v>6.940217571740015E-2</v>
      </c>
      <c r="O55" s="1573">
        <f t="shared" si="102"/>
        <v>7.1197482471153428E-2</v>
      </c>
      <c r="P55" s="1573">
        <f t="shared" si="103"/>
        <v>0.10529679922579582</v>
      </c>
      <c r="Q55" s="1573">
        <f t="shared" si="103"/>
        <v>5.3292245059512133E-2</v>
      </c>
      <c r="R55" s="1544"/>
      <c r="S55" s="1648"/>
      <c r="T55" s="1543"/>
      <c r="U55" s="1543"/>
      <c r="V55" s="1543"/>
      <c r="AC55" s="1574"/>
      <c r="AD55" s="1574"/>
      <c r="AE55" s="1574"/>
      <c r="AF55" s="1574"/>
    </row>
    <row r="56" spans="1:32">
      <c r="A56" s="1536" t="s">
        <v>1685</v>
      </c>
      <c r="B56" s="1546">
        <f t="shared" si="104"/>
        <v>168.82017748715555</v>
      </c>
      <c r="C56" s="1546">
        <f t="shared" si="104"/>
        <v>148.06267029972753</v>
      </c>
      <c r="D56" s="1546">
        <f t="shared" si="84"/>
        <v>148.06267029972753</v>
      </c>
      <c r="E56" s="1546">
        <f t="shared" si="105"/>
        <v>216.46288379323747</v>
      </c>
      <c r="F56" s="1546">
        <f t="shared" si="105"/>
        <v>134.23529411764704</v>
      </c>
      <c r="G56" s="2012">
        <v>2007</v>
      </c>
      <c r="H56" s="1540">
        <v>2</v>
      </c>
      <c r="I56" s="1540">
        <v>3.67</v>
      </c>
      <c r="J56" s="1540">
        <v>2.3199999999999998</v>
      </c>
      <c r="K56" s="1540">
        <v>5.0199999999999996</v>
      </c>
      <c r="L56" s="1548">
        <v>6.71</v>
      </c>
      <c r="N56" s="1653">
        <f t="shared" si="102"/>
        <v>3.0339138143848032E-2</v>
      </c>
      <c r="O56" s="1573">
        <f t="shared" si="102"/>
        <v>2.0922341588790472E-2</v>
      </c>
      <c r="P56" s="1573">
        <f t="shared" si="103"/>
        <v>5.6164796592717003E-2</v>
      </c>
      <c r="Q56" s="1573">
        <f t="shared" si="103"/>
        <v>6.5704536723887319E-2</v>
      </c>
      <c r="R56" s="1544"/>
      <c r="S56" s="1648"/>
      <c r="T56" s="1543"/>
      <c r="U56" s="1543"/>
      <c r="V56" s="1543"/>
      <c r="AC56" s="1574"/>
      <c r="AD56" s="1574"/>
      <c r="AE56" s="1574"/>
      <c r="AF56" s="1574"/>
    </row>
    <row r="57" spans="1:32">
      <c r="A57" s="1536" t="s">
        <v>1686</v>
      </c>
      <c r="B57" s="1546">
        <f t="shared" si="104"/>
        <v>163.84913591779542</v>
      </c>
      <c r="C57" s="1546">
        <f t="shared" si="104"/>
        <v>145.0283378746594</v>
      </c>
      <c r="D57" s="1546">
        <f t="shared" si="84"/>
        <v>145.0283378746594</v>
      </c>
      <c r="E57" s="1546">
        <f t="shared" si="105"/>
        <v>204.95180722891567</v>
      </c>
      <c r="F57" s="1546">
        <f t="shared" si="105"/>
        <v>125.95920303605313</v>
      </c>
      <c r="G57" s="2013">
        <v>2007</v>
      </c>
      <c r="H57" s="1539">
        <v>1</v>
      </c>
      <c r="I57" s="1539">
        <v>3.58</v>
      </c>
      <c r="J57" s="1539">
        <v>3.08</v>
      </c>
      <c r="K57" s="1539">
        <v>4.34</v>
      </c>
      <c r="L57" s="1547">
        <v>3.21</v>
      </c>
      <c r="N57" s="1654">
        <f t="shared" si="102"/>
        <v>3.0497710174814063E-2</v>
      </c>
      <c r="O57" s="1575">
        <f t="shared" si="102"/>
        <v>2.8569772160704998E-2</v>
      </c>
      <c r="P57" s="1575">
        <f t="shared" si="103"/>
        <v>5.1034908866234296E-2</v>
      </c>
      <c r="Q57" s="1575">
        <f t="shared" si="103"/>
        <v>3.245248390207478E-2</v>
      </c>
      <c r="R57" s="1544"/>
      <c r="S57" s="1650">
        <f>B57/B58-1</f>
        <v>3.0497710174814063E-2</v>
      </c>
      <c r="T57" s="1549">
        <f>C57/C58-1</f>
        <v>2.8569772160704998E-2</v>
      </c>
      <c r="U57" s="1549">
        <f>E57/E58-1</f>
        <v>5.1034908866234296E-2</v>
      </c>
      <c r="V57" s="1549">
        <f>F57/F58-1</f>
        <v>3.245248390207478E-2</v>
      </c>
      <c r="AC57" s="1574"/>
      <c r="AD57" s="1574"/>
      <c r="AE57" s="1574"/>
      <c r="AF57" s="1574"/>
    </row>
    <row r="58" spans="1:32" ht="13.5" thickBot="1">
      <c r="A58" s="1536" t="s">
        <v>1687</v>
      </c>
      <c r="B58" s="1557">
        <v>159</v>
      </c>
      <c r="C58" s="1557">
        <v>141</v>
      </c>
      <c r="D58" s="1557">
        <f t="shared" si="84"/>
        <v>141</v>
      </c>
      <c r="E58" s="1557">
        <v>195</v>
      </c>
      <c r="F58" s="1641">
        <v>122</v>
      </c>
      <c r="G58" s="2011">
        <v>2006</v>
      </c>
      <c r="H58" s="1551">
        <v>4</v>
      </c>
      <c r="I58" s="1551">
        <v>3.79</v>
      </c>
      <c r="J58" s="1551">
        <v>2.21</v>
      </c>
      <c r="K58" s="1551">
        <v>5.65</v>
      </c>
      <c r="L58" s="1552">
        <v>5.41</v>
      </c>
      <c r="N58" s="1653">
        <f t="shared" ref="N58:O61" si="106">I58/SUM(I$58:I$61)*(B$58/B$62-1)</f>
        <v>7.245466462748526E-2</v>
      </c>
      <c r="O58" s="1573">
        <f t="shared" si="106"/>
        <v>2.3237230038062766E-2</v>
      </c>
      <c r="P58" s="1573">
        <f t="shared" ref="P58:Q61" si="107">K58/SUM(K$58:K$61)*(E$58/E$62-1)</f>
        <v>0.16146893866323722</v>
      </c>
      <c r="Q58" s="1573">
        <f t="shared" si="107"/>
        <v>5.0755230321793784E-2</v>
      </c>
      <c r="R58" s="1544"/>
      <c r="S58" s="1658"/>
      <c r="T58" s="1545"/>
      <c r="U58" s="1545"/>
      <c r="V58" s="1545"/>
      <c r="AC58" s="1574"/>
      <c r="AD58" s="1574"/>
      <c r="AE58" s="1574"/>
      <c r="AF58" s="1574"/>
    </row>
    <row r="59" spans="1:32">
      <c r="A59" s="1536" t="s">
        <v>1688</v>
      </c>
      <c r="B59" s="1546">
        <f t="shared" ref="B59:C61" si="108">B60+(B$58-B$62)*I59/SUM(I$58:I$61)</f>
        <v>149.00125628140702</v>
      </c>
      <c r="C59" s="1546">
        <f t="shared" si="108"/>
        <v>137.95592286501378</v>
      </c>
      <c r="D59" s="1546">
        <f t="shared" si="84"/>
        <v>137.95592286501378</v>
      </c>
      <c r="E59" s="1546">
        <f t="shared" ref="E59:F61" si="109">E60+(E$58-E$62)*K59/SUM(K$58:K$61)</f>
        <v>169.97231450719823</v>
      </c>
      <c r="F59" s="1546">
        <f t="shared" si="109"/>
        <v>116.21390374331551</v>
      </c>
      <c r="G59" s="2012">
        <v>2006</v>
      </c>
      <c r="H59" s="1554">
        <v>3</v>
      </c>
      <c r="I59" s="1554">
        <v>0.92</v>
      </c>
      <c r="J59" s="1554">
        <v>1.08</v>
      </c>
      <c r="K59" s="1554">
        <v>0.73</v>
      </c>
      <c r="L59" s="1555">
        <v>1.08</v>
      </c>
      <c r="N59" s="1653">
        <f t="shared" si="106"/>
        <v>1.7587939698492462E-2</v>
      </c>
      <c r="O59" s="1573">
        <f t="shared" si="106"/>
        <v>1.1355750425840628E-2</v>
      </c>
      <c r="P59" s="1573">
        <f t="shared" si="107"/>
        <v>2.0862358446754544E-2</v>
      </c>
      <c r="Q59" s="1573">
        <f t="shared" si="107"/>
        <v>1.0132282578103011E-2</v>
      </c>
      <c r="R59" s="1544"/>
      <c r="S59" s="1648"/>
      <c r="T59" s="1543"/>
      <c r="U59" s="1543"/>
      <c r="V59" s="1543"/>
      <c r="AC59" s="1574"/>
      <c r="AD59" s="1574"/>
      <c r="AE59" s="1574"/>
      <c r="AF59" s="1574"/>
    </row>
    <row r="60" spans="1:32">
      <c r="A60" s="1536" t="s">
        <v>1689</v>
      </c>
      <c r="B60" s="1546">
        <f t="shared" si="108"/>
        <v>146.57412060301507</v>
      </c>
      <c r="C60" s="1546">
        <f t="shared" si="108"/>
        <v>136.46831955922866</v>
      </c>
      <c r="D60" s="1546">
        <f t="shared" si="84"/>
        <v>136.46831955922866</v>
      </c>
      <c r="E60" s="1546">
        <f t="shared" si="109"/>
        <v>166.73864894795128</v>
      </c>
      <c r="F60" s="1546">
        <f t="shared" si="109"/>
        <v>115.05882352941177</v>
      </c>
      <c r="G60" s="2012">
        <v>2006</v>
      </c>
      <c r="H60" s="1540">
        <v>2</v>
      </c>
      <c r="I60" s="1540">
        <v>0.96</v>
      </c>
      <c r="J60" s="1540">
        <v>0.25</v>
      </c>
      <c r="K60" s="1540">
        <v>1.9</v>
      </c>
      <c r="L60" s="1548">
        <v>0.95</v>
      </c>
      <c r="N60" s="1653">
        <f t="shared" si="106"/>
        <v>1.8352632728861701E-2</v>
      </c>
      <c r="O60" s="1573">
        <f t="shared" si="106"/>
        <v>2.6286459319075526E-3</v>
      </c>
      <c r="P60" s="1573">
        <f t="shared" si="107"/>
        <v>5.4299289107991269E-2</v>
      </c>
      <c r="Q60" s="1573">
        <f t="shared" si="107"/>
        <v>8.9126559714794995E-3</v>
      </c>
      <c r="R60" s="1544"/>
      <c r="S60" s="1648"/>
      <c r="T60" s="1543"/>
      <c r="U60" s="1543"/>
      <c r="V60" s="1543"/>
      <c r="AC60" s="1574"/>
      <c r="AD60" s="1574"/>
      <c r="AE60" s="1574"/>
      <c r="AF60" s="1574"/>
    </row>
    <row r="61" spans="1:32">
      <c r="A61" s="1536" t="s">
        <v>1690</v>
      </c>
      <c r="B61" s="1546">
        <f t="shared" si="108"/>
        <v>144.04145728643215</v>
      </c>
      <c r="C61" s="1546">
        <f t="shared" si="108"/>
        <v>136.12396694214877</v>
      </c>
      <c r="D61" s="1546">
        <f t="shared" si="84"/>
        <v>136.12396694214877</v>
      </c>
      <c r="E61" s="1546">
        <f t="shared" si="109"/>
        <v>158.32225913621264</v>
      </c>
      <c r="F61" s="1546">
        <f t="shared" si="109"/>
        <v>114.04278074866311</v>
      </c>
      <c r="G61" s="2013">
        <v>2006</v>
      </c>
      <c r="H61" s="1539">
        <v>1</v>
      </c>
      <c r="I61" s="1539">
        <v>2.29</v>
      </c>
      <c r="J61" s="1539">
        <v>3.72</v>
      </c>
      <c r="K61" s="1539">
        <v>0.75</v>
      </c>
      <c r="L61" s="1547">
        <v>0.04</v>
      </c>
      <c r="N61" s="1654">
        <f t="shared" si="106"/>
        <v>4.3778675988638847E-2</v>
      </c>
      <c r="O61" s="1575">
        <f t="shared" si="106"/>
        <v>3.9114251466784385E-2</v>
      </c>
      <c r="P61" s="1575">
        <f t="shared" si="107"/>
        <v>2.1433929911049188E-2</v>
      </c>
      <c r="Q61" s="1575">
        <f t="shared" si="107"/>
        <v>3.7526972511492629E-4</v>
      </c>
      <c r="R61" s="1544"/>
      <c r="S61" s="1650">
        <f>B61/B62-1</f>
        <v>4.3778675988638716E-2</v>
      </c>
      <c r="T61" s="1549">
        <f>C61/C62-1</f>
        <v>3.91142514667846E-2</v>
      </c>
      <c r="U61" s="1549">
        <f>E61/E62-1</f>
        <v>2.143392991104931E-2</v>
      </c>
      <c r="V61" s="1549">
        <f>F61/F62-1</f>
        <v>3.7526972511492396E-4</v>
      </c>
      <c r="AC61" s="1574"/>
      <c r="AD61" s="1574"/>
      <c r="AE61" s="1574"/>
      <c r="AF61" s="1574"/>
    </row>
    <row r="62" spans="1:32" ht="13.5" thickBot="1">
      <c r="A62" s="1536" t="s">
        <v>1691</v>
      </c>
      <c r="B62" s="1557">
        <v>138</v>
      </c>
      <c r="C62" s="1557">
        <v>131</v>
      </c>
      <c r="D62" s="1557">
        <f t="shared" si="84"/>
        <v>131</v>
      </c>
      <c r="E62" s="1557">
        <v>155</v>
      </c>
      <c r="F62" s="1641">
        <v>114</v>
      </c>
      <c r="G62" s="2011">
        <v>2005</v>
      </c>
      <c r="H62" s="1551">
        <v>4</v>
      </c>
      <c r="I62" s="1551">
        <v>3.29</v>
      </c>
      <c r="J62" s="1551">
        <v>1.44</v>
      </c>
      <c r="K62" s="1551">
        <v>0.66</v>
      </c>
      <c r="L62" s="1552">
        <v>7.78</v>
      </c>
      <c r="N62" s="1653">
        <f t="shared" ref="N62:O65" si="110">I62/SUM(I$62:I$65)*(B$62/B$66-1)</f>
        <v>9.9404603216919935E-2</v>
      </c>
      <c r="O62" s="1573">
        <f t="shared" si="110"/>
        <v>4.7636550760861554E-2</v>
      </c>
      <c r="P62" s="1573">
        <f t="shared" ref="P62:Q65" si="111">K62/SUM(K$62:K$65)*(E$62/E$66-1)</f>
        <v>8.3756345177664976E-2</v>
      </c>
      <c r="Q62" s="1573">
        <f t="shared" si="111"/>
        <v>5.2148766661559584E-2</v>
      </c>
      <c r="R62" s="1544"/>
      <c r="S62" s="1658"/>
      <c r="T62" s="1545"/>
      <c r="U62" s="1545"/>
      <c r="V62" s="1545"/>
      <c r="AC62" s="1574"/>
      <c r="AD62" s="1574"/>
      <c r="AE62" s="1574"/>
      <c r="AF62" s="1574"/>
    </row>
    <row r="63" spans="1:32">
      <c r="A63" s="1536" t="s">
        <v>1692</v>
      </c>
      <c r="B63" s="1546">
        <f t="shared" ref="B63:C65" si="112">B64+(B$62-B$66)*I63/SUM(I$62:I$65)</f>
        <v>125.9720430107527</v>
      </c>
      <c r="C63" s="1546">
        <f t="shared" si="112"/>
        <v>125.1883408071749</v>
      </c>
      <c r="D63" s="1546">
        <f t="shared" si="84"/>
        <v>125.1883408071749</v>
      </c>
      <c r="E63" s="1546">
        <f t="shared" ref="E63:F65" si="113">E64+(E$62-E$66)*K63/SUM(K$62:K$65)</f>
        <v>144.61421319796952</v>
      </c>
      <c r="F63" s="1546">
        <f t="shared" si="113"/>
        <v>108.42008196721311</v>
      </c>
      <c r="G63" s="2012">
        <v>2005</v>
      </c>
      <c r="H63" s="1554">
        <v>3</v>
      </c>
      <c r="I63" s="1554">
        <v>0.46</v>
      </c>
      <c r="J63" s="1554">
        <v>0.32</v>
      </c>
      <c r="K63" s="1554">
        <v>0.42</v>
      </c>
      <c r="L63" s="1555">
        <v>0.64</v>
      </c>
      <c r="N63" s="1653">
        <f t="shared" si="110"/>
        <v>1.3898515951301874E-2</v>
      </c>
      <c r="O63" s="1573">
        <f t="shared" si="110"/>
        <v>1.0585900169080346E-2</v>
      </c>
      <c r="P63" s="1573">
        <f t="shared" si="111"/>
        <v>5.3299492385786795E-2</v>
      </c>
      <c r="Q63" s="1573">
        <f t="shared" si="111"/>
        <v>4.2898728359123568E-3</v>
      </c>
      <c r="R63" s="1544"/>
      <c r="S63" s="1648"/>
      <c r="T63" s="1543"/>
      <c r="U63" s="1543"/>
      <c r="V63" s="1543"/>
      <c r="AC63" s="1574"/>
      <c r="AD63" s="1574"/>
      <c r="AE63" s="1574"/>
      <c r="AF63" s="1574"/>
    </row>
    <row r="64" spans="1:32">
      <c r="A64" s="1536" t="s">
        <v>1693</v>
      </c>
      <c r="B64" s="1546">
        <f t="shared" si="112"/>
        <v>124.29032258064517</v>
      </c>
      <c r="C64" s="1546">
        <f t="shared" si="112"/>
        <v>123.8968609865471</v>
      </c>
      <c r="D64" s="1546">
        <f t="shared" si="84"/>
        <v>123.8968609865471</v>
      </c>
      <c r="E64" s="1546">
        <f t="shared" si="113"/>
        <v>138.00507614213197</v>
      </c>
      <c r="F64" s="1546">
        <f t="shared" si="113"/>
        <v>107.96106557377048</v>
      </c>
      <c r="G64" s="2012">
        <v>2005</v>
      </c>
      <c r="H64" s="1540">
        <v>2</v>
      </c>
      <c r="I64" s="1540">
        <v>0.47</v>
      </c>
      <c r="J64" s="1540">
        <v>0.1</v>
      </c>
      <c r="K64" s="1540">
        <v>0.52</v>
      </c>
      <c r="L64" s="1548">
        <v>0.79</v>
      </c>
      <c r="N64" s="1653">
        <f t="shared" si="110"/>
        <v>1.420065760241713E-2</v>
      </c>
      <c r="O64" s="1573">
        <f t="shared" si="110"/>
        <v>3.3080938028376083E-3</v>
      </c>
      <c r="P64" s="1573">
        <f t="shared" si="111"/>
        <v>6.598984771573603E-2</v>
      </c>
      <c r="Q64" s="1573">
        <f t="shared" si="111"/>
        <v>5.2953117818293153E-3</v>
      </c>
      <c r="R64" s="1544"/>
      <c r="S64" s="1648"/>
      <c r="T64" s="1543"/>
      <c r="U64" s="1543"/>
      <c r="V64" s="1543"/>
      <c r="AC64" s="1574"/>
      <c r="AD64" s="1574"/>
      <c r="AE64" s="1574"/>
      <c r="AF64" s="1574"/>
    </row>
    <row r="65" spans="1:32">
      <c r="A65" s="1536" t="s">
        <v>1694</v>
      </c>
      <c r="B65" s="1546">
        <f t="shared" si="112"/>
        <v>122.57204301075269</v>
      </c>
      <c r="C65" s="1546">
        <f t="shared" si="112"/>
        <v>123.4932735426009</v>
      </c>
      <c r="D65" s="1546">
        <f t="shared" si="84"/>
        <v>123.4932735426009</v>
      </c>
      <c r="E65" s="1546">
        <f t="shared" si="113"/>
        <v>129.82233502538071</v>
      </c>
      <c r="F65" s="1546">
        <f t="shared" si="113"/>
        <v>107.39446721311475</v>
      </c>
      <c r="G65" s="2013">
        <v>2005</v>
      </c>
      <c r="H65" s="1539">
        <v>1</v>
      </c>
      <c r="I65" s="1539">
        <v>0.43</v>
      </c>
      <c r="J65" s="1539">
        <v>0.37</v>
      </c>
      <c r="K65" s="1539">
        <v>0.37</v>
      </c>
      <c r="L65" s="1547">
        <v>0.55000000000000004</v>
      </c>
      <c r="N65" s="1654">
        <f t="shared" si="110"/>
        <v>1.2992090997956099E-2</v>
      </c>
      <c r="O65" s="1575">
        <f t="shared" si="110"/>
        <v>1.2239947070499151E-2</v>
      </c>
      <c r="P65" s="1575">
        <f t="shared" si="111"/>
        <v>4.6954314720812178E-2</v>
      </c>
      <c r="Q65" s="1575">
        <f t="shared" si="111"/>
        <v>3.6866094683621815E-3</v>
      </c>
      <c r="R65" s="1544"/>
      <c r="S65" s="1650">
        <f>B65/B66-1</f>
        <v>1.2992090997956174E-2</v>
      </c>
      <c r="T65" s="1549">
        <f>C65/C66-1</f>
        <v>1.2239947070499246E-2</v>
      </c>
      <c r="U65" s="1549">
        <f>E65/E66-1</f>
        <v>4.695431472081224E-2</v>
      </c>
      <c r="V65" s="1549">
        <f>F65/F66-1</f>
        <v>3.6866094683620787E-3</v>
      </c>
      <c r="AC65" s="1574"/>
      <c r="AD65" s="1574"/>
      <c r="AE65" s="1574"/>
      <c r="AF65" s="1574"/>
    </row>
    <row r="66" spans="1:32" ht="13.5" thickBot="1">
      <c r="A66" s="1536" t="s">
        <v>1695</v>
      </c>
      <c r="B66" s="1562">
        <v>121</v>
      </c>
      <c r="C66" s="1562">
        <v>122</v>
      </c>
      <c r="D66" s="1562">
        <f t="shared" si="84"/>
        <v>122</v>
      </c>
      <c r="E66" s="1562">
        <v>124</v>
      </c>
      <c r="F66" s="1642">
        <v>107</v>
      </c>
      <c r="G66" s="2011">
        <v>2004</v>
      </c>
      <c r="H66" s="1551">
        <v>4</v>
      </c>
      <c r="I66" s="1551">
        <v>0.33</v>
      </c>
      <c r="J66" s="1551">
        <v>0.5</v>
      </c>
      <c r="K66" s="1551">
        <v>0.5</v>
      </c>
      <c r="L66" s="1552">
        <v>0</v>
      </c>
      <c r="N66" s="1653">
        <f t="shared" ref="N66:O69" si="114">I66/SUM(I$66:I$69)*(B$66/B$70-1)</f>
        <v>1.3391770148526898E-2</v>
      </c>
      <c r="O66" s="1573">
        <f t="shared" si="114"/>
        <v>1.063264221158958E-2</v>
      </c>
      <c r="P66" s="1573">
        <f t="shared" ref="P66:Q69" si="115">K66/SUM(K$66:K$69)*(E$66/E$70-1)</f>
        <v>2.2244466688911134E-2</v>
      </c>
      <c r="Q66" s="1573">
        <f t="shared" si="115"/>
        <v>0</v>
      </c>
      <c r="R66" s="1544"/>
      <c r="S66" s="1658"/>
      <c r="T66" s="1545"/>
      <c r="U66" s="1545"/>
      <c r="V66" s="1545"/>
      <c r="AC66" s="1574"/>
      <c r="AD66" s="1574"/>
      <c r="AE66" s="1574"/>
      <c r="AF66" s="1574"/>
    </row>
    <row r="67" spans="1:32">
      <c r="A67" s="1536" t="s">
        <v>1696</v>
      </c>
      <c r="B67" s="1546">
        <f t="shared" ref="B67:C69" si="116">B68+(B$66-B$70)*I67/SUM(I$66:I$69)</f>
        <v>119.51351351351352</v>
      </c>
      <c r="C67" s="1546">
        <f t="shared" si="116"/>
        <v>120.7878787878788</v>
      </c>
      <c r="D67" s="1546">
        <f t="shared" si="84"/>
        <v>120.7878787878788</v>
      </c>
      <c r="E67" s="1546">
        <f t="shared" ref="E67:F69" si="117">E68+(E$66-E$70)*K67/SUM(K$66:K$69)</f>
        <v>121.5975975975976</v>
      </c>
      <c r="F67" s="1546">
        <f t="shared" si="117"/>
        <v>107</v>
      </c>
      <c r="G67" s="2012">
        <v>2004</v>
      </c>
      <c r="H67" s="1554">
        <v>3</v>
      </c>
      <c r="I67" s="1554">
        <v>0.56000000000000005</v>
      </c>
      <c r="J67" s="1554">
        <v>0.8</v>
      </c>
      <c r="K67" s="1554">
        <v>0.83</v>
      </c>
      <c r="L67" s="1555">
        <v>0.06</v>
      </c>
      <c r="N67" s="1653">
        <f t="shared" si="114"/>
        <v>2.2725428130833527E-2</v>
      </c>
      <c r="O67" s="1573">
        <f t="shared" si="114"/>
        <v>1.7012227538543329E-2</v>
      </c>
      <c r="P67" s="1573">
        <f t="shared" si="115"/>
        <v>3.6925814703592477E-2</v>
      </c>
      <c r="Q67" s="1573">
        <f t="shared" si="115"/>
        <v>2.8846153846153744E-2</v>
      </c>
      <c r="R67" s="1544"/>
      <c r="S67" s="1648"/>
      <c r="T67" s="1543"/>
      <c r="U67" s="1543"/>
      <c r="V67" s="1543"/>
      <c r="AC67" s="1574"/>
      <c r="AD67" s="1574"/>
      <c r="AE67" s="1574"/>
      <c r="AF67" s="1574"/>
    </row>
    <row r="68" spans="1:32">
      <c r="A68" s="1536" t="s">
        <v>1697</v>
      </c>
      <c r="B68" s="1546">
        <f t="shared" si="116"/>
        <v>116.99099099099099</v>
      </c>
      <c r="C68" s="1546">
        <f t="shared" si="116"/>
        <v>118.84848484848486</v>
      </c>
      <c r="D68" s="1546">
        <f t="shared" si="84"/>
        <v>118.84848484848486</v>
      </c>
      <c r="E68" s="1546">
        <f t="shared" si="117"/>
        <v>117.60960960960961</v>
      </c>
      <c r="F68" s="1546">
        <f t="shared" si="117"/>
        <v>104</v>
      </c>
      <c r="G68" s="2012">
        <v>2004</v>
      </c>
      <c r="H68" s="1540">
        <v>2</v>
      </c>
      <c r="I68" s="1540">
        <v>1</v>
      </c>
      <c r="J68" s="1540">
        <v>1.5</v>
      </c>
      <c r="K68" s="1540">
        <v>1.5</v>
      </c>
      <c r="L68" s="1548">
        <v>0</v>
      </c>
      <c r="N68" s="1653">
        <f t="shared" si="114"/>
        <v>4.0581121662202721E-2</v>
      </c>
      <c r="O68" s="1573">
        <f t="shared" si="114"/>
        <v>3.1897926634768738E-2</v>
      </c>
      <c r="P68" s="1573">
        <f t="shared" si="115"/>
        <v>6.6733400066733395E-2</v>
      </c>
      <c r="Q68" s="1573">
        <f t="shared" si="115"/>
        <v>0</v>
      </c>
      <c r="R68" s="1544"/>
      <c r="S68" s="1648"/>
      <c r="T68" s="1543"/>
      <c r="U68" s="1543"/>
      <c r="V68" s="1543"/>
      <c r="AC68" s="1574"/>
      <c r="AD68" s="1574"/>
      <c r="AE68" s="1574"/>
      <c r="AF68" s="1574"/>
    </row>
    <row r="69" spans="1:32" s="1567" customFormat="1" ht="13.5" thickBot="1">
      <c r="A69" s="1536" t="s">
        <v>1698</v>
      </c>
      <c r="B69" s="1564">
        <f t="shared" si="116"/>
        <v>112.48648648648648</v>
      </c>
      <c r="C69" s="1564">
        <f t="shared" si="116"/>
        <v>115.21212121212122</v>
      </c>
      <c r="D69" s="1564">
        <f t="shared" si="84"/>
        <v>115.21212121212122</v>
      </c>
      <c r="E69" s="1564">
        <f t="shared" si="117"/>
        <v>110.4024024024024</v>
      </c>
      <c r="F69" s="1564">
        <f t="shared" si="117"/>
        <v>104</v>
      </c>
      <c r="G69" s="2013">
        <v>2004</v>
      </c>
      <c r="H69" s="1565">
        <v>1</v>
      </c>
      <c r="I69" s="1565">
        <v>0.33</v>
      </c>
      <c r="J69" s="1565">
        <v>0.5</v>
      </c>
      <c r="K69" s="1565">
        <v>0.5</v>
      </c>
      <c r="L69" s="1566">
        <v>0</v>
      </c>
      <c r="N69" s="1655">
        <f t="shared" si="114"/>
        <v>1.3391770148526898E-2</v>
      </c>
      <c r="O69" s="1576">
        <f t="shared" si="114"/>
        <v>1.063264221158958E-2</v>
      </c>
      <c r="P69" s="1576">
        <f t="shared" si="115"/>
        <v>2.2244466688911134E-2</v>
      </c>
      <c r="Q69" s="1576">
        <f t="shared" si="115"/>
        <v>0</v>
      </c>
      <c r="R69" s="1569"/>
      <c r="S69" s="1652">
        <f>B69/B70-1</f>
        <v>1.3391770148526883E-2</v>
      </c>
      <c r="T69" s="1568">
        <f>C69/C70-1</f>
        <v>1.063264221158966E-2</v>
      </c>
      <c r="U69" s="1568">
        <f>E69/E70-1</f>
        <v>2.2244466688911224E-2</v>
      </c>
      <c r="V69" s="1568">
        <f>F69/F70-1</f>
        <v>0</v>
      </c>
      <c r="AC69" s="1577"/>
      <c r="AD69" s="1577"/>
      <c r="AE69" s="1577"/>
      <c r="AF69" s="1577"/>
    </row>
    <row r="70" spans="1:32" ht="13.5" thickBot="1">
      <c r="A70" s="1536" t="s">
        <v>1699</v>
      </c>
      <c r="B70" s="1578">
        <v>111</v>
      </c>
      <c r="C70" s="1578">
        <v>114</v>
      </c>
      <c r="D70" s="1578">
        <f t="shared" si="84"/>
        <v>114</v>
      </c>
      <c r="E70" s="1578">
        <v>108</v>
      </c>
      <c r="F70" s="1643">
        <v>104</v>
      </c>
      <c r="G70" s="2011">
        <v>2003</v>
      </c>
      <c r="H70" s="1571">
        <v>4</v>
      </c>
      <c r="I70" s="1579"/>
      <c r="J70" s="1579"/>
      <c r="K70" s="1579"/>
      <c r="L70" s="1579"/>
      <c r="N70" s="1656"/>
      <c r="O70" s="1579"/>
      <c r="P70" s="1579"/>
      <c r="Q70" s="1579"/>
      <c r="S70" s="1656"/>
      <c r="T70" s="1579"/>
      <c r="U70" s="1579"/>
      <c r="V70" s="1579"/>
      <c r="AC70" s="1574"/>
      <c r="AD70" s="1574"/>
      <c r="AE70" s="1574"/>
      <c r="AF70" s="1574"/>
    </row>
    <row r="71" spans="1:32">
      <c r="A71" s="1536" t="s">
        <v>1700</v>
      </c>
      <c r="B71" s="1580">
        <f t="shared" ref="B71:C73" si="118">B72+(B$70-B$74)/4</f>
        <v>109.75</v>
      </c>
      <c r="C71" s="1580">
        <f t="shared" si="118"/>
        <v>112.25</v>
      </c>
      <c r="D71" s="1580">
        <f t="shared" si="84"/>
        <v>112.25</v>
      </c>
      <c r="E71" s="1580">
        <f t="shared" ref="E71:F73" si="119">E72+(E$70-E$74)/4</f>
        <v>107.25</v>
      </c>
      <c r="F71" s="1580">
        <f t="shared" si="119"/>
        <v>103.5</v>
      </c>
      <c r="G71" s="2012">
        <v>2003</v>
      </c>
      <c r="H71" s="1554">
        <v>3</v>
      </c>
      <c r="I71" s="1579"/>
      <c r="J71" s="1579"/>
      <c r="K71" s="1579"/>
      <c r="L71" s="1579"/>
      <c r="AC71" s="1574"/>
      <c r="AD71" s="1574"/>
      <c r="AE71" s="1574"/>
      <c r="AF71" s="1574"/>
    </row>
    <row r="72" spans="1:32">
      <c r="A72" s="1536" t="s">
        <v>1701</v>
      </c>
      <c r="B72" s="1580">
        <f t="shared" si="118"/>
        <v>108.5</v>
      </c>
      <c r="C72" s="1580">
        <f t="shared" si="118"/>
        <v>110.5</v>
      </c>
      <c r="D72" s="1580">
        <f t="shared" si="84"/>
        <v>110.5</v>
      </c>
      <c r="E72" s="1580">
        <f t="shared" si="119"/>
        <v>106.5</v>
      </c>
      <c r="F72" s="1580">
        <f t="shared" si="119"/>
        <v>103</v>
      </c>
      <c r="G72" s="2012">
        <v>2003</v>
      </c>
      <c r="H72" s="1540">
        <v>2</v>
      </c>
      <c r="I72" s="1579"/>
      <c r="J72" s="1579"/>
      <c r="K72" s="1579"/>
      <c r="L72" s="1579"/>
      <c r="AC72" s="1574"/>
      <c r="AD72" s="1574"/>
      <c r="AE72" s="1574"/>
      <c r="AF72" s="1574"/>
    </row>
    <row r="73" spans="1:32" ht="13.5" thickBot="1">
      <c r="A73" s="1536" t="s">
        <v>1702</v>
      </c>
      <c r="B73" s="1580">
        <f t="shared" si="118"/>
        <v>107.25</v>
      </c>
      <c r="C73" s="1580">
        <f t="shared" si="118"/>
        <v>108.75</v>
      </c>
      <c r="D73" s="1580">
        <f t="shared" si="84"/>
        <v>108.75</v>
      </c>
      <c r="E73" s="1580">
        <f t="shared" si="119"/>
        <v>105.75</v>
      </c>
      <c r="F73" s="1580">
        <f t="shared" si="119"/>
        <v>102.5</v>
      </c>
      <c r="G73" s="2013">
        <v>2003</v>
      </c>
      <c r="H73" s="1581">
        <v>1</v>
      </c>
      <c r="I73" s="1579"/>
      <c r="J73" s="1579"/>
      <c r="K73" s="1579"/>
      <c r="L73" s="1579"/>
      <c r="S73" s="1648"/>
      <c r="T73" s="1543"/>
      <c r="U73" s="1543"/>
      <c r="AC73" s="1574"/>
      <c r="AD73" s="1574"/>
      <c r="AE73" s="1574"/>
      <c r="AF73" s="1574"/>
    </row>
    <row r="74" spans="1:32" ht="13.5" thickBot="1">
      <c r="A74" s="1536" t="s">
        <v>1703</v>
      </c>
      <c r="B74" s="1582">
        <v>106</v>
      </c>
      <c r="C74" s="1582">
        <v>107</v>
      </c>
      <c r="D74" s="1582">
        <f t="shared" si="84"/>
        <v>107</v>
      </c>
      <c r="E74" s="1582">
        <v>105</v>
      </c>
      <c r="F74" s="1644">
        <v>102</v>
      </c>
      <c r="G74" s="2011">
        <v>2002</v>
      </c>
      <c r="H74" s="1551">
        <v>4</v>
      </c>
      <c r="I74" s="1579"/>
      <c r="J74" s="1579"/>
      <c r="K74" s="1579"/>
      <c r="L74" s="1579"/>
      <c r="N74" s="1656"/>
      <c r="O74" s="1579"/>
      <c r="P74" s="1579"/>
      <c r="Q74" s="1579"/>
      <c r="S74" s="1656"/>
      <c r="T74" s="1579"/>
      <c r="U74" s="1579"/>
      <c r="V74" s="1579"/>
      <c r="AC74" s="1574"/>
      <c r="AD74" s="1574"/>
      <c r="AE74" s="1574"/>
      <c r="AF74" s="1574"/>
    </row>
    <row r="75" spans="1:32">
      <c r="A75" s="1536" t="s">
        <v>1704</v>
      </c>
      <c r="B75" s="1580">
        <f t="shared" ref="B75:C77" si="120">B76+(B$74-B$78)/4</f>
        <v>105</v>
      </c>
      <c r="C75" s="1580">
        <f t="shared" si="120"/>
        <v>106</v>
      </c>
      <c r="D75" s="1580">
        <f t="shared" si="84"/>
        <v>106</v>
      </c>
      <c r="E75" s="1580">
        <f t="shared" ref="E75:F77" si="121">E76+(E$74-E$78)/4</f>
        <v>104.5</v>
      </c>
      <c r="F75" s="1580">
        <f t="shared" si="121"/>
        <v>101.5</v>
      </c>
      <c r="G75" s="2012">
        <v>2002</v>
      </c>
      <c r="H75" s="1554">
        <v>3</v>
      </c>
      <c r="I75" s="1579"/>
      <c r="J75" s="1579"/>
      <c r="K75" s="1579"/>
      <c r="L75" s="1579"/>
      <c r="AC75" s="1574"/>
      <c r="AD75" s="1574"/>
      <c r="AE75" s="1574"/>
      <c r="AF75" s="1574"/>
    </row>
    <row r="76" spans="1:32">
      <c r="A76" s="1536" t="s">
        <v>1705</v>
      </c>
      <c r="B76" s="1580">
        <f t="shared" si="120"/>
        <v>104</v>
      </c>
      <c r="C76" s="1580">
        <f t="shared" si="120"/>
        <v>105</v>
      </c>
      <c r="D76" s="1580">
        <f t="shared" si="84"/>
        <v>105</v>
      </c>
      <c r="E76" s="1580">
        <f t="shared" si="121"/>
        <v>104</v>
      </c>
      <c r="F76" s="1580">
        <f t="shared" si="121"/>
        <v>101</v>
      </c>
      <c r="G76" s="2012">
        <v>2002</v>
      </c>
      <c r="H76" s="1540">
        <v>2</v>
      </c>
      <c r="I76" s="1579"/>
      <c r="J76" s="1579"/>
      <c r="K76" s="1579"/>
      <c r="L76" s="1579"/>
      <c r="AC76" s="1574"/>
      <c r="AD76" s="1574"/>
      <c r="AE76" s="1574"/>
      <c r="AF76" s="1574"/>
    </row>
    <row r="77" spans="1:32" s="1605" customFormat="1" ht="13.5" thickBot="1">
      <c r="A77" s="1601" t="s">
        <v>1706</v>
      </c>
      <c r="B77" s="1610">
        <f t="shared" si="120"/>
        <v>103</v>
      </c>
      <c r="C77" s="1610">
        <f t="shared" si="120"/>
        <v>104</v>
      </c>
      <c r="D77" s="1610">
        <f t="shared" si="84"/>
        <v>104</v>
      </c>
      <c r="E77" s="1610">
        <f t="shared" si="121"/>
        <v>103.5</v>
      </c>
      <c r="F77" s="1610">
        <f t="shared" si="121"/>
        <v>100.5</v>
      </c>
      <c r="G77" s="2013">
        <v>2002</v>
      </c>
      <c r="H77" s="1611">
        <v>1</v>
      </c>
      <c r="I77" s="1612"/>
      <c r="J77" s="1612"/>
      <c r="K77" s="1612"/>
      <c r="L77" s="1612"/>
      <c r="N77" s="1657"/>
      <c r="S77" s="1657"/>
      <c r="AC77" s="1613"/>
      <c r="AD77" s="1613"/>
      <c r="AE77" s="1613"/>
      <c r="AF77" s="1613"/>
    </row>
    <row r="78" spans="1:32" ht="13.5" thickBot="1">
      <c r="B78" s="1583">
        <v>102</v>
      </c>
      <c r="C78" s="1584">
        <v>103</v>
      </c>
      <c r="D78" s="1584">
        <f t="shared" si="84"/>
        <v>103</v>
      </c>
      <c r="E78" s="1584">
        <v>103</v>
      </c>
      <c r="F78" s="1645">
        <v>100</v>
      </c>
      <c r="I78" s="1579"/>
      <c r="J78" s="1579"/>
      <c r="K78" s="1579"/>
      <c r="L78" s="1579"/>
      <c r="N78" s="1656"/>
      <c r="O78" s="1579"/>
      <c r="P78" s="1579"/>
      <c r="Q78" s="1579"/>
      <c r="S78" s="1656"/>
      <c r="T78" s="1579"/>
      <c r="U78" s="1579"/>
      <c r="V78" s="1579"/>
      <c r="AC78" s="1545"/>
      <c r="AD78" s="1545"/>
      <c r="AE78" s="1545"/>
      <c r="AF78" s="1545"/>
    </row>
    <row r="80" spans="1:32" s="1665" customFormat="1">
      <c r="A80" s="1664" t="s">
        <v>1713</v>
      </c>
      <c r="G80" s="1666"/>
      <c r="N80" s="1666"/>
      <c r="S80" s="1666"/>
    </row>
    <row r="81" spans="1:29" s="1665" customFormat="1">
      <c r="A81" s="1665" t="s">
        <v>1714</v>
      </c>
      <c r="G81" s="1666"/>
      <c r="N81" s="1666"/>
      <c r="S81" s="1666"/>
    </row>
    <row r="82" spans="1:29" s="1665" customFormat="1">
      <c r="A82" s="1665" t="s">
        <v>1715</v>
      </c>
      <c r="G82" s="1666"/>
      <c r="I82" s="1667"/>
      <c r="J82" s="1667"/>
      <c r="K82" s="1667"/>
      <c r="L82" s="1667"/>
      <c r="N82" s="1668"/>
      <c r="O82" s="1667"/>
      <c r="P82" s="1667"/>
      <c r="Q82" s="1667"/>
      <c r="S82" s="1668"/>
      <c r="T82" s="1667"/>
      <c r="U82" s="1667"/>
      <c r="V82" s="1667"/>
    </row>
    <row r="83" spans="1:29" s="1665" customFormat="1">
      <c r="A83" s="1665" t="s">
        <v>1716</v>
      </c>
      <c r="G83" s="1666"/>
      <c r="N83" s="1666"/>
      <c r="S83" s="1666"/>
    </row>
    <row r="90" spans="1:29" ht="13.5" thickBot="1"/>
    <row r="91" spans="1:29" ht="24">
      <c r="S91" s="1660" t="s">
        <v>1707</v>
      </c>
      <c r="T91" s="1585" t="s">
        <v>1708</v>
      </c>
      <c r="U91" s="1585" t="s">
        <v>1709</v>
      </c>
      <c r="V91" s="1585" t="s">
        <v>1710</v>
      </c>
      <c r="W91" s="1586" t="s">
        <v>1711</v>
      </c>
      <c r="X91" s="1587">
        <v>2006</v>
      </c>
      <c r="Y91" s="1588">
        <v>4</v>
      </c>
      <c r="Z91" s="1588">
        <v>3.79</v>
      </c>
      <c r="AA91" s="1588">
        <v>2.21</v>
      </c>
      <c r="AB91" s="1588">
        <v>5.65</v>
      </c>
      <c r="AC91" s="1589">
        <v>5.41</v>
      </c>
    </row>
    <row r="92" spans="1:29">
      <c r="N92" s="1658"/>
      <c r="O92" s="1545"/>
      <c r="P92" s="1545"/>
      <c r="Q92" s="1545"/>
      <c r="S92" s="1661">
        <v>2006</v>
      </c>
      <c r="T92" s="1591">
        <v>15.1</v>
      </c>
      <c r="U92" s="1591">
        <v>7.43</v>
      </c>
      <c r="V92" s="1591">
        <v>26.26</v>
      </c>
      <c r="W92" s="1592">
        <v>7.6</v>
      </c>
      <c r="X92" s="1593">
        <v>2006</v>
      </c>
      <c r="Y92" s="1594">
        <v>3</v>
      </c>
      <c r="Z92" s="1594">
        <v>0.92</v>
      </c>
      <c r="AA92" s="1594">
        <v>1.08</v>
      </c>
      <c r="AB92" s="1594">
        <v>0.73</v>
      </c>
      <c r="AC92" s="1595">
        <v>1.08</v>
      </c>
    </row>
    <row r="93" spans="1:29">
      <c r="N93" s="1658"/>
      <c r="O93" s="1545"/>
      <c r="P93" s="1545"/>
      <c r="Q93" s="1545"/>
      <c r="S93" s="1662">
        <v>2005</v>
      </c>
      <c r="T93" s="1594">
        <v>13.9</v>
      </c>
      <c r="U93" s="1594">
        <v>7.49</v>
      </c>
      <c r="V93" s="1594">
        <v>24.92</v>
      </c>
      <c r="W93" s="1595">
        <v>6.51</v>
      </c>
      <c r="X93" s="1590">
        <v>2006</v>
      </c>
      <c r="Y93" s="1591">
        <v>2</v>
      </c>
      <c r="Z93" s="1591">
        <v>0.96</v>
      </c>
      <c r="AA93" s="1591">
        <v>0.25</v>
      </c>
      <c r="AB93" s="1591">
        <v>1.9</v>
      </c>
      <c r="AC93" s="1592">
        <v>0.95</v>
      </c>
    </row>
    <row r="94" spans="1:29" ht="13.5" thickBot="1">
      <c r="N94" s="1658"/>
      <c r="O94" s="1545"/>
      <c r="P94" s="1545"/>
      <c r="Q94" s="1545"/>
      <c r="S94" s="1661">
        <v>2004</v>
      </c>
      <c r="T94" s="1591">
        <v>9.48</v>
      </c>
      <c r="U94" s="1591">
        <v>7.2</v>
      </c>
      <c r="V94" s="1591">
        <v>14.68</v>
      </c>
      <c r="W94" s="1592">
        <v>2.2000000000000002</v>
      </c>
      <c r="X94" s="1596">
        <v>2006</v>
      </c>
      <c r="Y94" s="1597">
        <v>1</v>
      </c>
      <c r="Z94" s="1597">
        <v>2.29</v>
      </c>
      <c r="AA94" s="1597">
        <v>3.72</v>
      </c>
      <c r="AB94" s="1597">
        <v>0.75</v>
      </c>
      <c r="AC94" s="1598">
        <v>0.04</v>
      </c>
    </row>
    <row r="95" spans="1:29">
      <c r="N95" s="1658"/>
      <c r="O95" s="1545"/>
      <c r="P95" s="1545"/>
      <c r="Q95" s="1545"/>
      <c r="S95" s="1662">
        <v>2003</v>
      </c>
      <c r="T95" s="1594">
        <v>4.5</v>
      </c>
      <c r="U95" s="1594">
        <v>6.12</v>
      </c>
      <c r="V95" s="1594">
        <v>2.34</v>
      </c>
      <c r="W95" s="1595">
        <v>2.36</v>
      </c>
    </row>
    <row r="96" spans="1:29" ht="13.5" thickBot="1">
      <c r="N96" s="1658"/>
      <c r="O96" s="1545"/>
      <c r="P96" s="1545"/>
      <c r="Q96" s="1545"/>
      <c r="S96" s="1663">
        <v>2002</v>
      </c>
      <c r="T96" s="1599">
        <v>3.59</v>
      </c>
      <c r="U96" s="1599">
        <v>4.54</v>
      </c>
      <c r="V96" s="1599">
        <v>2.5499999999999998</v>
      </c>
      <c r="W96" s="1600">
        <v>1.52</v>
      </c>
    </row>
    <row r="97" spans="14:17">
      <c r="N97" s="1658"/>
      <c r="O97" s="1545"/>
      <c r="P97" s="1545"/>
      <c r="Q97" s="1545"/>
    </row>
    <row r="98" spans="14:17">
      <c r="N98" s="1658"/>
      <c r="O98" s="1545"/>
      <c r="P98" s="1545"/>
      <c r="Q98" s="1545"/>
    </row>
    <row r="99" spans="14:17">
      <c r="N99" s="1658"/>
      <c r="O99" s="1545"/>
      <c r="P99" s="1545"/>
      <c r="Q99" s="1545"/>
    </row>
    <row r="100" spans="14:17">
      <c r="N100" s="1658"/>
      <c r="O100" s="1545"/>
      <c r="P100" s="1545"/>
      <c r="Q100" s="1545"/>
    </row>
    <row r="101" spans="14:17">
      <c r="N101" s="1658"/>
      <c r="O101" s="1545"/>
      <c r="P101" s="1545"/>
      <c r="Q101" s="1545"/>
    </row>
    <row r="102" spans="14:17">
      <c r="N102" s="1658"/>
      <c r="O102" s="1545"/>
      <c r="P102" s="1545"/>
      <c r="Q102" s="1545"/>
    </row>
    <row r="103" spans="14:17">
      <c r="N103" s="1658"/>
      <c r="O103" s="1545"/>
      <c r="P103" s="1545"/>
      <c r="Q103" s="1545"/>
    </row>
    <row r="104" spans="14:17">
      <c r="N104" s="1658"/>
      <c r="O104" s="1545"/>
      <c r="P104" s="1545"/>
      <c r="Q104" s="1545"/>
    </row>
    <row r="105" spans="14:17">
      <c r="N105" s="1658"/>
      <c r="O105" s="1545"/>
      <c r="P105" s="1545"/>
      <c r="Q105" s="1545"/>
    </row>
    <row r="106" spans="14:17">
      <c r="N106" s="1658"/>
      <c r="O106" s="1545"/>
      <c r="P106" s="1545"/>
      <c r="Q106" s="1545"/>
    </row>
    <row r="107" spans="14:17">
      <c r="N107" s="1658"/>
      <c r="O107" s="1545"/>
      <c r="P107" s="1545"/>
      <c r="Q107" s="1545"/>
    </row>
    <row r="108" spans="14:17">
      <c r="N108" s="1658"/>
      <c r="O108" s="1545"/>
      <c r="P108" s="1545"/>
      <c r="Q108" s="1545"/>
    </row>
    <row r="109" spans="14:17">
      <c r="N109" s="1658"/>
      <c r="O109" s="1545"/>
      <c r="P109" s="1545"/>
      <c r="Q109" s="1545"/>
    </row>
    <row r="110" spans="14:17">
      <c r="N110" s="1658"/>
      <c r="O110" s="1545"/>
      <c r="P110" s="1545"/>
      <c r="Q110" s="1545"/>
    </row>
    <row r="111" spans="14:17">
      <c r="N111" s="1658"/>
      <c r="O111" s="1545"/>
      <c r="P111" s="1545"/>
      <c r="Q111" s="1545"/>
    </row>
    <row r="112" spans="14:17">
      <c r="N112" s="1658"/>
      <c r="O112" s="1545"/>
      <c r="P112" s="1545"/>
      <c r="Q112" s="1545"/>
    </row>
  </sheetData>
  <sheetProtection sheet="1" objects="1" scenarios="1" formatCells="0" formatColumns="0" formatRows="0"/>
  <mergeCells count="20">
    <mergeCell ref="S2:V2"/>
    <mergeCell ref="G42:G45"/>
    <mergeCell ref="G18:G21"/>
    <mergeCell ref="G22:G25"/>
    <mergeCell ref="G26:G29"/>
    <mergeCell ref="G30:G33"/>
    <mergeCell ref="G34:G37"/>
    <mergeCell ref="G38:G41"/>
    <mergeCell ref="G2:L2"/>
    <mergeCell ref="N2:Q2"/>
    <mergeCell ref="G10:G13"/>
    <mergeCell ref="G14:G17"/>
    <mergeCell ref="G70:G73"/>
    <mergeCell ref="G74:G77"/>
    <mergeCell ref="G46:G49"/>
    <mergeCell ref="G50:G53"/>
    <mergeCell ref="G54:G57"/>
    <mergeCell ref="G58:G61"/>
    <mergeCell ref="G62:G65"/>
    <mergeCell ref="G66:G6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53" max="21" man="1"/>
  </rowBreaks>
  <colBreaks count="1" manualBreakCount="1">
    <brk id="22" max="7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28</v>
      </c>
      <c r="I1" s="1436" t="s">
        <v>1646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20</v>
      </c>
      <c r="N1" s="1436" t="s">
        <v>1646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2.4E-2</v>
      </c>
      <c r="H2" s="28">
        <f ca="1">ROUND(SUMIF(季度2014,$J$1,H4:H19),4)</f>
        <v>2.0299999999999999E-2</v>
      </c>
      <c r="I2" s="28">
        <f ca="1">ROUND(SUMIF(季度2014,$J$1,I4:I19),4)</f>
        <v>2.0299999999999999E-2</v>
      </c>
      <c r="J2" s="28">
        <f ca="1">ROUND(SUMIF(季度2014,$J$1,J4:J19),4)</f>
        <v>2.5899999999999999E-2</v>
      </c>
      <c r="K2" s="1438">
        <f ca="1">ROUND(SUMIF(季度2014,$J$1,K4:K19),4)</f>
        <v>1.52E-2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1597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1598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1599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1600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1601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1605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1606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1607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1608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1609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1610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1611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1612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1613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1614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1615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1616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1617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1618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1619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1620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1621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1622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1623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1624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1625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1626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1627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1628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1629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1602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1603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1604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1630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1631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1632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1633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1634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1635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1636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1637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1638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1639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1640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1641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1642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1643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1644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1645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33"/>
  <sheetViews>
    <sheetView view="pageBreakPreview" zoomScale="90" zoomScaleNormal="100" zoomScaleSheetLayoutView="90" workbookViewId="0">
      <selection activeCell="F20" sqref="F20"/>
    </sheetView>
  </sheetViews>
  <sheetFormatPr defaultColWidth="9.25" defaultRowHeight="14.25"/>
  <cols>
    <col min="1" max="1" width="12.125" style="1771" customWidth="1"/>
    <col min="2" max="2" width="10.25" style="1771" customWidth="1"/>
    <col min="3" max="3" width="18.5" style="1771" customWidth="1"/>
    <col min="4" max="4" width="11.625" style="1771" customWidth="1"/>
    <col min="5" max="5" width="13.375" style="1771" customWidth="1"/>
    <col min="6" max="8" width="11.5" style="1771" customWidth="1"/>
    <col min="9" max="9" width="11.125" style="1771" customWidth="1"/>
    <col min="10" max="10" width="3.125" style="1771" customWidth="1"/>
    <col min="11" max="16" width="10" style="1771" customWidth="1"/>
    <col min="17" max="17" width="2.625" style="1771" customWidth="1"/>
    <col min="18" max="18" width="9.375" style="1771" bestFit="1" customWidth="1"/>
    <col min="19" max="19" width="10.5" style="1771" bestFit="1" customWidth="1"/>
    <col min="20" max="16384" width="9.25" style="1771"/>
  </cols>
  <sheetData>
    <row r="1" spans="1:16" ht="18.75">
      <c r="A1" s="1769" t="s">
        <v>1925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</row>
    <row r="2" spans="1:16" ht="15">
      <c r="A2" s="1880" t="s">
        <v>1926</v>
      </c>
      <c r="B2" s="1880"/>
      <c r="C2" s="1880"/>
      <c r="D2" s="1772" t="s">
        <v>1927</v>
      </c>
      <c r="E2" s="1773" t="s">
        <v>1928</v>
      </c>
      <c r="F2" s="1770"/>
      <c r="G2" s="1774"/>
      <c r="H2" s="1775"/>
      <c r="I2" s="1776" t="s">
        <v>1929</v>
      </c>
      <c r="J2" s="1770"/>
      <c r="K2" s="1770"/>
      <c r="L2" s="1770"/>
      <c r="M2" s="1770"/>
      <c r="N2" s="1777"/>
      <c r="O2" s="1770"/>
      <c r="P2" s="1770"/>
    </row>
    <row r="3" spans="1:16" ht="15.75" thickBot="1">
      <c r="A3" s="1881" t="s">
        <v>1930</v>
      </c>
      <c r="B3" s="1881"/>
      <c r="C3" s="1881"/>
      <c r="D3" s="1778">
        <f>'[1]数据-基础表'!AY6</f>
        <v>11147.87</v>
      </c>
      <c r="E3" s="1778">
        <f>'[1]数据-基础表'!AZ5</f>
        <v>98810.33</v>
      </c>
      <c r="F3" s="1770"/>
      <c r="G3" s="1779"/>
      <c r="H3" s="1780" t="s">
        <v>1931</v>
      </c>
      <c r="I3" s="1781">
        <f>ROUND('[1]数据-基础表'!B3/'[1]数据-基础表'!A3,2)</f>
        <v>8.86</v>
      </c>
      <c r="J3" s="1770"/>
      <c r="K3" s="1770"/>
      <c r="L3" s="1770"/>
      <c r="M3" s="1770"/>
      <c r="N3" s="1777"/>
      <c r="O3" s="1770"/>
      <c r="P3" s="1770"/>
    </row>
    <row r="4" spans="1:16" ht="15">
      <c r="A4" s="1882"/>
      <c r="B4" s="1883"/>
      <c r="C4" s="1884"/>
      <c r="D4" s="1782" t="s">
        <v>1927</v>
      </c>
      <c r="E4" s="1783" t="s">
        <v>1928</v>
      </c>
      <c r="F4" s="1770"/>
      <c r="G4" s="1784" t="s">
        <v>1932</v>
      </c>
      <c r="H4" s="1780" t="s">
        <v>1933</v>
      </c>
      <c r="I4" s="1781" t="e">
        <f>ROUND(SUMIF('[1]数据-基础表'!I9:AS9,"地上",'[1]数据-基础表'!I5:AS5)/'[1]数据-基础表'!A3,2)</f>
        <v>#VALUE!</v>
      </c>
      <c r="J4" s="1770"/>
      <c r="K4" s="1770"/>
      <c r="L4" s="1770"/>
      <c r="M4" s="1770"/>
      <c r="N4" s="1777"/>
      <c r="O4" s="1770"/>
      <c r="P4" s="1770"/>
    </row>
    <row r="5" spans="1:16">
      <c r="A5" s="1785" t="s">
        <v>1934</v>
      </c>
      <c r="B5" s="1885" t="s">
        <v>1935</v>
      </c>
      <c r="C5" s="1885"/>
      <c r="D5" s="1786" t="e">
        <f>ROUND($D$3*E5/$E$3,2)</f>
        <v>#VALUE!</v>
      </c>
      <c r="E5" s="1787" t="e">
        <f>SUMIF('[1]数据-基础表'!$11:$11,"住宅",'[1]数据-基础表'!$5:$5)</f>
        <v>#VALUE!</v>
      </c>
      <c r="F5" s="1770"/>
      <c r="G5" s="1779"/>
      <c r="H5" s="1780" t="s">
        <v>1931</v>
      </c>
      <c r="I5" s="1781">
        <f>ROUND(E31/D31,2)</f>
        <v>8.86</v>
      </c>
      <c r="J5" s="1770"/>
      <c r="K5" s="1770"/>
      <c r="L5" s="1770"/>
      <c r="M5" s="1770"/>
      <c r="N5" s="1770"/>
      <c r="O5" s="1770"/>
      <c r="P5" s="1770"/>
    </row>
    <row r="6" spans="1:16" ht="15" thickBot="1">
      <c r="A6" s="1788"/>
      <c r="B6" s="1885" t="s">
        <v>1936</v>
      </c>
      <c r="C6" s="1885"/>
      <c r="D6" s="1786" t="e">
        <f>ROUND($D$3*E6/$E$3,2)</f>
        <v>#VALUE!</v>
      </c>
      <c r="E6" s="1787" t="e">
        <f>E3-E5</f>
        <v>#VALUE!</v>
      </c>
      <c r="F6" s="1770"/>
      <c r="G6" s="1789" t="s">
        <v>1937</v>
      </c>
      <c r="H6" s="1779" t="s">
        <v>1933</v>
      </c>
      <c r="I6" s="1790" t="e">
        <f>ROUND(F31/D31,2)</f>
        <v>#VALUE!</v>
      </c>
      <c r="J6" s="1770"/>
      <c r="K6" s="1770"/>
      <c r="L6" s="1770"/>
      <c r="M6" s="1770"/>
      <c r="N6" s="1770"/>
      <c r="O6" s="1770"/>
      <c r="P6" s="1770"/>
    </row>
    <row r="7" spans="1:16" ht="15">
      <c r="A7" s="1886"/>
      <c r="B7" s="1887"/>
      <c r="C7" s="1888"/>
      <c r="D7" s="1782" t="s">
        <v>1927</v>
      </c>
      <c r="E7" s="1791" t="s">
        <v>1938</v>
      </c>
      <c r="F7" s="1770"/>
      <c r="G7" s="1774" t="s">
        <v>1939</v>
      </c>
      <c r="H7" s="1792"/>
      <c r="I7" s="1793"/>
      <c r="J7" s="1770"/>
      <c r="K7" s="1770"/>
      <c r="L7" s="1770"/>
      <c r="M7" s="1770"/>
      <c r="N7" s="1770"/>
      <c r="O7" s="1770"/>
      <c r="P7" s="1770"/>
    </row>
    <row r="8" spans="1:16">
      <c r="A8" s="1785" t="s">
        <v>1940</v>
      </c>
      <c r="B8" s="1794" t="s">
        <v>1941</v>
      </c>
      <c r="C8" s="1786" t="s">
        <v>1942</v>
      </c>
      <c r="D8" s="1786" t="e">
        <f t="shared" ref="D8:D15" si="0">ROUND($D$3*E8/$E$3,2)</f>
        <v>#VALUE!</v>
      </c>
      <c r="E8" s="1795" t="e">
        <f>SUMIF('[1]数据-基础表'!BB10:BK10,"地上",'[1]数据-基础表'!BB5:BK5)</f>
        <v>#VALUE!</v>
      </c>
      <c r="F8" s="1770"/>
      <c r="G8" s="1796"/>
      <c r="H8" s="1796"/>
      <c r="I8" s="1770"/>
      <c r="J8" s="1770"/>
      <c r="K8" s="1770"/>
      <c r="L8" s="1770"/>
      <c r="M8" s="1770"/>
      <c r="N8" s="1770"/>
      <c r="O8" s="1770"/>
      <c r="P8" s="1770"/>
    </row>
    <row r="9" spans="1:16">
      <c r="A9" s="1797"/>
      <c r="B9" s="1798"/>
      <c r="C9" s="1786" t="s">
        <v>1943</v>
      </c>
      <c r="D9" s="1786">
        <f t="shared" si="0"/>
        <v>0</v>
      </c>
      <c r="E9" s="1799">
        <v>0</v>
      </c>
      <c r="F9" s="1770"/>
      <c r="G9" s="1796"/>
      <c r="H9" s="1796"/>
      <c r="I9" s="1770"/>
      <c r="J9" s="1770"/>
      <c r="K9" s="1770"/>
      <c r="L9" s="1770"/>
      <c r="M9" s="1770"/>
      <c r="N9" s="1770"/>
      <c r="O9" s="1770"/>
      <c r="P9" s="1770"/>
    </row>
    <row r="10" spans="1:16">
      <c r="A10" s="1797"/>
      <c r="B10" s="1798"/>
      <c r="C10" s="1786" t="s">
        <v>1944</v>
      </c>
      <c r="D10" s="1786">
        <f t="shared" si="0"/>
        <v>0</v>
      </c>
      <c r="E10" s="1795">
        <f>SUMPRODUCT(('[1]数据-基础表'!BB10:BK10="地下")*('[1]数据-基础表'!BB11:BK11="商业")*('[1]数据-基础表'!BB5:BK5))</f>
        <v>0</v>
      </c>
      <c r="F10" s="1770"/>
      <c r="G10" s="1796"/>
      <c r="H10" s="1796"/>
      <c r="I10" s="1770"/>
      <c r="J10" s="1770"/>
      <c r="K10" s="1770"/>
      <c r="L10" s="1770"/>
      <c r="M10" s="1770"/>
      <c r="N10" s="1770"/>
      <c r="O10" s="1770"/>
      <c r="P10" s="1770"/>
    </row>
    <row r="11" spans="1:16">
      <c r="A11" s="1797"/>
      <c r="B11" s="1798"/>
      <c r="C11" s="1786" t="s">
        <v>1945</v>
      </c>
      <c r="D11" s="1786">
        <f t="shared" si="0"/>
        <v>0</v>
      </c>
      <c r="E11" s="1795">
        <f>SUMPRODUCT(('[1]数据-基础表'!BB10:BK10="地下")*('[1]数据-基础表'!BB11:BK11="办公")*('[1]数据-基础表'!BB5:BK5))+'[1]数据-基础表'!BP5</f>
        <v>0</v>
      </c>
      <c r="F11" s="1770"/>
      <c r="G11" s="1796"/>
      <c r="H11" s="1796"/>
      <c r="I11" s="1770"/>
      <c r="J11" s="1770"/>
      <c r="K11" s="1770"/>
      <c r="L11" s="1770"/>
      <c r="M11" s="1770"/>
      <c r="N11" s="1770"/>
      <c r="O11" s="1770"/>
      <c r="P11" s="1770"/>
    </row>
    <row r="12" spans="1:16">
      <c r="A12" s="1797"/>
      <c r="B12" s="1798"/>
      <c r="C12" s="1786" t="s">
        <v>1946</v>
      </c>
      <c r="D12" s="1786">
        <f t="shared" si="0"/>
        <v>780.12</v>
      </c>
      <c r="E12" s="1795">
        <f>SUMPRODUCT(('[1]数据-基础表'!BB10:BK10="地下")*('[1]数据-基础表'!BB11:BK11="仓储")*('[1]数据-基础表'!BB5:BK5))</f>
        <v>6914.72</v>
      </c>
      <c r="F12" s="1770"/>
      <c r="G12" s="1796"/>
      <c r="H12" s="1796"/>
      <c r="I12" s="1770"/>
      <c r="J12" s="1770"/>
      <c r="K12" s="1770"/>
      <c r="L12" s="1770"/>
      <c r="M12" s="1770"/>
      <c r="N12" s="1770"/>
      <c r="O12" s="1770"/>
      <c r="P12" s="1770"/>
    </row>
    <row r="13" spans="1:16">
      <c r="A13" s="1797"/>
      <c r="B13" s="1798"/>
      <c r="C13" s="1786" t="s">
        <v>1947</v>
      </c>
      <c r="D13" s="1786">
        <f t="shared" si="0"/>
        <v>0</v>
      </c>
      <c r="E13" s="1795">
        <f>SUMPRODUCT(('[1]数据-基础表'!BB10:BK10="地下")*('[1]数据-基础表'!BB11:BK11="车库")*('[1]数据-基础表'!BB5:BK5))</f>
        <v>0</v>
      </c>
      <c r="F13" s="1770"/>
      <c r="G13" s="1796"/>
      <c r="H13" s="1796"/>
      <c r="I13" s="1770"/>
      <c r="J13" s="1770"/>
      <c r="K13" s="1770"/>
      <c r="L13" s="1770"/>
      <c r="M13" s="1770"/>
      <c r="N13" s="1770"/>
      <c r="O13" s="1770"/>
      <c r="P13" s="1770"/>
    </row>
    <row r="14" spans="1:16">
      <c r="A14" s="1797"/>
      <c r="B14" s="1798"/>
      <c r="C14" s="1786" t="s">
        <v>1948</v>
      </c>
      <c r="D14" s="1786">
        <f t="shared" si="0"/>
        <v>1803.72</v>
      </c>
      <c r="E14" s="1795">
        <f>SUMPRODUCT(('[1]数据-基础表'!BB10:BK10="地下")*('[1]数据-基础表'!BB11:BK11="车库—商业")*('[1]数据-基础表'!BB5:BK5))</f>
        <v>15987.419999999998</v>
      </c>
      <c r="F14" s="1770"/>
      <c r="G14" s="1796"/>
      <c r="H14" s="1796"/>
      <c r="I14" s="1770"/>
      <c r="J14" s="1770"/>
      <c r="K14" s="1770"/>
      <c r="L14" s="1770"/>
      <c r="M14" s="1770"/>
      <c r="N14" s="1770"/>
      <c r="O14" s="1770"/>
      <c r="P14" s="1770"/>
    </row>
    <row r="15" spans="1:16" ht="15" thickBot="1">
      <c r="A15" s="1797"/>
      <c r="B15" s="1798"/>
      <c r="C15" s="1786" t="s">
        <v>1949</v>
      </c>
      <c r="D15" s="1786">
        <f t="shared" si="0"/>
        <v>0</v>
      </c>
      <c r="E15" s="1795">
        <f>SUMPRODUCT(('[1]数据-基础表'!BB10:BK10="地下")*('[1]数据-基础表'!BB11:BK11="车库—办公")*('[1]数据-基础表'!BB5:BK5))</f>
        <v>0</v>
      </c>
      <c r="F15" s="1770"/>
      <c r="G15" s="1796"/>
      <c r="H15" s="1796"/>
      <c r="I15" s="1770"/>
      <c r="J15" s="1770"/>
      <c r="K15" s="1770"/>
      <c r="L15" s="1770"/>
      <c r="M15" s="1770"/>
      <c r="N15" s="1770"/>
      <c r="O15" s="1770"/>
      <c r="P15" s="1770"/>
    </row>
    <row r="16" spans="1:16" ht="15.75" thickBot="1">
      <c r="A16" s="1788"/>
      <c r="B16" s="1798"/>
      <c r="C16" s="1794" t="s">
        <v>1950</v>
      </c>
      <c r="D16" s="1794" t="e">
        <f>SUM(D8:D15)</f>
        <v>#VALUE!</v>
      </c>
      <c r="E16" s="1800" t="e">
        <f>SUM(E8:E15)</f>
        <v>#VALUE!</v>
      </c>
      <c r="F16" s="1770"/>
      <c r="G16" s="1796"/>
      <c r="H16" s="1801" t="s">
        <v>1951</v>
      </c>
      <c r="I16" s="1802"/>
      <c r="J16" s="1770"/>
      <c r="K16" s="1874" t="s">
        <v>1951</v>
      </c>
      <c r="L16" s="1875"/>
      <c r="M16" s="1875"/>
      <c r="N16" s="1875"/>
      <c r="O16" s="1875"/>
      <c r="P16" s="1876"/>
    </row>
    <row r="17" spans="1:19" ht="15">
      <c r="A17" s="1803" t="s">
        <v>1952</v>
      </c>
      <c r="B17" s="1804" t="s">
        <v>1953</v>
      </c>
      <c r="C17" s="1805" t="s">
        <v>1954</v>
      </c>
      <c r="D17" s="1806" t="s">
        <v>1927</v>
      </c>
      <c r="E17" s="1807" t="s">
        <v>1928</v>
      </c>
      <c r="F17" s="1808"/>
      <c r="G17" s="1809"/>
      <c r="H17" s="1810" t="s">
        <v>1955</v>
      </c>
      <c r="I17" s="1811" t="s">
        <v>1956</v>
      </c>
      <c r="J17" s="1770"/>
      <c r="K17" s="1877" t="s">
        <v>1957</v>
      </c>
      <c r="L17" s="1878"/>
      <c r="M17" s="1879"/>
      <c r="N17" s="1877" t="s">
        <v>1958</v>
      </c>
      <c r="O17" s="1878"/>
      <c r="P17" s="1879"/>
      <c r="R17" s="1774" t="s">
        <v>1959</v>
      </c>
      <c r="S17" s="1792"/>
    </row>
    <row r="18" spans="1:19" ht="15">
      <c r="A18" s="1797"/>
      <c r="B18" s="1812"/>
      <c r="C18" s="1813"/>
      <c r="D18" s="1814"/>
      <c r="E18" s="1815" t="s">
        <v>1960</v>
      </c>
      <c r="F18" s="1816" t="s">
        <v>1933</v>
      </c>
      <c r="G18" s="1817" t="s">
        <v>1961</v>
      </c>
      <c r="H18" s="1818" t="s">
        <v>1962</v>
      </c>
      <c r="I18" s="1819" t="s">
        <v>1963</v>
      </c>
      <c r="J18" s="1770"/>
      <c r="K18" s="1818" t="s">
        <v>1964</v>
      </c>
      <c r="L18" s="1820" t="s">
        <v>1965</v>
      </c>
      <c r="M18" s="1821" t="s">
        <v>1966</v>
      </c>
      <c r="N18" s="1818" t="s">
        <v>1964</v>
      </c>
      <c r="O18" s="1820" t="s">
        <v>1965</v>
      </c>
      <c r="P18" s="1821" t="s">
        <v>1966</v>
      </c>
      <c r="R18" s="1780" t="s">
        <v>1962</v>
      </c>
      <c r="S18" s="1780" t="s">
        <v>1963</v>
      </c>
    </row>
    <row r="19" spans="1:19">
      <c r="A19" s="1822"/>
      <c r="B19" s="1794" t="s">
        <v>1967</v>
      </c>
      <c r="C19" s="1823" t="s">
        <v>1968</v>
      </c>
      <c r="D19" s="1786">
        <f>ROUND($D$3*E19/$E$3,2)</f>
        <v>1234.48</v>
      </c>
      <c r="E19" s="1824">
        <f t="shared" ref="E19:E26" si="1">SUM(F19:G19)</f>
        <v>10941.939999999999</v>
      </c>
      <c r="F19" s="1825">
        <f>'[1]数据-基础表'!I13</f>
        <v>10941.939999999999</v>
      </c>
      <c r="G19" s="1826"/>
      <c r="H19" s="1827">
        <f>ROUND($D$3*I19/$E$3,2)</f>
        <v>0</v>
      </c>
      <c r="I19" s="1795">
        <f t="shared" ref="I19:I26" si="2">IF($I$17="自定义",P19,M19)</f>
        <v>0</v>
      </c>
      <c r="J19" s="1770"/>
      <c r="K19" s="1828">
        <f t="shared" ref="K19:K26" si="3">ROUND(E$28*E19/E$27,2)</f>
        <v>0</v>
      </c>
      <c r="L19" s="1780">
        <f t="shared" ref="L19:L26" si="4">ROUND(IF(COUNTIF(C19,"*住宅*")&gt;0,E$29*E19/E$32,0),2)</f>
        <v>0</v>
      </c>
      <c r="M19" s="1829">
        <f>K19+L19</f>
        <v>0</v>
      </c>
      <c r="N19" s="1830"/>
      <c r="O19" s="1831"/>
      <c r="P19" s="1829">
        <f>N19+O19</f>
        <v>0</v>
      </c>
      <c r="R19" s="1780">
        <f t="shared" ref="R19:S26" si="5">D19+H19</f>
        <v>1234.48</v>
      </c>
      <c r="S19" s="1832">
        <f t="shared" si="5"/>
        <v>10941.939999999999</v>
      </c>
    </row>
    <row r="20" spans="1:19">
      <c r="A20" s="1833"/>
      <c r="B20" s="1794" t="s">
        <v>1969</v>
      </c>
      <c r="C20" s="1823" t="s">
        <v>1970</v>
      </c>
      <c r="D20" s="1786">
        <f t="shared" ref="D20:D26" si="6">ROUND($D$3*E20/$E$3,2)</f>
        <v>378.87</v>
      </c>
      <c r="E20" s="1824">
        <f t="shared" si="1"/>
        <v>3358.16</v>
      </c>
      <c r="F20" s="1825">
        <f>'[1]数据-基础表'!K13</f>
        <v>3358.16</v>
      </c>
      <c r="G20" s="1826"/>
      <c r="H20" s="1827">
        <f t="shared" ref="H20:H26" si="7">ROUND($D$3*I20/$E$3,2)</f>
        <v>0</v>
      </c>
      <c r="I20" s="1795">
        <f t="shared" si="2"/>
        <v>0</v>
      </c>
      <c r="J20" s="1770"/>
      <c r="K20" s="1828">
        <f t="shared" si="3"/>
        <v>0</v>
      </c>
      <c r="L20" s="1780">
        <f t="shared" si="4"/>
        <v>0</v>
      </c>
      <c r="M20" s="1829">
        <f t="shared" ref="M20:M26" si="8">K20+L20</f>
        <v>0</v>
      </c>
      <c r="N20" s="1830"/>
      <c r="O20" s="1831"/>
      <c r="P20" s="1829">
        <f t="shared" ref="P20:P26" si="9">N20+O20</f>
        <v>0</v>
      </c>
      <c r="R20" s="1780">
        <f t="shared" si="5"/>
        <v>378.87</v>
      </c>
      <c r="S20" s="1832">
        <f t="shared" si="5"/>
        <v>3358.16</v>
      </c>
    </row>
    <row r="21" spans="1:19">
      <c r="A21" s="1833"/>
      <c r="B21" s="1794" t="s">
        <v>1969</v>
      </c>
      <c r="C21" s="1823" t="s">
        <v>1971</v>
      </c>
      <c r="D21" s="1786">
        <f t="shared" si="6"/>
        <v>6950.68</v>
      </c>
      <c r="E21" s="1824">
        <f t="shared" si="1"/>
        <v>61608.09</v>
      </c>
      <c r="F21" s="1825">
        <f>'[1]数据-基础表'!M13</f>
        <v>61608.09</v>
      </c>
      <c r="G21" s="1826"/>
      <c r="H21" s="1827">
        <f t="shared" si="7"/>
        <v>0</v>
      </c>
      <c r="I21" s="1795">
        <f t="shared" si="2"/>
        <v>0</v>
      </c>
      <c r="J21" s="1770"/>
      <c r="K21" s="1828">
        <f t="shared" si="3"/>
        <v>0</v>
      </c>
      <c r="L21" s="1780">
        <f t="shared" si="4"/>
        <v>0</v>
      </c>
      <c r="M21" s="1829">
        <f t="shared" si="8"/>
        <v>0</v>
      </c>
      <c r="N21" s="1830"/>
      <c r="O21" s="1831"/>
      <c r="P21" s="1829">
        <f t="shared" si="9"/>
        <v>0</v>
      </c>
      <c r="R21" s="1780">
        <f t="shared" si="5"/>
        <v>6950.68</v>
      </c>
      <c r="S21" s="1832">
        <f t="shared" si="5"/>
        <v>61608.09</v>
      </c>
    </row>
    <row r="22" spans="1:19">
      <c r="A22" s="1833"/>
      <c r="B22" s="1794" t="s">
        <v>1969</v>
      </c>
      <c r="C22" s="1834" t="s">
        <v>1972</v>
      </c>
      <c r="D22" s="1786">
        <f t="shared" si="6"/>
        <v>1803.72</v>
      </c>
      <c r="E22" s="1824">
        <f t="shared" si="1"/>
        <v>15987.419999999998</v>
      </c>
      <c r="F22" s="1835"/>
      <c r="G22" s="1836">
        <f>'[1]数据-基础表'!Q13</f>
        <v>15987.419999999998</v>
      </c>
      <c r="H22" s="1827">
        <f t="shared" si="7"/>
        <v>0</v>
      </c>
      <c r="I22" s="1795">
        <f t="shared" si="2"/>
        <v>0</v>
      </c>
      <c r="J22" s="1770"/>
      <c r="K22" s="1828">
        <f t="shared" si="3"/>
        <v>0</v>
      </c>
      <c r="L22" s="1780">
        <f t="shared" si="4"/>
        <v>0</v>
      </c>
      <c r="M22" s="1829">
        <f t="shared" si="8"/>
        <v>0</v>
      </c>
      <c r="N22" s="1830"/>
      <c r="O22" s="1831"/>
      <c r="P22" s="1829">
        <f t="shared" si="9"/>
        <v>0</v>
      </c>
      <c r="R22" s="1780">
        <f t="shared" si="5"/>
        <v>1803.72</v>
      </c>
      <c r="S22" s="1832">
        <f t="shared" si="5"/>
        <v>15987.419999999998</v>
      </c>
    </row>
    <row r="23" spans="1:19">
      <c r="A23" s="1833"/>
      <c r="B23" s="1794" t="s">
        <v>1969</v>
      </c>
      <c r="C23" s="1834" t="s">
        <v>1973</v>
      </c>
      <c r="D23" s="1786">
        <f>ROUND($D$3*E23/$E$3,2)</f>
        <v>780.12</v>
      </c>
      <c r="E23" s="1824">
        <f>SUM(F23:G23)</f>
        <v>6914.72</v>
      </c>
      <c r="F23" s="1835"/>
      <c r="G23" s="1836">
        <f>'[1]数据-基础表'!O13</f>
        <v>6914.72</v>
      </c>
      <c r="H23" s="1827">
        <f>ROUND($D$3*I23/$E$3,2)</f>
        <v>0</v>
      </c>
      <c r="I23" s="1795">
        <f t="shared" si="2"/>
        <v>0</v>
      </c>
      <c r="J23" s="1770"/>
      <c r="K23" s="1828">
        <f t="shared" si="3"/>
        <v>0</v>
      </c>
      <c r="L23" s="1780">
        <f t="shared" si="4"/>
        <v>0</v>
      </c>
      <c r="M23" s="1829">
        <f t="shared" si="8"/>
        <v>0</v>
      </c>
      <c r="N23" s="1830"/>
      <c r="O23" s="1831"/>
      <c r="P23" s="1829">
        <f t="shared" si="9"/>
        <v>0</v>
      </c>
      <c r="R23" s="1780">
        <f t="shared" si="5"/>
        <v>780.12</v>
      </c>
      <c r="S23" s="1832">
        <f t="shared" si="5"/>
        <v>6914.72</v>
      </c>
    </row>
    <row r="24" spans="1:19">
      <c r="A24" s="1833"/>
      <c r="B24" s="1794" t="s">
        <v>1969</v>
      </c>
      <c r="C24" s="1837"/>
      <c r="D24" s="1786">
        <f>ROUND($D$3*E24/$E$3,2)</f>
        <v>0</v>
      </c>
      <c r="E24" s="1824">
        <f>SUM(F24:G24)</f>
        <v>0</v>
      </c>
      <c r="F24" s="1835"/>
      <c r="G24" s="1836"/>
      <c r="H24" s="1827">
        <f>ROUND($D$3*I24/$E$3,2)</f>
        <v>0</v>
      </c>
      <c r="I24" s="1795">
        <f t="shared" si="2"/>
        <v>0</v>
      </c>
      <c r="J24" s="1770"/>
      <c r="K24" s="1828">
        <f t="shared" si="3"/>
        <v>0</v>
      </c>
      <c r="L24" s="1780">
        <f t="shared" si="4"/>
        <v>0</v>
      </c>
      <c r="M24" s="1829">
        <f t="shared" si="8"/>
        <v>0</v>
      </c>
      <c r="N24" s="1830"/>
      <c r="O24" s="1831"/>
      <c r="P24" s="1829">
        <f t="shared" si="9"/>
        <v>0</v>
      </c>
      <c r="R24" s="1780">
        <f t="shared" si="5"/>
        <v>0</v>
      </c>
      <c r="S24" s="1832">
        <f t="shared" si="5"/>
        <v>0</v>
      </c>
    </row>
    <row r="25" spans="1:19">
      <c r="A25" s="1833"/>
      <c r="B25" s="1794" t="s">
        <v>1969</v>
      </c>
      <c r="C25" s="1837"/>
      <c r="D25" s="1786">
        <f t="shared" si="6"/>
        <v>0</v>
      </c>
      <c r="E25" s="1824">
        <f t="shared" si="1"/>
        <v>0</v>
      </c>
      <c r="F25" s="1835"/>
      <c r="G25" s="1836"/>
      <c r="H25" s="1785">
        <f t="shared" si="7"/>
        <v>0</v>
      </c>
      <c r="I25" s="1795">
        <f t="shared" si="2"/>
        <v>0</v>
      </c>
      <c r="J25" s="1770"/>
      <c r="K25" s="1828">
        <f t="shared" si="3"/>
        <v>0</v>
      </c>
      <c r="L25" s="1780">
        <f t="shared" si="4"/>
        <v>0</v>
      </c>
      <c r="M25" s="1829">
        <f t="shared" si="8"/>
        <v>0</v>
      </c>
      <c r="N25" s="1830"/>
      <c r="O25" s="1831"/>
      <c r="P25" s="1829">
        <f t="shared" si="9"/>
        <v>0</v>
      </c>
      <c r="R25" s="1780">
        <f t="shared" si="5"/>
        <v>0</v>
      </c>
      <c r="S25" s="1832">
        <f t="shared" si="5"/>
        <v>0</v>
      </c>
    </row>
    <row r="26" spans="1:19">
      <c r="A26" s="1833"/>
      <c r="B26" s="1794" t="s">
        <v>1969</v>
      </c>
      <c r="C26" s="1838"/>
      <c r="D26" s="1786">
        <f t="shared" si="6"/>
        <v>0</v>
      </c>
      <c r="E26" s="1824">
        <f t="shared" si="1"/>
        <v>0</v>
      </c>
      <c r="F26" s="1835"/>
      <c r="G26" s="1836"/>
      <c r="H26" s="1785">
        <f t="shared" si="7"/>
        <v>0</v>
      </c>
      <c r="I26" s="1795">
        <f t="shared" si="2"/>
        <v>0</v>
      </c>
      <c r="J26" s="1770"/>
      <c r="K26" s="1839">
        <f t="shared" si="3"/>
        <v>0</v>
      </c>
      <c r="L26" s="1779">
        <f t="shared" si="4"/>
        <v>0</v>
      </c>
      <c r="M26" s="1840">
        <f t="shared" si="8"/>
        <v>0</v>
      </c>
      <c r="N26" s="1841"/>
      <c r="O26" s="1842"/>
      <c r="P26" s="1840">
        <f t="shared" si="9"/>
        <v>0</v>
      </c>
      <c r="R26" s="1780">
        <f t="shared" si="5"/>
        <v>0</v>
      </c>
      <c r="S26" s="1832">
        <f t="shared" si="5"/>
        <v>0</v>
      </c>
    </row>
    <row r="27" spans="1:19" ht="15.75" thickBot="1">
      <c r="A27" s="1833"/>
      <c r="B27" s="1786"/>
      <c r="C27" s="1843" t="s">
        <v>1974</v>
      </c>
      <c r="D27" s="1844">
        <f>SUM(D19:D26)</f>
        <v>11147.87</v>
      </c>
      <c r="E27" s="1845">
        <f>IF(SUM(E19:E26)='[1]数据-基础表'!BA5,SUM(E19:E26),IF(F27="地上面积有误","面积有误","地下面积有误"))</f>
        <v>98810.33</v>
      </c>
      <c r="F27" s="1844" t="e">
        <f>IF(SUM(F19:F26)=E8,SUM(F19:F26),"地上面积有误")</f>
        <v>#VALUE!</v>
      </c>
      <c r="G27" s="1846">
        <f>SUM(G19:G26)</f>
        <v>22902.14</v>
      </c>
      <c r="H27" s="1847">
        <f>SUM(H19:H26)</f>
        <v>0</v>
      </c>
      <c r="I27" s="1848">
        <f>SUM(I19:I26)</f>
        <v>0</v>
      </c>
      <c r="J27" s="1770"/>
      <c r="K27" s="1849">
        <f>SUM(K19:K26)</f>
        <v>0</v>
      </c>
      <c r="L27" s="1850">
        <f>SUM(L19:L26)</f>
        <v>0</v>
      </c>
      <c r="M27" s="1851">
        <f>SUM(M19:M26)</f>
        <v>0</v>
      </c>
      <c r="N27" s="1849">
        <f t="shared" ref="N27:O27" si="10">SUM(N19:N26)</f>
        <v>0</v>
      </c>
      <c r="O27" s="1850">
        <f t="shared" si="10"/>
        <v>0</v>
      </c>
      <c r="P27" s="1852">
        <f>SUM(P19:P26)</f>
        <v>0</v>
      </c>
      <c r="R27" s="1853">
        <f>IF(SUM(R19:R26)=$D$3,SUM(R19:R26),SUM(R19:R26)&amp;"误差"&amp;ROUND(SUM(R19:R26)-$D$3,2))</f>
        <v>11147.87</v>
      </c>
      <c r="S27" s="1780">
        <f>IF(SUM(S19:S26)=$E$3,SUM(S19:S26),SUM(S19:S26)&amp;"误差"&amp;ROUND(SUM(S19:S26)-E3,2))</f>
        <v>98810.33</v>
      </c>
    </row>
    <row r="28" spans="1:19">
      <c r="A28" s="1833"/>
      <c r="B28" s="1794" t="s">
        <v>1975</v>
      </c>
      <c r="C28" s="1854" t="s">
        <v>1976</v>
      </c>
      <c r="D28" s="1786">
        <f>ROUND($D$3*E28/$E$3,2)</f>
        <v>0</v>
      </c>
      <c r="E28" s="1824">
        <f>SUM(F28:G28)</f>
        <v>0</v>
      </c>
      <c r="F28" s="1792">
        <f>'[1]数据-基础表'!BQ5+'[1]数据-基础表'!BS5</f>
        <v>0</v>
      </c>
      <c r="G28" s="1855">
        <f>'[1]数据-基础表'!BR5+'[1]数据-基础表'!BT5</f>
        <v>0</v>
      </c>
      <c r="H28" s="1770"/>
      <c r="I28" s="1770"/>
      <c r="J28" s="1770"/>
      <c r="K28" s="1770"/>
      <c r="L28" s="1770"/>
      <c r="M28" s="1770"/>
      <c r="N28" s="1770"/>
      <c r="O28" s="1770"/>
      <c r="P28" s="1770"/>
    </row>
    <row r="29" spans="1:19">
      <c r="A29" s="1833"/>
      <c r="B29" s="1794" t="s">
        <v>1975</v>
      </c>
      <c r="C29" s="1856" t="s">
        <v>1977</v>
      </c>
      <c r="D29" s="1786">
        <f>ROUND($D$3*E29/$E$3,2)</f>
        <v>0</v>
      </c>
      <c r="E29" s="1824">
        <f>SUM(F29:G29)</f>
        <v>0</v>
      </c>
      <c r="F29" s="1857">
        <f>'[1]数据-基础表'!BM5+'[1]数据-基础表'!BO5</f>
        <v>0</v>
      </c>
      <c r="G29" s="1840">
        <f>'[1]数据-基础表'!BN5+'[1]数据-基础表'!BP5</f>
        <v>0</v>
      </c>
      <c r="H29" s="1770"/>
      <c r="I29" s="1770"/>
      <c r="J29" s="1770"/>
      <c r="K29" s="1770"/>
      <c r="L29" s="1770"/>
      <c r="M29" s="1770"/>
      <c r="N29" s="1770"/>
      <c r="O29" s="1770"/>
      <c r="P29" s="1770"/>
    </row>
    <row r="30" spans="1:19" ht="15">
      <c r="A30" s="1833"/>
      <c r="B30" s="1794"/>
      <c r="C30" s="1858" t="s">
        <v>1974</v>
      </c>
      <c r="D30" s="1844">
        <f>SUM(D28:D29)</f>
        <v>0</v>
      </c>
      <c r="E30" s="1844">
        <f>SUM(E28:E29)</f>
        <v>0</v>
      </c>
      <c r="F30" s="1844">
        <f>SUM(F28:F29)</f>
        <v>0</v>
      </c>
      <c r="G30" s="1846">
        <f>SUM(G28:G29)</f>
        <v>0</v>
      </c>
      <c r="H30" s="1770"/>
      <c r="I30" s="1770"/>
      <c r="J30" s="1770"/>
      <c r="K30" s="1770"/>
      <c r="L30" s="1770"/>
      <c r="M30" s="1770"/>
      <c r="N30" s="1770"/>
      <c r="O30" s="1770"/>
      <c r="P30" s="1770"/>
    </row>
    <row r="31" spans="1:19" ht="15.75" thickBot="1">
      <c r="A31" s="1859"/>
      <c r="B31" s="1860"/>
      <c r="C31" s="1861" t="s">
        <v>1978</v>
      </c>
      <c r="D31" s="1862">
        <f>D27+D30</f>
        <v>11147.87</v>
      </c>
      <c r="E31" s="1862">
        <f>E27+E30</f>
        <v>98810.33</v>
      </c>
      <c r="F31" s="1863" t="e">
        <f>F27+F30</f>
        <v>#VALUE!</v>
      </c>
      <c r="G31" s="1864">
        <f>G27+G30</f>
        <v>22902.14</v>
      </c>
      <c r="H31" s="1770"/>
      <c r="I31" s="1770"/>
      <c r="J31" s="1770"/>
      <c r="K31" s="1770"/>
      <c r="L31" s="1770"/>
      <c r="M31" s="1770"/>
      <c r="N31" s="1770"/>
      <c r="O31" s="1770"/>
      <c r="P31" s="1770"/>
    </row>
    <row r="32" spans="1:19">
      <c r="A32" s="1784"/>
      <c r="B32" s="1784" t="s">
        <v>1979</v>
      </c>
      <c r="C32" s="1784"/>
      <c r="D32" s="1784"/>
      <c r="E32" s="1865">
        <f>SUMIF(C19:C26,"*住宅*",E19:E26)</f>
        <v>0</v>
      </c>
      <c r="F32" s="1784"/>
      <c r="G32" s="1784"/>
      <c r="H32" s="1770"/>
      <c r="I32" s="1770"/>
      <c r="J32" s="1770"/>
      <c r="K32" s="1770"/>
      <c r="L32" s="1770"/>
      <c r="M32" s="1770"/>
      <c r="N32" s="1770"/>
      <c r="O32" s="1770"/>
      <c r="P32" s="1770"/>
    </row>
    <row r="33" spans="4:4">
      <c r="D33" s="1866"/>
    </row>
  </sheetData>
  <sheetProtection password="C66D" sheet="1" objects="1" scenarios="1" formatCells="0" formatColumns="0" formatRows="0"/>
  <mergeCells count="9">
    <mergeCell ref="K16:P16"/>
    <mergeCell ref="K17:M17"/>
    <mergeCell ref="N17:P17"/>
    <mergeCell ref="A2:C2"/>
    <mergeCell ref="A3:C3"/>
    <mergeCell ref="A4:C4"/>
    <mergeCell ref="B5:C5"/>
    <mergeCell ref="B6:C6"/>
    <mergeCell ref="A7:C7"/>
  </mergeCells>
  <phoneticPr fontId="109" type="noConversion"/>
  <conditionalFormatting sqref="E27">
    <cfRule type="containsText" dxfId="27" priority="1" stopIfTrue="1" operator="containsText" text="面积有误">
      <formula>NOT(ISERROR(SEARCH("面积有误",E27)))</formula>
    </cfRule>
    <cfRule type="cellIs" dxfId="26" priority="3" stopIfTrue="1" operator="equal">
      <formula>"地下面积有误"</formula>
    </cfRule>
  </conditionalFormatting>
  <conditionalFormatting sqref="F27">
    <cfRule type="cellIs" dxfId="25" priority="2" stopIfTrue="1" operator="equal">
      <formula>"地上面积有误"</formula>
    </cfRule>
  </conditionalFormatting>
  <dataValidations count="2">
    <dataValidation type="list" allowBlank="1" showInputMessage="1" showErrorMessage="1" sqref="I17" xr:uid="{00000000-0002-0000-0200-000000000000}">
      <formula1>"自定义,按面积比例"</formula1>
    </dataValidation>
    <dataValidation type="list" allowBlank="1" showInputMessage="1" showErrorMessage="1" sqref="B28:B29 B19:B26" xr:uid="{00000000-0002-0000-0200-000001000000}">
      <formula1>类别</formula1>
    </dataValidation>
  </dataValidations>
  <pageMargins left="0.7" right="0.7" top="0.75" bottom="0.75" header="0.3" footer="0.3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"/>
  <sheetViews>
    <sheetView topLeftCell="A47" zoomScaleNormal="100" workbookViewId="0">
      <selection activeCell="E83" sqref="E82:E83"/>
    </sheetView>
  </sheetViews>
  <sheetFormatPr defaultRowHeight="12"/>
  <cols>
    <col min="1" max="1" width="9" style="1760"/>
    <col min="2" max="2" width="15.5" style="1761" customWidth="1"/>
    <col min="3" max="4" width="9" style="1760"/>
    <col min="5" max="5" width="9" style="1761"/>
    <col min="6" max="7" width="9" style="1760"/>
    <col min="8" max="9" width="10.5" style="1760" customWidth="1"/>
    <col min="10" max="10" width="14" style="1761" customWidth="1"/>
    <col min="11" max="16384" width="9" style="1760"/>
  </cols>
  <sheetData>
    <row r="1" spans="1:13">
      <c r="A1" s="1889" t="s">
        <v>1779</v>
      </c>
      <c r="B1" s="1889"/>
      <c r="C1" s="1889"/>
      <c r="D1" s="1889"/>
      <c r="E1" s="1889"/>
    </row>
    <row r="2" spans="1:13">
      <c r="A2" s="1762" t="s">
        <v>1780</v>
      </c>
      <c r="B2" s="1763" t="s">
        <v>1781</v>
      </c>
      <c r="C2" s="1762" t="s">
        <v>1782</v>
      </c>
      <c r="D2" s="1762" t="s">
        <v>1783</v>
      </c>
      <c r="E2" s="1763" t="s">
        <v>1784</v>
      </c>
    </row>
    <row r="3" spans="1:13">
      <c r="A3" s="1762">
        <v>1</v>
      </c>
      <c r="B3" s="1763" t="s">
        <v>1785</v>
      </c>
      <c r="C3" s="1762">
        <v>83.17</v>
      </c>
      <c r="D3" s="1762"/>
      <c r="E3" s="1763" t="s">
        <v>1786</v>
      </c>
      <c r="G3" s="1762" t="s">
        <v>1787</v>
      </c>
      <c r="H3" s="1762" t="s">
        <v>1788</v>
      </c>
      <c r="I3" s="1762" t="s">
        <v>1789</v>
      </c>
      <c r="J3" s="1763" t="s">
        <v>1790</v>
      </c>
      <c r="L3" s="1760" t="s">
        <v>1791</v>
      </c>
      <c r="M3" s="1760" t="s">
        <v>1792</v>
      </c>
    </row>
    <row r="4" spans="1:13">
      <c r="A4" s="1762">
        <v>2</v>
      </c>
      <c r="B4" s="1763" t="s">
        <v>1793</v>
      </c>
      <c r="C4" s="1762">
        <v>2704.7</v>
      </c>
      <c r="D4" s="1762" t="s">
        <v>1794</v>
      </c>
      <c r="E4" s="1763" t="s">
        <v>1795</v>
      </c>
      <c r="G4" s="1762" t="s">
        <v>1796</v>
      </c>
      <c r="H4" s="1762">
        <f>C26+C29+C30+C31+C33</f>
        <v>10941.939999999999</v>
      </c>
      <c r="I4" s="1762">
        <v>0</v>
      </c>
      <c r="J4" s="1763" t="s">
        <v>1797</v>
      </c>
      <c r="L4" s="1760">
        <f>C26+C29+C30+C31</f>
        <v>4137.24</v>
      </c>
      <c r="M4" s="1760">
        <f>C33</f>
        <v>6804.7</v>
      </c>
    </row>
    <row r="5" spans="1:13">
      <c r="A5" s="1762">
        <v>3</v>
      </c>
      <c r="B5" s="1763" t="s">
        <v>1798</v>
      </c>
      <c r="C5" s="1762">
        <v>11208.56</v>
      </c>
      <c r="D5" s="1762" t="s">
        <v>1799</v>
      </c>
      <c r="E5" s="1763" t="s">
        <v>1800</v>
      </c>
      <c r="G5" s="1762" t="s">
        <v>1801</v>
      </c>
      <c r="H5" s="1762">
        <f>C39+C42</f>
        <v>3358.16</v>
      </c>
      <c r="I5" s="1762">
        <v>0</v>
      </c>
      <c r="J5" s="1763" t="s">
        <v>1802</v>
      </c>
    </row>
    <row r="6" spans="1:13">
      <c r="A6" s="1762">
        <v>4</v>
      </c>
      <c r="B6" s="1763" t="s">
        <v>1803</v>
      </c>
      <c r="C6" s="1762">
        <v>1422.12</v>
      </c>
      <c r="D6" s="1762"/>
      <c r="E6" s="1763" t="s">
        <v>1804</v>
      </c>
      <c r="G6" s="1762" t="s">
        <v>1805</v>
      </c>
      <c r="H6" s="1762">
        <f>C27+C28+C35+C37+C40+SUM(C43:C63)</f>
        <v>61608.09</v>
      </c>
      <c r="I6" s="1762">
        <v>0</v>
      </c>
      <c r="J6" s="1763" t="s">
        <v>1806</v>
      </c>
    </row>
    <row r="7" spans="1:13">
      <c r="A7" s="1762">
        <v>5</v>
      </c>
      <c r="B7" s="1763" t="s">
        <v>1807</v>
      </c>
      <c r="C7" s="1762">
        <v>90.92</v>
      </c>
      <c r="D7" s="1762" t="s">
        <v>1808</v>
      </c>
      <c r="E7" s="1763" t="s">
        <v>1809</v>
      </c>
      <c r="G7" s="1762" t="s">
        <v>1810</v>
      </c>
      <c r="H7" s="1762">
        <v>0</v>
      </c>
      <c r="I7" s="1762">
        <f>C4+C5+C19</f>
        <v>15987.419999999998</v>
      </c>
      <c r="J7" s="1763" t="s">
        <v>1811</v>
      </c>
    </row>
    <row r="8" spans="1:13">
      <c r="A8" s="1762">
        <v>6</v>
      </c>
      <c r="B8" s="1763" t="s">
        <v>1812</v>
      </c>
      <c r="C8" s="1762">
        <v>184</v>
      </c>
      <c r="D8" s="1762" t="s">
        <v>1808</v>
      </c>
      <c r="E8" s="1763" t="s">
        <v>1809</v>
      </c>
      <c r="G8" s="1762" t="s">
        <v>1813</v>
      </c>
      <c r="H8" s="1762">
        <v>0</v>
      </c>
      <c r="I8" s="1762">
        <f>SUM(C7:C17)+C22+C23</f>
        <v>6914.72</v>
      </c>
      <c r="J8" s="1763" t="s">
        <v>1814</v>
      </c>
    </row>
    <row r="9" spans="1:13">
      <c r="A9" s="1762">
        <v>7</v>
      </c>
      <c r="B9" s="1763" t="s">
        <v>1815</v>
      </c>
      <c r="C9" s="1762">
        <v>69.06</v>
      </c>
      <c r="D9" s="1762" t="s">
        <v>1808</v>
      </c>
      <c r="E9" s="1763" t="s">
        <v>1816</v>
      </c>
      <c r="G9" s="1762" t="s">
        <v>1817</v>
      </c>
      <c r="H9" s="1762">
        <f>C25+C32+C34+C36+C38+C41</f>
        <v>3107.8199999999997</v>
      </c>
      <c r="I9" s="1762">
        <f>C3+C6+C18+C20+C21+C24</f>
        <v>8569.92</v>
      </c>
      <c r="J9" s="1763"/>
    </row>
    <row r="10" spans="1:13">
      <c r="A10" s="1762">
        <v>8</v>
      </c>
      <c r="B10" s="1763" t="s">
        <v>1818</v>
      </c>
      <c r="C10" s="1762">
        <v>100.55</v>
      </c>
      <c r="D10" s="1762" t="s">
        <v>1808</v>
      </c>
      <c r="E10" s="1763" t="s">
        <v>1816</v>
      </c>
      <c r="G10" s="1762" t="s">
        <v>1819</v>
      </c>
      <c r="H10" s="1762">
        <f>SUM(H4:H9)</f>
        <v>79016.010000000009</v>
      </c>
      <c r="I10" s="1762">
        <f>SUM(I4:I9)</f>
        <v>31472.059999999998</v>
      </c>
      <c r="J10" s="1763"/>
    </row>
    <row r="11" spans="1:13">
      <c r="A11" s="1762">
        <v>9</v>
      </c>
      <c r="B11" s="1763" t="s">
        <v>1820</v>
      </c>
      <c r="C11" s="1762">
        <v>154.18</v>
      </c>
      <c r="D11" s="1762" t="s">
        <v>1808</v>
      </c>
      <c r="E11" s="1763" t="s">
        <v>1816</v>
      </c>
      <c r="G11" s="1764"/>
      <c r="H11" s="1764"/>
      <c r="I11" s="1764"/>
      <c r="J11" s="1765"/>
    </row>
    <row r="12" spans="1:13">
      <c r="A12" s="1762">
        <v>10</v>
      </c>
      <c r="B12" s="1763" t="s">
        <v>1821</v>
      </c>
      <c r="C12" s="1762">
        <v>108.56</v>
      </c>
      <c r="D12" s="1762" t="s">
        <v>1808</v>
      </c>
      <c r="E12" s="1763" t="s">
        <v>1816</v>
      </c>
      <c r="G12" s="1764" t="s">
        <v>1822</v>
      </c>
      <c r="H12" s="1764">
        <f>H4+H5+H6+I7+I8</f>
        <v>98810.33</v>
      </c>
      <c r="I12" s="1764"/>
      <c r="J12" s="1765"/>
    </row>
    <row r="13" spans="1:13">
      <c r="A13" s="1762">
        <v>11</v>
      </c>
      <c r="B13" s="1763" t="s">
        <v>1823</v>
      </c>
      <c r="C13" s="1762">
        <v>90.39</v>
      </c>
      <c r="D13" s="1762" t="s">
        <v>1808</v>
      </c>
      <c r="E13" s="1763" t="s">
        <v>1816</v>
      </c>
      <c r="G13" s="1764" t="s">
        <v>1824</v>
      </c>
      <c r="H13" s="1764">
        <v>11147.87</v>
      </c>
      <c r="I13" s="1764"/>
      <c r="J13" s="1766">
        <f>H12/C64*12465.37</f>
        <v>11147.876175881251</v>
      </c>
    </row>
    <row r="14" spans="1:13">
      <c r="A14" s="1762">
        <v>12</v>
      </c>
      <c r="B14" s="1763" t="s">
        <v>1825</v>
      </c>
      <c r="C14" s="1762">
        <v>346.89</v>
      </c>
      <c r="D14" s="1762" t="s">
        <v>1808</v>
      </c>
      <c r="E14" s="1763" t="s">
        <v>1816</v>
      </c>
    </row>
    <row r="15" spans="1:13">
      <c r="A15" s="1762">
        <v>13</v>
      </c>
      <c r="B15" s="1763" t="s">
        <v>1826</v>
      </c>
      <c r="C15" s="1762">
        <v>65.66</v>
      </c>
      <c r="D15" s="1762" t="s">
        <v>1808</v>
      </c>
      <c r="E15" s="1763" t="s">
        <v>1816</v>
      </c>
      <c r="G15" s="1760" t="s">
        <v>1827</v>
      </c>
      <c r="H15" s="1767">
        <f>ROUND((H4+H5+H6+H9)/H13,2)</f>
        <v>7.09</v>
      </c>
      <c r="J15" s="1768">
        <f>ROUND((H4+H5+H6+H9)/J13,2)</f>
        <v>7.09</v>
      </c>
    </row>
    <row r="16" spans="1:13">
      <c r="A16" s="1762">
        <v>14</v>
      </c>
      <c r="B16" s="1763" t="s">
        <v>1828</v>
      </c>
      <c r="C16" s="1762">
        <v>203.14</v>
      </c>
      <c r="D16" s="1762" t="s">
        <v>1808</v>
      </c>
      <c r="E16" s="1763" t="s">
        <v>1816</v>
      </c>
    </row>
    <row r="17" spans="1:11">
      <c r="A17" s="1762">
        <v>15</v>
      </c>
      <c r="B17" s="1763" t="s">
        <v>1829</v>
      </c>
      <c r="C17" s="1762">
        <v>51.85</v>
      </c>
      <c r="D17" s="1762" t="s">
        <v>1808</v>
      </c>
      <c r="E17" s="1763" t="s">
        <v>1816</v>
      </c>
      <c r="G17" s="1889" t="s">
        <v>1830</v>
      </c>
      <c r="H17" s="1889"/>
      <c r="I17" s="1889"/>
      <c r="J17" s="1889"/>
      <c r="K17" s="1889"/>
    </row>
    <row r="18" spans="1:11">
      <c r="A18" s="1762">
        <v>16</v>
      </c>
      <c r="B18" s="1763" t="s">
        <v>1831</v>
      </c>
      <c r="C18" s="1762">
        <v>2427.33</v>
      </c>
      <c r="D18" s="1762" t="s">
        <v>1832</v>
      </c>
      <c r="E18" s="1763" t="s">
        <v>1816</v>
      </c>
      <c r="G18" s="1762" t="s">
        <v>1780</v>
      </c>
      <c r="H18" s="1763" t="s">
        <v>1781</v>
      </c>
      <c r="I18" s="1762" t="s">
        <v>1782</v>
      </c>
      <c r="J18" s="1762" t="s">
        <v>1783</v>
      </c>
      <c r="K18" s="1763" t="s">
        <v>1784</v>
      </c>
    </row>
    <row r="19" spans="1:11">
      <c r="A19" s="1762">
        <v>17</v>
      </c>
      <c r="B19" s="1763" t="s">
        <v>1833</v>
      </c>
      <c r="C19" s="1762">
        <v>2074.16</v>
      </c>
      <c r="D19" s="1762" t="s">
        <v>1834</v>
      </c>
      <c r="E19" s="1763" t="s">
        <v>1816</v>
      </c>
      <c r="G19" s="1762">
        <v>1</v>
      </c>
      <c r="H19" s="1763" t="s">
        <v>1835</v>
      </c>
      <c r="I19" s="1762">
        <v>2704.7</v>
      </c>
      <c r="J19" s="1762" t="s">
        <v>1834</v>
      </c>
      <c r="K19" s="1763" t="s">
        <v>1786</v>
      </c>
    </row>
    <row r="20" spans="1:11">
      <c r="A20" s="1762">
        <v>18</v>
      </c>
      <c r="B20" s="1763" t="s">
        <v>1836</v>
      </c>
      <c r="C20" s="1762">
        <v>527.34</v>
      </c>
      <c r="D20" s="1762"/>
      <c r="E20" s="1763" t="s">
        <v>1837</v>
      </c>
      <c r="G20" s="1762">
        <v>2</v>
      </c>
      <c r="H20" s="1763" t="s">
        <v>1838</v>
      </c>
      <c r="I20" s="1762">
        <v>11208.56</v>
      </c>
      <c r="J20" s="1762" t="s">
        <v>1834</v>
      </c>
      <c r="K20" s="1763" t="s">
        <v>1839</v>
      </c>
    </row>
    <row r="21" spans="1:11">
      <c r="A21" s="1762">
        <v>19</v>
      </c>
      <c r="B21" s="1763" t="s">
        <v>1840</v>
      </c>
      <c r="C21" s="1762">
        <v>3562.94</v>
      </c>
      <c r="D21" s="1762" t="s">
        <v>1832</v>
      </c>
      <c r="E21" s="1763" t="s">
        <v>1837</v>
      </c>
      <c r="G21" s="1762">
        <v>3</v>
      </c>
      <c r="H21" s="1763" t="s">
        <v>1807</v>
      </c>
      <c r="I21" s="1762">
        <v>90.92</v>
      </c>
      <c r="J21" s="1762" t="s">
        <v>1808</v>
      </c>
      <c r="K21" s="1763" t="s">
        <v>1809</v>
      </c>
    </row>
    <row r="22" spans="1:11">
      <c r="A22" s="1762">
        <v>20</v>
      </c>
      <c r="B22" s="1763" t="s">
        <v>1841</v>
      </c>
      <c r="C22" s="1762">
        <v>5033.92</v>
      </c>
      <c r="D22" s="1762" t="s">
        <v>1808</v>
      </c>
      <c r="E22" s="1763" t="s">
        <v>1842</v>
      </c>
      <c r="G22" s="1762">
        <v>4</v>
      </c>
      <c r="H22" s="1763" t="s">
        <v>1812</v>
      </c>
      <c r="I22" s="1762">
        <v>184</v>
      </c>
      <c r="J22" s="1762" t="s">
        <v>1808</v>
      </c>
      <c r="K22" s="1763" t="s">
        <v>1809</v>
      </c>
    </row>
    <row r="23" spans="1:11">
      <c r="A23" s="1762">
        <v>21</v>
      </c>
      <c r="B23" s="1763" t="s">
        <v>1843</v>
      </c>
      <c r="C23" s="1762">
        <v>415.6</v>
      </c>
      <c r="D23" s="1762" t="s">
        <v>1808</v>
      </c>
      <c r="E23" s="1763" t="s">
        <v>1842</v>
      </c>
      <c r="G23" s="1762">
        <v>5</v>
      </c>
      <c r="H23" s="1763" t="s">
        <v>1815</v>
      </c>
      <c r="I23" s="1762">
        <v>69.06</v>
      </c>
      <c r="J23" s="1762" t="s">
        <v>1808</v>
      </c>
      <c r="K23" s="1763" t="s">
        <v>1816</v>
      </c>
    </row>
    <row r="24" spans="1:11">
      <c r="A24" s="1762">
        <v>22</v>
      </c>
      <c r="B24" s="1763" t="s">
        <v>1844</v>
      </c>
      <c r="C24" s="1762">
        <v>547.02</v>
      </c>
      <c r="D24" s="1762" t="s">
        <v>1845</v>
      </c>
      <c r="E24" s="1763" t="s">
        <v>1842</v>
      </c>
      <c r="G24" s="1762">
        <v>6</v>
      </c>
      <c r="H24" s="1763" t="s">
        <v>1818</v>
      </c>
      <c r="I24" s="1762">
        <v>100.55</v>
      </c>
      <c r="J24" s="1762" t="s">
        <v>1808</v>
      </c>
      <c r="K24" s="1763" t="s">
        <v>1816</v>
      </c>
    </row>
    <row r="25" spans="1:11">
      <c r="A25" s="1762">
        <v>23</v>
      </c>
      <c r="B25" s="1763" t="s">
        <v>1846</v>
      </c>
      <c r="C25" s="1762">
        <v>215.95</v>
      </c>
      <c r="D25" s="1762"/>
      <c r="E25" s="1763" t="s">
        <v>1847</v>
      </c>
      <c r="G25" s="1762">
        <v>7</v>
      </c>
      <c r="H25" s="1763" t="s">
        <v>1820</v>
      </c>
      <c r="I25" s="1762">
        <v>154.18</v>
      </c>
      <c r="J25" s="1762" t="s">
        <v>1808</v>
      </c>
      <c r="K25" s="1763" t="s">
        <v>1816</v>
      </c>
    </row>
    <row r="26" spans="1:11">
      <c r="A26" s="1762">
        <v>24</v>
      </c>
      <c r="B26" s="1763" t="s">
        <v>1848</v>
      </c>
      <c r="C26" s="1762">
        <v>2534.48</v>
      </c>
      <c r="D26" s="1762" t="s">
        <v>1849</v>
      </c>
      <c r="E26" s="1763" t="s">
        <v>1847</v>
      </c>
      <c r="G26" s="1762">
        <v>8</v>
      </c>
      <c r="H26" s="1763" t="s">
        <v>1821</v>
      </c>
      <c r="I26" s="1762">
        <v>108.56</v>
      </c>
      <c r="J26" s="1762" t="s">
        <v>1808</v>
      </c>
      <c r="K26" s="1763" t="s">
        <v>1816</v>
      </c>
    </row>
    <row r="27" spans="1:11">
      <c r="A27" s="1762">
        <v>25</v>
      </c>
      <c r="B27" s="1763" t="s">
        <v>1850</v>
      </c>
      <c r="C27" s="1762">
        <v>176.38</v>
      </c>
      <c r="D27" s="1762" t="s">
        <v>1851</v>
      </c>
      <c r="E27" s="1763" t="s">
        <v>1852</v>
      </c>
      <c r="G27" s="1762">
        <v>9</v>
      </c>
      <c r="H27" s="1763" t="s">
        <v>1823</v>
      </c>
      <c r="I27" s="1762">
        <v>90.39</v>
      </c>
      <c r="J27" s="1762" t="s">
        <v>1808</v>
      </c>
      <c r="K27" s="1763" t="s">
        <v>1816</v>
      </c>
    </row>
    <row r="28" spans="1:11">
      <c r="A28" s="1762">
        <v>26</v>
      </c>
      <c r="B28" s="1763" t="s">
        <v>1853</v>
      </c>
      <c r="C28" s="1762">
        <v>866.13</v>
      </c>
      <c r="D28" s="1762" t="s">
        <v>1851</v>
      </c>
      <c r="E28" s="1763" t="s">
        <v>1852</v>
      </c>
      <c r="G28" s="1762">
        <v>10</v>
      </c>
      <c r="H28" s="1763" t="s">
        <v>1825</v>
      </c>
      <c r="I28" s="1762">
        <v>346.89</v>
      </c>
      <c r="J28" s="1762" t="s">
        <v>1808</v>
      </c>
      <c r="K28" s="1763" t="s">
        <v>1816</v>
      </c>
    </row>
    <row r="29" spans="1:11">
      <c r="A29" s="1762">
        <v>27</v>
      </c>
      <c r="B29" s="1763" t="s">
        <v>1854</v>
      </c>
      <c r="C29" s="1762">
        <v>346.74</v>
      </c>
      <c r="D29" s="1762" t="s">
        <v>1849</v>
      </c>
      <c r="E29" s="1763" t="s">
        <v>1852</v>
      </c>
      <c r="G29" s="1762">
        <v>11</v>
      </c>
      <c r="H29" s="1763" t="s">
        <v>1826</v>
      </c>
      <c r="I29" s="1762">
        <v>65.66</v>
      </c>
      <c r="J29" s="1762" t="s">
        <v>1808</v>
      </c>
      <c r="K29" s="1763" t="s">
        <v>1816</v>
      </c>
    </row>
    <row r="30" spans="1:11">
      <c r="A30" s="1762">
        <v>28</v>
      </c>
      <c r="B30" s="1763" t="s">
        <v>1855</v>
      </c>
      <c r="C30" s="1762">
        <v>1015.24</v>
      </c>
      <c r="D30" s="1762" t="s">
        <v>1849</v>
      </c>
      <c r="E30" s="1763" t="s">
        <v>1852</v>
      </c>
      <c r="G30" s="1762">
        <v>12</v>
      </c>
      <c r="H30" s="1763" t="s">
        <v>1828</v>
      </c>
      <c r="I30" s="1762">
        <v>203.14</v>
      </c>
      <c r="J30" s="1762" t="s">
        <v>1808</v>
      </c>
      <c r="K30" s="1763" t="s">
        <v>1816</v>
      </c>
    </row>
    <row r="31" spans="1:11">
      <c r="A31" s="1762">
        <v>29</v>
      </c>
      <c r="B31" s="1763" t="s">
        <v>1856</v>
      </c>
      <c r="C31" s="1762">
        <v>240.78</v>
      </c>
      <c r="D31" s="1762" t="s">
        <v>1849</v>
      </c>
      <c r="E31" s="1763" t="s">
        <v>1852</v>
      </c>
      <c r="G31" s="1762">
        <v>13</v>
      </c>
      <c r="H31" s="1763" t="s">
        <v>1829</v>
      </c>
      <c r="I31" s="1762">
        <v>51.85</v>
      </c>
      <c r="J31" s="1762" t="s">
        <v>1808</v>
      </c>
      <c r="K31" s="1763" t="s">
        <v>1816</v>
      </c>
    </row>
    <row r="32" spans="1:11">
      <c r="A32" s="1762">
        <v>30</v>
      </c>
      <c r="B32" s="1763" t="s">
        <v>1857</v>
      </c>
      <c r="C32" s="1762">
        <v>78.41</v>
      </c>
      <c r="D32" s="1762"/>
      <c r="E32" s="1763" t="s">
        <v>1858</v>
      </c>
      <c r="G32" s="1762">
        <v>14</v>
      </c>
      <c r="H32" s="1763" t="s">
        <v>1833</v>
      </c>
      <c r="I32" s="1762">
        <v>2074.16</v>
      </c>
      <c r="J32" s="1762" t="s">
        <v>1834</v>
      </c>
      <c r="K32" s="1763" t="s">
        <v>1816</v>
      </c>
    </row>
    <row r="33" spans="1:11">
      <c r="A33" s="1762">
        <v>31</v>
      </c>
      <c r="B33" s="1763" t="s">
        <v>1859</v>
      </c>
      <c r="C33" s="1762">
        <v>6804.7</v>
      </c>
      <c r="D33" s="1762" t="s">
        <v>1849</v>
      </c>
      <c r="E33" s="1763" t="s">
        <v>1858</v>
      </c>
      <c r="G33" s="1762">
        <v>15</v>
      </c>
      <c r="H33" s="1763" t="s">
        <v>1841</v>
      </c>
      <c r="I33" s="1762">
        <v>5033.92</v>
      </c>
      <c r="J33" s="1762" t="s">
        <v>1808</v>
      </c>
      <c r="K33" s="1763" t="s">
        <v>1842</v>
      </c>
    </row>
    <row r="34" spans="1:11">
      <c r="A34" s="1762">
        <v>32</v>
      </c>
      <c r="B34" s="1763" t="s">
        <v>1860</v>
      </c>
      <c r="C34" s="1762">
        <v>728.75</v>
      </c>
      <c r="D34" s="1762"/>
      <c r="E34" s="1763" t="s">
        <v>1861</v>
      </c>
      <c r="G34" s="1762">
        <v>16</v>
      </c>
      <c r="H34" s="1763" t="s">
        <v>1843</v>
      </c>
      <c r="I34" s="1762">
        <v>415.6</v>
      </c>
      <c r="J34" s="1762" t="s">
        <v>1808</v>
      </c>
      <c r="K34" s="1763" t="s">
        <v>1842</v>
      </c>
    </row>
    <row r="35" spans="1:11">
      <c r="A35" s="1762">
        <v>33</v>
      </c>
      <c r="B35" s="1763" t="s">
        <v>1862</v>
      </c>
      <c r="C35" s="1762">
        <v>8499.86</v>
      </c>
      <c r="D35" s="1762" t="s">
        <v>1851</v>
      </c>
      <c r="E35" s="1763" t="s">
        <v>1861</v>
      </c>
      <c r="G35" s="1762">
        <v>17</v>
      </c>
      <c r="H35" s="1763" t="s">
        <v>1848</v>
      </c>
      <c r="I35" s="1762">
        <v>2534.48</v>
      </c>
      <c r="J35" s="1762" t="s">
        <v>1849</v>
      </c>
      <c r="K35" s="1763" t="s">
        <v>1847</v>
      </c>
    </row>
    <row r="36" spans="1:11">
      <c r="A36" s="1762">
        <v>34</v>
      </c>
      <c r="B36" s="1763" t="s">
        <v>1863</v>
      </c>
      <c r="C36" s="1762">
        <v>2061.73</v>
      </c>
      <c r="D36" s="1762"/>
      <c r="E36" s="1763" t="s">
        <v>1864</v>
      </c>
      <c r="G36" s="1762">
        <v>18</v>
      </c>
      <c r="H36" s="1763" t="s">
        <v>1850</v>
      </c>
      <c r="I36" s="1762">
        <v>176.38</v>
      </c>
      <c r="J36" s="1762" t="s">
        <v>1851</v>
      </c>
      <c r="K36" s="1763" t="s">
        <v>1852</v>
      </c>
    </row>
    <row r="37" spans="1:11">
      <c r="A37" s="1762">
        <v>35</v>
      </c>
      <c r="B37" s="1763" t="s">
        <v>1865</v>
      </c>
      <c r="C37" s="1762">
        <v>7374.48</v>
      </c>
      <c r="D37" s="1762" t="s">
        <v>1851</v>
      </c>
      <c r="E37" s="1763" t="s">
        <v>1864</v>
      </c>
      <c r="G37" s="1762">
        <v>19</v>
      </c>
      <c r="H37" s="1763" t="s">
        <v>1853</v>
      </c>
      <c r="I37" s="1762">
        <v>866.13</v>
      </c>
      <c r="J37" s="1762" t="s">
        <v>1851</v>
      </c>
      <c r="K37" s="1763" t="s">
        <v>1852</v>
      </c>
    </row>
    <row r="38" spans="1:11">
      <c r="A38" s="1762">
        <v>36</v>
      </c>
      <c r="B38" s="1763" t="s">
        <v>1866</v>
      </c>
      <c r="C38" s="1762">
        <v>11.49</v>
      </c>
      <c r="D38" s="1762"/>
      <c r="E38" s="1763" t="s">
        <v>1867</v>
      </c>
      <c r="G38" s="1762">
        <v>20</v>
      </c>
      <c r="H38" s="1763" t="s">
        <v>1854</v>
      </c>
      <c r="I38" s="1762">
        <v>346.74</v>
      </c>
      <c r="J38" s="1762" t="s">
        <v>1849</v>
      </c>
      <c r="K38" s="1763" t="s">
        <v>1852</v>
      </c>
    </row>
    <row r="39" spans="1:11">
      <c r="A39" s="1762">
        <v>37</v>
      </c>
      <c r="B39" s="1763" t="s">
        <v>1868</v>
      </c>
      <c r="C39" s="1762">
        <v>1761.31</v>
      </c>
      <c r="D39" s="1762" t="s">
        <v>1869</v>
      </c>
      <c r="E39" s="1763" t="s">
        <v>1867</v>
      </c>
      <c r="G39" s="1762">
        <v>21</v>
      </c>
      <c r="H39" s="1763" t="s">
        <v>1855</v>
      </c>
      <c r="I39" s="1762">
        <v>1015.24</v>
      </c>
      <c r="J39" s="1762" t="s">
        <v>1849</v>
      </c>
      <c r="K39" s="1763" t="s">
        <v>1852</v>
      </c>
    </row>
    <row r="40" spans="1:11">
      <c r="A40" s="1762">
        <v>38</v>
      </c>
      <c r="B40" s="1763" t="s">
        <v>1870</v>
      </c>
      <c r="C40" s="1762">
        <v>1977.48</v>
      </c>
      <c r="D40" s="1762" t="s">
        <v>1851</v>
      </c>
      <c r="E40" s="1763" t="s">
        <v>1867</v>
      </c>
      <c r="G40" s="1762">
        <v>22</v>
      </c>
      <c r="H40" s="1763" t="s">
        <v>1856</v>
      </c>
      <c r="I40" s="1762">
        <v>240.78</v>
      </c>
      <c r="J40" s="1762" t="s">
        <v>1849</v>
      </c>
      <c r="K40" s="1763" t="s">
        <v>1852</v>
      </c>
    </row>
    <row r="41" spans="1:11">
      <c r="A41" s="1762">
        <v>39</v>
      </c>
      <c r="B41" s="1763" t="s">
        <v>1871</v>
      </c>
      <c r="C41" s="1762">
        <v>11.49</v>
      </c>
      <c r="D41" s="1762"/>
      <c r="E41" s="1763" t="s">
        <v>1872</v>
      </c>
      <c r="G41" s="1762">
        <v>23</v>
      </c>
      <c r="H41" s="1763" t="s">
        <v>1859</v>
      </c>
      <c r="I41" s="1762">
        <v>6804.7</v>
      </c>
      <c r="J41" s="1762" t="s">
        <v>1849</v>
      </c>
      <c r="K41" s="1763" t="s">
        <v>1858</v>
      </c>
    </row>
    <row r="42" spans="1:11">
      <c r="A42" s="1762">
        <v>40</v>
      </c>
      <c r="B42" s="1763" t="s">
        <v>1873</v>
      </c>
      <c r="C42" s="1762">
        <v>1596.85</v>
      </c>
      <c r="D42" s="1762" t="s">
        <v>1869</v>
      </c>
      <c r="E42" s="1763" t="s">
        <v>1872</v>
      </c>
      <c r="G42" s="1762">
        <v>24</v>
      </c>
      <c r="H42" s="1763" t="s">
        <v>1862</v>
      </c>
      <c r="I42" s="1762">
        <v>8499.86</v>
      </c>
      <c r="J42" s="1762" t="s">
        <v>1851</v>
      </c>
      <c r="K42" s="1763" t="s">
        <v>1861</v>
      </c>
    </row>
    <row r="43" spans="1:11">
      <c r="A43" s="1762">
        <v>41</v>
      </c>
      <c r="B43" s="1763" t="s">
        <v>1874</v>
      </c>
      <c r="C43" s="1762">
        <v>2044.68</v>
      </c>
      <c r="D43" s="1762" t="s">
        <v>1851</v>
      </c>
      <c r="E43" s="1763" t="s">
        <v>1872</v>
      </c>
      <c r="G43" s="1762">
        <v>25</v>
      </c>
      <c r="H43" s="1763" t="s">
        <v>1865</v>
      </c>
      <c r="I43" s="1762">
        <v>7374.48</v>
      </c>
      <c r="J43" s="1762" t="s">
        <v>1851</v>
      </c>
      <c r="K43" s="1763" t="s">
        <v>1864</v>
      </c>
    </row>
    <row r="44" spans="1:11">
      <c r="A44" s="1762">
        <v>42</v>
      </c>
      <c r="B44" s="1763" t="s">
        <v>1875</v>
      </c>
      <c r="C44" s="1762">
        <v>2043.75</v>
      </c>
      <c r="D44" s="1762" t="s">
        <v>1851</v>
      </c>
      <c r="E44" s="1763" t="s">
        <v>1876</v>
      </c>
      <c r="G44" s="1762">
        <v>26</v>
      </c>
      <c r="H44" s="1763" t="s">
        <v>1868</v>
      </c>
      <c r="I44" s="1762">
        <v>1761.31</v>
      </c>
      <c r="J44" s="1762" t="s">
        <v>1869</v>
      </c>
      <c r="K44" s="1763" t="s">
        <v>1867</v>
      </c>
    </row>
    <row r="45" spans="1:11">
      <c r="A45" s="1762">
        <v>43</v>
      </c>
      <c r="B45" s="1763" t="s">
        <v>1877</v>
      </c>
      <c r="C45" s="1762">
        <v>2043.86</v>
      </c>
      <c r="D45" s="1762" t="s">
        <v>1851</v>
      </c>
      <c r="E45" s="1763" t="s">
        <v>1878</v>
      </c>
      <c r="G45" s="1762">
        <v>27</v>
      </c>
      <c r="H45" s="1763" t="s">
        <v>1870</v>
      </c>
      <c r="I45" s="1762">
        <v>1977.48</v>
      </c>
      <c r="J45" s="1762" t="s">
        <v>1851</v>
      </c>
      <c r="K45" s="1763" t="s">
        <v>1867</v>
      </c>
    </row>
    <row r="46" spans="1:11">
      <c r="A46" s="1762">
        <v>44</v>
      </c>
      <c r="B46" s="1763" t="s">
        <v>1879</v>
      </c>
      <c r="C46" s="1762">
        <v>2044.47</v>
      </c>
      <c r="D46" s="1762" t="s">
        <v>1851</v>
      </c>
      <c r="E46" s="1763" t="s">
        <v>1880</v>
      </c>
      <c r="G46" s="1762">
        <v>28</v>
      </c>
      <c r="H46" s="1763" t="s">
        <v>1873</v>
      </c>
      <c r="I46" s="1762">
        <v>1596.85</v>
      </c>
      <c r="J46" s="1762" t="s">
        <v>1869</v>
      </c>
      <c r="K46" s="1763" t="s">
        <v>1872</v>
      </c>
    </row>
    <row r="47" spans="1:11">
      <c r="A47" s="1762">
        <v>45</v>
      </c>
      <c r="B47" s="1763" t="s">
        <v>1881</v>
      </c>
      <c r="C47" s="1762">
        <v>2044.42</v>
      </c>
      <c r="D47" s="1762" t="s">
        <v>1851</v>
      </c>
      <c r="E47" s="1763" t="s">
        <v>1882</v>
      </c>
      <c r="G47" s="1762">
        <v>29</v>
      </c>
      <c r="H47" s="1763" t="s">
        <v>1874</v>
      </c>
      <c r="I47" s="1762">
        <v>2044.68</v>
      </c>
      <c r="J47" s="1762" t="s">
        <v>1851</v>
      </c>
      <c r="K47" s="1763" t="s">
        <v>1872</v>
      </c>
    </row>
    <row r="48" spans="1:11">
      <c r="A48" s="1762">
        <v>46</v>
      </c>
      <c r="B48" s="1763" t="s">
        <v>1883</v>
      </c>
      <c r="C48" s="1762">
        <v>2044.27</v>
      </c>
      <c r="D48" s="1762" t="s">
        <v>1851</v>
      </c>
      <c r="E48" s="1763" t="s">
        <v>1884</v>
      </c>
      <c r="G48" s="1762">
        <v>30</v>
      </c>
      <c r="H48" s="1763" t="s">
        <v>1875</v>
      </c>
      <c r="I48" s="1762">
        <v>2043.75</v>
      </c>
      <c r="J48" s="1762" t="s">
        <v>1851</v>
      </c>
      <c r="K48" s="1763" t="s">
        <v>1876</v>
      </c>
    </row>
    <row r="49" spans="1:11">
      <c r="A49" s="1762">
        <v>47</v>
      </c>
      <c r="B49" s="1763" t="s">
        <v>1885</v>
      </c>
      <c r="C49" s="1762">
        <v>2044.22</v>
      </c>
      <c r="D49" s="1762" t="s">
        <v>1851</v>
      </c>
      <c r="E49" s="1763" t="s">
        <v>1886</v>
      </c>
      <c r="G49" s="1762">
        <v>31</v>
      </c>
      <c r="H49" s="1763" t="s">
        <v>1877</v>
      </c>
      <c r="I49" s="1762">
        <v>2043.86</v>
      </c>
      <c r="J49" s="1762" t="s">
        <v>1851</v>
      </c>
      <c r="K49" s="1763" t="s">
        <v>1878</v>
      </c>
    </row>
    <row r="50" spans="1:11">
      <c r="A50" s="1762">
        <v>48</v>
      </c>
      <c r="B50" s="1763" t="s">
        <v>1887</v>
      </c>
      <c r="C50" s="1762">
        <v>2044.32</v>
      </c>
      <c r="D50" s="1762" t="s">
        <v>1851</v>
      </c>
      <c r="E50" s="1763" t="s">
        <v>1888</v>
      </c>
      <c r="G50" s="1762">
        <v>32</v>
      </c>
      <c r="H50" s="1763" t="s">
        <v>1879</v>
      </c>
      <c r="I50" s="1762">
        <v>2044.47</v>
      </c>
      <c r="J50" s="1762" t="s">
        <v>1851</v>
      </c>
      <c r="K50" s="1763" t="s">
        <v>1880</v>
      </c>
    </row>
    <row r="51" spans="1:11">
      <c r="A51" s="1762">
        <v>49</v>
      </c>
      <c r="B51" s="1763" t="s">
        <v>1889</v>
      </c>
      <c r="C51" s="1762">
        <v>2044.12</v>
      </c>
      <c r="D51" s="1762" t="s">
        <v>1851</v>
      </c>
      <c r="E51" s="1763" t="s">
        <v>1890</v>
      </c>
      <c r="G51" s="1762">
        <v>33</v>
      </c>
      <c r="H51" s="1763" t="s">
        <v>1881</v>
      </c>
      <c r="I51" s="1762">
        <v>2044.42</v>
      </c>
      <c r="J51" s="1762" t="s">
        <v>1851</v>
      </c>
      <c r="K51" s="1763" t="s">
        <v>1882</v>
      </c>
    </row>
    <row r="52" spans="1:11">
      <c r="A52" s="1762">
        <v>50</v>
      </c>
      <c r="B52" s="1763" t="s">
        <v>1891</v>
      </c>
      <c r="C52" s="1762">
        <v>2044.08</v>
      </c>
      <c r="D52" s="1762" t="s">
        <v>1851</v>
      </c>
      <c r="E52" s="1763" t="s">
        <v>1892</v>
      </c>
      <c r="G52" s="1762">
        <v>34</v>
      </c>
      <c r="H52" s="1763" t="s">
        <v>1883</v>
      </c>
      <c r="I52" s="1762">
        <v>2044.27</v>
      </c>
      <c r="J52" s="1762" t="s">
        <v>1851</v>
      </c>
      <c r="K52" s="1763" t="s">
        <v>1884</v>
      </c>
    </row>
    <row r="53" spans="1:11">
      <c r="A53" s="1762">
        <v>51</v>
      </c>
      <c r="B53" s="1763" t="s">
        <v>1893</v>
      </c>
      <c r="C53" s="1762">
        <v>2045.94</v>
      </c>
      <c r="D53" s="1762" t="s">
        <v>1851</v>
      </c>
      <c r="E53" s="1763" t="s">
        <v>1894</v>
      </c>
      <c r="G53" s="1762">
        <v>35</v>
      </c>
      <c r="H53" s="1763" t="s">
        <v>1885</v>
      </c>
      <c r="I53" s="1762">
        <v>2044.22</v>
      </c>
      <c r="J53" s="1762" t="s">
        <v>1851</v>
      </c>
      <c r="K53" s="1763" t="s">
        <v>1886</v>
      </c>
    </row>
    <row r="54" spans="1:11">
      <c r="A54" s="1762">
        <v>52</v>
      </c>
      <c r="B54" s="1763" t="s">
        <v>1895</v>
      </c>
      <c r="C54" s="1762">
        <v>2045.06</v>
      </c>
      <c r="D54" s="1762" t="s">
        <v>1851</v>
      </c>
      <c r="E54" s="1763" t="s">
        <v>1896</v>
      </c>
      <c r="G54" s="1762">
        <v>36</v>
      </c>
      <c r="H54" s="1763" t="s">
        <v>1887</v>
      </c>
      <c r="I54" s="1762">
        <v>2044.32</v>
      </c>
      <c r="J54" s="1762" t="s">
        <v>1851</v>
      </c>
      <c r="K54" s="1763" t="s">
        <v>1888</v>
      </c>
    </row>
    <row r="55" spans="1:11">
      <c r="A55" s="1762">
        <v>53</v>
      </c>
      <c r="B55" s="1763" t="s">
        <v>1897</v>
      </c>
      <c r="C55" s="1762">
        <v>2044.19</v>
      </c>
      <c r="D55" s="1762" t="s">
        <v>1851</v>
      </c>
      <c r="E55" s="1763" t="s">
        <v>1898</v>
      </c>
      <c r="G55" s="1762">
        <v>37</v>
      </c>
      <c r="H55" s="1763" t="s">
        <v>1889</v>
      </c>
      <c r="I55" s="1762">
        <v>2044.12</v>
      </c>
      <c r="J55" s="1762" t="s">
        <v>1851</v>
      </c>
      <c r="K55" s="1763" t="s">
        <v>1890</v>
      </c>
    </row>
    <row r="56" spans="1:11">
      <c r="A56" s="1762">
        <v>54</v>
      </c>
      <c r="B56" s="1763" t="s">
        <v>1899</v>
      </c>
      <c r="C56" s="1762">
        <v>2043.2</v>
      </c>
      <c r="D56" s="1762" t="s">
        <v>1851</v>
      </c>
      <c r="E56" s="1763" t="s">
        <v>1900</v>
      </c>
      <c r="G56" s="1762">
        <v>38</v>
      </c>
      <c r="H56" s="1763" t="s">
        <v>1891</v>
      </c>
      <c r="I56" s="1762">
        <v>2044.08</v>
      </c>
      <c r="J56" s="1762" t="s">
        <v>1851</v>
      </c>
      <c r="K56" s="1763" t="s">
        <v>1892</v>
      </c>
    </row>
    <row r="57" spans="1:11">
      <c r="A57" s="1762">
        <v>55</v>
      </c>
      <c r="B57" s="1763" t="s">
        <v>1901</v>
      </c>
      <c r="C57" s="1762">
        <v>2042.36</v>
      </c>
      <c r="D57" s="1762" t="s">
        <v>1851</v>
      </c>
      <c r="E57" s="1763" t="s">
        <v>1902</v>
      </c>
      <c r="G57" s="1762">
        <v>39</v>
      </c>
      <c r="H57" s="1763" t="s">
        <v>1893</v>
      </c>
      <c r="I57" s="1762">
        <v>2045.94</v>
      </c>
      <c r="J57" s="1762" t="s">
        <v>1851</v>
      </c>
      <c r="K57" s="1763" t="s">
        <v>1894</v>
      </c>
    </row>
    <row r="58" spans="1:11">
      <c r="A58" s="1762">
        <v>56</v>
      </c>
      <c r="B58" s="1763" t="s">
        <v>1903</v>
      </c>
      <c r="C58" s="1762">
        <v>2041.55</v>
      </c>
      <c r="D58" s="1762" t="s">
        <v>1851</v>
      </c>
      <c r="E58" s="1763" t="s">
        <v>1904</v>
      </c>
      <c r="G58" s="1762">
        <v>40</v>
      </c>
      <c r="H58" s="1763" t="s">
        <v>1895</v>
      </c>
      <c r="I58" s="1762">
        <v>2045.06</v>
      </c>
      <c r="J58" s="1762" t="s">
        <v>1851</v>
      </c>
      <c r="K58" s="1763" t="s">
        <v>1896</v>
      </c>
    </row>
    <row r="59" spans="1:11">
      <c r="A59" s="1762">
        <v>57</v>
      </c>
      <c r="B59" s="1763" t="s">
        <v>1905</v>
      </c>
      <c r="C59" s="1762">
        <v>2040.84</v>
      </c>
      <c r="D59" s="1762" t="s">
        <v>1851</v>
      </c>
      <c r="E59" s="1763" t="s">
        <v>1906</v>
      </c>
      <c r="G59" s="1762">
        <v>41</v>
      </c>
      <c r="H59" s="1763" t="s">
        <v>1897</v>
      </c>
      <c r="I59" s="1762">
        <v>2044.19</v>
      </c>
      <c r="J59" s="1762" t="s">
        <v>1851</v>
      </c>
      <c r="K59" s="1763" t="s">
        <v>1898</v>
      </c>
    </row>
    <row r="60" spans="1:11">
      <c r="A60" s="1762">
        <v>58</v>
      </c>
      <c r="B60" s="1763" t="s">
        <v>1907</v>
      </c>
      <c r="C60" s="1762">
        <v>2040.07</v>
      </c>
      <c r="D60" s="1762" t="s">
        <v>1851</v>
      </c>
      <c r="E60" s="1763" t="s">
        <v>1908</v>
      </c>
      <c r="G60" s="1762">
        <v>42</v>
      </c>
      <c r="H60" s="1763" t="s">
        <v>1899</v>
      </c>
      <c r="I60" s="1762">
        <v>2043.2</v>
      </c>
      <c r="J60" s="1762" t="s">
        <v>1851</v>
      </c>
      <c r="K60" s="1763" t="s">
        <v>1900</v>
      </c>
    </row>
    <row r="61" spans="1:11">
      <c r="A61" s="1762">
        <v>59</v>
      </c>
      <c r="B61" s="1763" t="s">
        <v>1909</v>
      </c>
      <c r="C61" s="1762">
        <v>2039.25</v>
      </c>
      <c r="D61" s="1762" t="s">
        <v>1851</v>
      </c>
      <c r="E61" s="1763" t="s">
        <v>1910</v>
      </c>
      <c r="G61" s="1762">
        <v>43</v>
      </c>
      <c r="H61" s="1763" t="s">
        <v>1901</v>
      </c>
      <c r="I61" s="1762">
        <v>2042.36</v>
      </c>
      <c r="J61" s="1762" t="s">
        <v>1851</v>
      </c>
      <c r="K61" s="1763" t="s">
        <v>1902</v>
      </c>
    </row>
    <row r="62" spans="1:11">
      <c r="A62" s="1762">
        <v>60</v>
      </c>
      <c r="B62" s="1763" t="s">
        <v>1911</v>
      </c>
      <c r="C62" s="1762">
        <v>1873.87</v>
      </c>
      <c r="D62" s="1762" t="s">
        <v>1851</v>
      </c>
      <c r="E62" s="1763" t="s">
        <v>1912</v>
      </c>
      <c r="G62" s="1762">
        <v>44</v>
      </c>
      <c r="H62" s="1763" t="s">
        <v>1903</v>
      </c>
      <c r="I62" s="1762">
        <v>2041.55</v>
      </c>
      <c r="J62" s="1762" t="s">
        <v>1851</v>
      </c>
      <c r="K62" s="1763" t="s">
        <v>1904</v>
      </c>
    </row>
    <row r="63" spans="1:11">
      <c r="A63" s="1762">
        <v>61</v>
      </c>
      <c r="B63" s="1763" t="s">
        <v>1913</v>
      </c>
      <c r="C63" s="1762">
        <v>2015.24</v>
      </c>
      <c r="D63" s="1762" t="s">
        <v>1851</v>
      </c>
      <c r="E63" s="1763" t="s">
        <v>1914</v>
      </c>
      <c r="G63" s="1762">
        <v>45</v>
      </c>
      <c r="H63" s="1763" t="s">
        <v>1905</v>
      </c>
      <c r="I63" s="1762">
        <v>2040.84</v>
      </c>
      <c r="J63" s="1762" t="s">
        <v>1851</v>
      </c>
      <c r="K63" s="1763" t="s">
        <v>1906</v>
      </c>
    </row>
    <row r="64" spans="1:11">
      <c r="A64" s="1762"/>
      <c r="B64" s="1763"/>
      <c r="C64" s="1762">
        <f>SUM(C3:C63)</f>
        <v>110488.07</v>
      </c>
      <c r="D64" s="1762"/>
      <c r="E64" s="1763"/>
      <c r="G64" s="1762">
        <v>46</v>
      </c>
      <c r="H64" s="1763" t="s">
        <v>1907</v>
      </c>
      <c r="I64" s="1762">
        <v>2040.07</v>
      </c>
      <c r="J64" s="1762" t="s">
        <v>1851</v>
      </c>
      <c r="K64" s="1763" t="s">
        <v>1908</v>
      </c>
    </row>
    <row r="65" spans="2:11">
      <c r="G65" s="1762">
        <v>47</v>
      </c>
      <c r="H65" s="1763" t="s">
        <v>1909</v>
      </c>
      <c r="I65" s="1762">
        <v>2039.25</v>
      </c>
      <c r="J65" s="1762" t="s">
        <v>1851</v>
      </c>
      <c r="K65" s="1763" t="s">
        <v>1910</v>
      </c>
    </row>
    <row r="66" spans="2:11">
      <c r="G66" s="1762">
        <v>48</v>
      </c>
      <c r="H66" s="1763" t="s">
        <v>1911</v>
      </c>
      <c r="I66" s="1762">
        <v>1873.87</v>
      </c>
      <c r="J66" s="1762" t="s">
        <v>1851</v>
      </c>
      <c r="K66" s="1763" t="s">
        <v>1912</v>
      </c>
    </row>
    <row r="67" spans="2:11">
      <c r="G67" s="1762">
        <v>49</v>
      </c>
      <c r="H67" s="1763" t="s">
        <v>1913</v>
      </c>
      <c r="I67" s="1762">
        <v>2015.24</v>
      </c>
      <c r="J67" s="1762" t="s">
        <v>1851</v>
      </c>
      <c r="K67" s="1763" t="s">
        <v>1914</v>
      </c>
    </row>
    <row r="68" spans="2:11">
      <c r="H68" s="1761"/>
      <c r="I68" s="1760">
        <f>SUM(I19:I67)</f>
        <v>98810.330000000016</v>
      </c>
      <c r="J68" s="1760"/>
      <c r="K68" s="1761"/>
    </row>
    <row r="69" spans="2:11">
      <c r="B69" s="1760"/>
      <c r="E69" s="1760"/>
    </row>
    <row r="70" spans="2:11">
      <c r="B70" s="1760"/>
      <c r="E70" s="1760"/>
    </row>
    <row r="71" spans="2:11">
      <c r="B71" s="1760"/>
      <c r="E71" s="1760"/>
    </row>
    <row r="72" spans="2:11">
      <c r="B72" s="1760"/>
      <c r="E72" s="1760"/>
    </row>
    <row r="73" spans="2:11">
      <c r="B73" s="1760"/>
      <c r="E73" s="1760"/>
    </row>
    <row r="74" spans="2:11">
      <c r="B74" s="1760"/>
      <c r="E74" s="1760"/>
    </row>
    <row r="75" spans="2:11">
      <c r="B75" s="1760"/>
      <c r="E75" s="1760"/>
    </row>
    <row r="76" spans="2:11">
      <c r="B76" s="1760"/>
      <c r="E76" s="1760"/>
    </row>
    <row r="77" spans="2:11">
      <c r="B77" s="1760"/>
      <c r="E77" s="1760"/>
    </row>
    <row r="78" spans="2:11">
      <c r="B78" s="1760"/>
      <c r="E78" s="1760"/>
    </row>
    <row r="79" spans="2:11">
      <c r="B79" s="1760"/>
      <c r="E79" s="1760"/>
    </row>
    <row r="80" spans="2:11">
      <c r="B80" s="1760"/>
      <c r="E80" s="1760"/>
    </row>
    <row r="81" spans="2:5">
      <c r="B81" s="1760"/>
      <c r="E81" s="1760"/>
    </row>
    <row r="82" spans="2:5">
      <c r="B82" s="1760"/>
      <c r="E82" s="1760"/>
    </row>
    <row r="83" spans="2:5">
      <c r="B83" s="1760"/>
      <c r="E83" s="1760"/>
    </row>
    <row r="84" spans="2:5">
      <c r="B84" s="1760"/>
      <c r="E84" s="1760"/>
    </row>
    <row r="85" spans="2:5">
      <c r="B85" s="1760"/>
      <c r="E85" s="1760"/>
    </row>
    <row r="86" spans="2:5">
      <c r="B86" s="1760"/>
      <c r="E86" s="1760"/>
    </row>
    <row r="87" spans="2:5">
      <c r="B87" s="1760"/>
      <c r="E87" s="1760"/>
    </row>
    <row r="88" spans="2:5">
      <c r="B88" s="1760"/>
      <c r="E88" s="1760"/>
    </row>
    <row r="89" spans="2:5">
      <c r="B89" s="1760"/>
      <c r="E89" s="1760"/>
    </row>
    <row r="90" spans="2:5">
      <c r="B90" s="1760"/>
      <c r="E90" s="1760"/>
    </row>
    <row r="91" spans="2:5">
      <c r="B91" s="1760"/>
      <c r="E91" s="1760"/>
    </row>
    <row r="92" spans="2:5">
      <c r="B92" s="1760"/>
      <c r="E92" s="1760"/>
    </row>
    <row r="93" spans="2:5">
      <c r="B93" s="1760"/>
      <c r="E93" s="1760"/>
    </row>
    <row r="94" spans="2:5">
      <c r="B94" s="1760"/>
      <c r="E94" s="1760"/>
    </row>
    <row r="95" spans="2:5">
      <c r="B95" s="1760"/>
      <c r="E95" s="1760"/>
    </row>
    <row r="96" spans="2:5">
      <c r="B96" s="1760"/>
      <c r="E96" s="1760"/>
    </row>
    <row r="97" spans="2:5">
      <c r="B97" s="1760"/>
      <c r="E97" s="1760"/>
    </row>
    <row r="98" spans="2:5">
      <c r="B98" s="1760"/>
      <c r="E98" s="1760"/>
    </row>
    <row r="99" spans="2:5">
      <c r="B99" s="1760"/>
      <c r="E99" s="1760"/>
    </row>
    <row r="100" spans="2:5">
      <c r="B100" s="1760"/>
      <c r="E100" s="1760"/>
    </row>
    <row r="101" spans="2:5">
      <c r="B101" s="1760"/>
      <c r="E101" s="1760"/>
    </row>
    <row r="102" spans="2:5">
      <c r="B102" s="1760"/>
      <c r="E102" s="1760"/>
    </row>
    <row r="103" spans="2:5">
      <c r="B103" s="1760"/>
      <c r="E103" s="1760"/>
    </row>
    <row r="104" spans="2:5">
      <c r="B104" s="1760"/>
      <c r="E104" s="1760"/>
    </row>
    <row r="105" spans="2:5">
      <c r="B105" s="1760"/>
      <c r="E105" s="1760"/>
    </row>
    <row r="106" spans="2:5">
      <c r="B106" s="1760"/>
      <c r="E106" s="1760"/>
    </row>
    <row r="107" spans="2:5">
      <c r="B107" s="1760"/>
      <c r="E107" s="1760"/>
    </row>
    <row r="108" spans="2:5">
      <c r="B108" s="1760"/>
      <c r="E108" s="1760"/>
    </row>
    <row r="109" spans="2:5">
      <c r="B109" s="1760"/>
      <c r="E109" s="1760"/>
    </row>
    <row r="110" spans="2:5">
      <c r="B110" s="1760"/>
      <c r="E110" s="1760"/>
    </row>
    <row r="111" spans="2:5">
      <c r="B111" s="1760"/>
      <c r="E111" s="1760"/>
    </row>
    <row r="112" spans="2:5">
      <c r="B112" s="1760"/>
      <c r="E112" s="1760"/>
    </row>
    <row r="113" spans="2:5">
      <c r="B113" s="1760"/>
      <c r="E113" s="1760"/>
    </row>
    <row r="114" spans="2:5">
      <c r="B114" s="1760"/>
      <c r="E114" s="1760"/>
    </row>
    <row r="115" spans="2:5">
      <c r="B115" s="1760"/>
      <c r="E115" s="1760"/>
    </row>
    <row r="116" spans="2:5">
      <c r="B116" s="1760"/>
      <c r="E116" s="1760"/>
    </row>
    <row r="117" spans="2:5">
      <c r="B117" s="1760"/>
      <c r="E117" s="1760"/>
    </row>
    <row r="118" spans="2:5">
      <c r="B118" s="1760"/>
      <c r="E118" s="1760"/>
    </row>
  </sheetData>
  <mergeCells count="2">
    <mergeCell ref="A1:E1"/>
    <mergeCell ref="G17:K17"/>
  </mergeCells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1751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4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1719</v>
      </c>
      <c r="B1" s="1678">
        <f>SUM(B14:B23)</f>
        <v>72550.03</v>
      </c>
      <c r="C1" s="1679"/>
      <c r="D1" s="1679"/>
      <c r="E1" s="1679"/>
      <c r="F1" s="1679"/>
      <c r="G1" s="1680"/>
    </row>
    <row r="2" spans="1:10" ht="16.5">
      <c r="A2" s="1678" t="s">
        <v>1720</v>
      </c>
      <c r="B2" s="1678">
        <f>SUM(C14:C23)</f>
        <v>8185.16</v>
      </c>
      <c r="C2" s="1679"/>
      <c r="D2" s="1679"/>
      <c r="E2" s="1679"/>
      <c r="F2" s="1679"/>
      <c r="G2" s="1680"/>
    </row>
    <row r="3" spans="1:10" ht="16.5">
      <c r="A3" s="1678" t="s">
        <v>1721</v>
      </c>
      <c r="B3" s="1682">
        <f>'主表(商业）'!B3</f>
        <v>44488</v>
      </c>
      <c r="C3" s="1679"/>
      <c r="D3" s="1679"/>
      <c r="E3" s="1679"/>
      <c r="F3" s="1679"/>
      <c r="G3" s="1680"/>
    </row>
    <row r="4" spans="1:10" ht="33">
      <c r="A4" s="1678" t="s">
        <v>1722</v>
      </c>
      <c r="B4" s="1678" t="s">
        <v>1723</v>
      </c>
      <c r="C4" s="1678" t="s">
        <v>1724</v>
      </c>
      <c r="D4" s="1678" t="s">
        <v>1725</v>
      </c>
      <c r="E4" s="1679"/>
      <c r="F4" s="1680"/>
      <c r="G4" s="1680"/>
    </row>
    <row r="5" spans="1:10" ht="16.5">
      <c r="A5" s="1678" t="s">
        <v>1726</v>
      </c>
      <c r="B5" s="1678">
        <f>SUM(D14:D23)</f>
        <v>0</v>
      </c>
      <c r="C5" s="1678">
        <f>ROUND(B5*10000/$B$1,0)</f>
        <v>0</v>
      </c>
      <c r="D5" s="1678">
        <f>ROUND(B5*10000/$B$2,0)</f>
        <v>0</v>
      </c>
      <c r="E5" s="1679"/>
      <c r="F5" s="1680"/>
      <c r="G5" s="1680"/>
    </row>
    <row r="6" spans="1:10" ht="16.5">
      <c r="A6" s="1678" t="s">
        <v>1727</v>
      </c>
      <c r="B6" s="1678">
        <f>SUM(G14:G23)</f>
        <v>0</v>
      </c>
      <c r="C6" s="1678">
        <f>ROUND(B6*10000/$B$1,0)</f>
        <v>0</v>
      </c>
      <c r="D6" s="1678">
        <f>ROUND(B6*10000/$B$2,0)</f>
        <v>0</v>
      </c>
      <c r="E6" s="1679"/>
      <c r="F6" s="1680"/>
      <c r="G6" s="1680"/>
    </row>
    <row r="7" spans="1:10" ht="16.5">
      <c r="A7" s="1678" t="s">
        <v>1728</v>
      </c>
      <c r="B7" s="1678">
        <f>SUM(H14:H23)</f>
        <v>0</v>
      </c>
      <c r="C7" s="1678">
        <f>ROUND(B7*10000/$B$1,0)</f>
        <v>0</v>
      </c>
      <c r="D7" s="1678">
        <f>ROUND(B7*10000/$B$2,0)</f>
        <v>0</v>
      </c>
      <c r="E7" s="1679"/>
      <c r="F7" s="1680"/>
      <c r="G7" s="1680"/>
    </row>
    <row r="8" spans="1:10" ht="16.5">
      <c r="A8" s="1678" t="s">
        <v>1729</v>
      </c>
      <c r="B8" s="1678">
        <f>SUM(I14:I23)</f>
        <v>0</v>
      </c>
      <c r="C8" s="1678">
        <f>ROUND(B8*10000/$B$1,0)</f>
        <v>0</v>
      </c>
      <c r="D8" s="1678">
        <f>ROUND(B8*10000/$B$2,0)</f>
        <v>0</v>
      </c>
      <c r="E8" s="1679"/>
      <c r="F8" s="1680"/>
      <c r="G8" s="1680"/>
    </row>
    <row r="9" spans="1:10" ht="16.5">
      <c r="A9" s="1678" t="s">
        <v>1730</v>
      </c>
      <c r="B9" s="1683"/>
      <c r="C9" s="1679"/>
      <c r="D9" s="1679"/>
      <c r="E9" s="1679"/>
      <c r="F9" s="1680"/>
      <c r="G9" s="1680"/>
    </row>
    <row r="10" spans="1:10" ht="16.5">
      <c r="A10" s="1678" t="s">
        <v>1731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1750</v>
      </c>
      <c r="B11" s="1678">
        <f ca="1">结果表!B19</f>
        <v>40843.345300000001</v>
      </c>
      <c r="C11" s="1678">
        <f ca="1">结果表!B18</f>
        <v>5630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1732</v>
      </c>
      <c r="B13" s="1685" t="s">
        <v>1733</v>
      </c>
      <c r="C13" s="1685" t="s">
        <v>1734</v>
      </c>
      <c r="D13" s="1685" t="s">
        <v>1735</v>
      </c>
      <c r="E13" s="1678" t="s">
        <v>1724</v>
      </c>
      <c r="F13" s="1678" t="s">
        <v>1736</v>
      </c>
      <c r="G13" s="1685" t="s">
        <v>1737</v>
      </c>
      <c r="H13" s="1685" t="s">
        <v>1738</v>
      </c>
      <c r="I13" s="1685" t="s">
        <v>1739</v>
      </c>
      <c r="J13" s="1680"/>
    </row>
    <row r="14" spans="1:10" ht="16.5">
      <c r="A14" s="1686" t="s">
        <v>1740</v>
      </c>
      <c r="B14" s="1685">
        <f>'主表(商业）'!B7</f>
        <v>72550.03</v>
      </c>
      <c r="C14" s="1685">
        <f>'主表(商业）'!B6</f>
        <v>8185.16</v>
      </c>
      <c r="D14" s="1685"/>
      <c r="E14" s="1685">
        <f>ROUND(D14*10000/B14,0)</f>
        <v>0</v>
      </c>
      <c r="F14" s="1685">
        <f>ROUND(D14*10000/C14,0)</f>
        <v>0</v>
      </c>
      <c r="G14" s="1685"/>
      <c r="H14" s="1685"/>
      <c r="I14" s="1685"/>
      <c r="J14" s="1680"/>
    </row>
    <row r="15" spans="1:10" ht="16.5">
      <c r="A15" s="1686" t="s">
        <v>1741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1742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1743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1744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1745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1746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1747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1748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1749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890" t="s">
        <v>1366</v>
      </c>
      <c r="B2" s="1890"/>
      <c r="C2" s="1890"/>
      <c r="D2" s="1890"/>
      <c r="E2" s="1890"/>
      <c r="F2" s="1890"/>
      <c r="G2" s="1890"/>
      <c r="H2" s="662"/>
      <c r="I2" s="227"/>
      <c r="X2" s="221"/>
      <c r="AG2" s="189"/>
    </row>
    <row r="3" spans="1:33" ht="13.5">
      <c r="A3" s="1891" t="s">
        <v>1367</v>
      </c>
      <c r="B3" s="1892"/>
      <c r="C3" s="1893"/>
      <c r="D3" s="1894" t="s">
        <v>1368</v>
      </c>
      <c r="E3" s="1892"/>
      <c r="F3" s="1892"/>
      <c r="G3" s="1895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896" t="s">
        <v>1369</v>
      </c>
      <c r="E4" s="1897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898" t="s">
        <v>1373</v>
      </c>
      <c r="B5" s="1899">
        <f>'主表(商业）'!F5</f>
        <v>1686</v>
      </c>
      <c r="C5" s="1900" t="s">
        <v>1374</v>
      </c>
      <c r="D5" s="1897" t="s">
        <v>1375</v>
      </c>
      <c r="E5" s="1901"/>
      <c r="F5" s="1322">
        <f>SUM(F6:F10)</f>
        <v>3608</v>
      </c>
      <c r="G5" s="1323" t="s">
        <v>1651</v>
      </c>
      <c r="H5" s="662"/>
      <c r="I5" s="227"/>
      <c r="X5" s="221"/>
      <c r="AG5" s="189"/>
    </row>
    <row r="6" spans="1:33" ht="27">
      <c r="A6" s="1898"/>
      <c r="B6" s="1899"/>
      <c r="C6" s="1900"/>
      <c r="D6" s="1902" t="s">
        <v>1396</v>
      </c>
      <c r="E6" s="1322" t="s">
        <v>1376</v>
      </c>
      <c r="F6" s="1322">
        <f>'主表(商业）'!F14</f>
        <v>2310</v>
      </c>
      <c r="G6" s="1323" t="s">
        <v>1377</v>
      </c>
      <c r="H6" s="662"/>
      <c r="I6" s="227"/>
      <c r="X6" s="221"/>
      <c r="AG6" s="189"/>
    </row>
    <row r="7" spans="1:33" ht="13.5">
      <c r="A7" s="1898"/>
      <c r="B7" s="1899"/>
      <c r="C7" s="1900"/>
      <c r="D7" s="1902"/>
      <c r="E7" s="1322" t="s">
        <v>1378</v>
      </c>
      <c r="F7" s="1322">
        <f>'主表(商业）'!F15</f>
        <v>800</v>
      </c>
      <c r="G7" s="1323"/>
      <c r="H7" s="662"/>
      <c r="I7" s="227"/>
      <c r="X7" s="221"/>
      <c r="AG7" s="189"/>
    </row>
    <row r="8" spans="1:33" ht="13.5">
      <c r="A8" s="1898"/>
      <c r="B8" s="1899"/>
      <c r="C8" s="1900"/>
      <c r="D8" s="1903" t="s">
        <v>1397</v>
      </c>
      <c r="E8" s="1904"/>
      <c r="F8" s="1322">
        <f>'主表(商业）'!F16</f>
        <v>187</v>
      </c>
      <c r="G8" s="1323" t="str">
        <f>"按建安工程费的"&amp;TEXT('主表(商业）'!G16,"0.0%")&amp;"计取"</f>
        <v>按建安工程费的6.0%计取</v>
      </c>
      <c r="H8" s="662"/>
      <c r="I8" s="227"/>
      <c r="X8" s="221"/>
      <c r="AG8" s="189"/>
    </row>
    <row r="9" spans="1:33" ht="13.5">
      <c r="A9" s="1898"/>
      <c r="B9" s="1899"/>
      <c r="C9" s="1900"/>
      <c r="D9" s="1903" t="s">
        <v>1398</v>
      </c>
      <c r="E9" s="1904"/>
      <c r="F9" s="1322">
        <f>'主表(商业）'!F18</f>
        <v>0</v>
      </c>
      <c r="G9" s="1323" t="str">
        <f>"按建安工程费的"&amp;TEXT('主表(商业）'!G18,"0.0%")&amp;"计取"</f>
        <v>按建安工程费的0.0%计取</v>
      </c>
      <c r="H9" s="662"/>
      <c r="I9" s="227"/>
      <c r="X9" s="221"/>
      <c r="AG9" s="189"/>
    </row>
    <row r="10" spans="1:33" ht="13.5">
      <c r="A10" s="1898"/>
      <c r="B10" s="1899"/>
      <c r="C10" s="1900"/>
      <c r="D10" s="1903" t="s">
        <v>1399</v>
      </c>
      <c r="E10" s="1904"/>
      <c r="F10" s="1322">
        <f>'主表(商业）'!F19</f>
        <v>311</v>
      </c>
      <c r="G10" s="1323" t="str">
        <f>"按建安工程费的"&amp;TEXT('主表(商业）'!G19,"0.0%")&amp;"计取"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'主表(商业）'!F8</f>
        <v>51</v>
      </c>
      <c r="C11" s="1324" t="str">
        <f>"按前期开发成本的"&amp;TEXT('主表(商业）'!G8,"0.0%")&amp;"计取"</f>
        <v>按前期开发成本的3.0%计取</v>
      </c>
      <c r="D11" s="1897" t="s">
        <v>1380</v>
      </c>
      <c r="E11" s="1901"/>
      <c r="F11" s="1322">
        <f>'主表(商业）'!F20</f>
        <v>108</v>
      </c>
      <c r="G11" s="1323" t="str">
        <f>"按房屋建设成本的"&amp;'主表(商业）'!G20&amp;"计取"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'主表(商业）'!F9</f>
        <v>105</v>
      </c>
      <c r="C12" s="1325" t="str">
        <f ca="1">"前期开发期为"&amp;'主表(商业）'!B24&amp;"年，贷款利率为"&amp;TEXT('主表(商业）'!G9,"0.00%")&amp;"，"&amp;'主表(商业）'!H9</f>
        <v>前期开发期为1年，贷款利率为6.12%，计息期为1年，复利计息</v>
      </c>
      <c r="D12" s="1897" t="s">
        <v>1382</v>
      </c>
      <c r="E12" s="1901"/>
      <c r="F12" s="1322">
        <f ca="1">'主表(商业）'!F21</f>
        <v>80</v>
      </c>
      <c r="G12" s="1323" t="str">
        <f ca="1">"房屋建设期为"&amp;'主表(商业）'!B23&amp;"年，贷款利率为"&amp;TEXT('主表(商业）'!G21,"0.00%")&amp;"，"&amp;'主表(商业）'!H21</f>
        <v>房屋建设期为1年，贷款利率为4.35%，计息期为1年，复利计息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'主表(商业）'!F10</f>
        <v>695</v>
      </c>
      <c r="C13" s="1325" t="str">
        <f>"按前期开发成本及其管理费用的"&amp;TEXT('主表(商业）'!G10,"0%")&amp;"计取"</f>
        <v>按前期开发成本及其管理费用的40%计取</v>
      </c>
      <c r="D13" s="1897" t="s">
        <v>1383</v>
      </c>
      <c r="E13" s="1901"/>
      <c r="F13" s="1322">
        <f>'主表(商业）'!F22</f>
        <v>1486</v>
      </c>
      <c r="G13" s="1323" t="str">
        <f>"按房屋建设成本及其管理费用的"&amp;TEXT('主表(商业）'!G22,"0%")&amp;"计取"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2537</v>
      </c>
      <c r="C14" s="1325" t="s">
        <v>1385</v>
      </c>
      <c r="D14" s="1897" t="s">
        <v>1384</v>
      </c>
      <c r="E14" s="1901"/>
      <c r="F14" s="1322">
        <f ca="1">F5+F11+F12+F13</f>
        <v>5282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899">
        <f ca="1">'主表(商业）'!F24</f>
        <v>7819</v>
      </c>
      <c r="C15" s="1905"/>
      <c r="D15" s="1903" t="s">
        <v>1387</v>
      </c>
      <c r="E15" s="1904"/>
      <c r="F15" s="1904"/>
      <c r="G15" s="1906"/>
      <c r="H15" s="662"/>
      <c r="I15" s="227"/>
      <c r="X15" s="221"/>
      <c r="AG15" s="189"/>
    </row>
    <row r="16" spans="1:33" ht="27.75" thickBot="1">
      <c r="A16" s="1318" t="s">
        <v>1388</v>
      </c>
      <c r="B16" s="1899">
        <f ca="1">'主表(商业）'!F25</f>
        <v>56726.868499999997</v>
      </c>
      <c r="C16" s="1905"/>
      <c r="D16" s="1903" t="s">
        <v>1389</v>
      </c>
      <c r="E16" s="1904"/>
      <c r="F16" s="1904"/>
      <c r="G16" s="1906"/>
      <c r="H16" s="1327" t="str">
        <f ca="1">NUMBERSTRING(INT(B16*10000),2)&amp;"元整"</f>
        <v>伍亿陆仟柒佰贰拾陆万捌仟陆佰捌拾伍元整</v>
      </c>
      <c r="I16" s="1328"/>
      <c r="X16" s="221"/>
      <c r="AG16" s="189"/>
    </row>
    <row r="17" spans="1:33" ht="13.5">
      <c r="A17" s="1318" t="s">
        <v>1390</v>
      </c>
      <c r="B17" s="1912">
        <f>'主表(商业）'!F33</f>
        <v>0.72</v>
      </c>
      <c r="C17" s="1905"/>
      <c r="D17" s="1903" t="s">
        <v>1391</v>
      </c>
      <c r="E17" s="1904"/>
      <c r="F17" s="1904"/>
      <c r="G17" s="1906"/>
      <c r="H17" s="662"/>
      <c r="I17" s="227"/>
      <c r="X17" s="221"/>
      <c r="AG17" s="189"/>
    </row>
    <row r="18" spans="1:33" ht="27.75" thickBot="1">
      <c r="A18" s="1318" t="s">
        <v>1392</v>
      </c>
      <c r="B18" s="1899">
        <f ca="1">'主表(商业）'!F35</f>
        <v>5630</v>
      </c>
      <c r="C18" s="1905"/>
      <c r="D18" s="1903" t="s">
        <v>1393</v>
      </c>
      <c r="E18" s="1904"/>
      <c r="F18" s="1904"/>
      <c r="G18" s="1906"/>
      <c r="H18" s="660"/>
      <c r="I18" s="227"/>
      <c r="X18" s="221"/>
      <c r="AG18" s="189"/>
    </row>
    <row r="19" spans="1:33" ht="27.75" thickBot="1">
      <c r="A19" s="1326" t="s">
        <v>1394</v>
      </c>
      <c r="B19" s="1907">
        <f ca="1">'主表(商业）'!F36</f>
        <v>40843.345300000001</v>
      </c>
      <c r="C19" s="1908"/>
      <c r="D19" s="1909" t="s">
        <v>1395</v>
      </c>
      <c r="E19" s="1910"/>
      <c r="F19" s="1910"/>
      <c r="G19" s="1911"/>
      <c r="H19" s="1327" t="str">
        <f ca="1">NUMBERSTRING(INT(B19*10000),2)&amp;"元整"</f>
        <v>肆亿零捌佰肆拾叁万叁仟肆佰伍拾叁元整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 xr:uid="{00000000-0002-0000-0600-000000000000}">
      <formula1>估价方法</formula1>
    </dataValidation>
    <dataValidation type="list" allowBlank="1" showInputMessage="1" showErrorMessage="1" sqref="C20" xr:uid="{00000000-0002-0000-06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G6"/>
  <sheetViews>
    <sheetView tabSelected="1" workbookViewId="0">
      <selection activeCell="D5" sqref="D5"/>
    </sheetView>
  </sheetViews>
  <sheetFormatPr defaultRowHeight="13.5"/>
  <cols>
    <col min="2" max="2" width="13.25" customWidth="1"/>
    <col min="3" max="3" width="13" customWidth="1"/>
    <col min="4" max="4" width="10.625" customWidth="1"/>
    <col min="5" max="5" width="10.625" hidden="1" customWidth="1"/>
    <col min="6" max="6" width="18.375" customWidth="1"/>
    <col min="7" max="7" width="0" hidden="1" customWidth="1"/>
  </cols>
  <sheetData>
    <row r="1" spans="1:7">
      <c r="A1" s="1867" t="s">
        <v>1984</v>
      </c>
      <c r="B1" s="1867" t="s">
        <v>1980</v>
      </c>
      <c r="C1" s="1867" t="s">
        <v>1981</v>
      </c>
      <c r="D1" s="1867" t="s">
        <v>1982</v>
      </c>
      <c r="E1" s="1867" t="s">
        <v>1992</v>
      </c>
      <c r="F1" s="1867" t="s">
        <v>1983</v>
      </c>
      <c r="G1" s="1870" t="s">
        <v>1993</v>
      </c>
    </row>
    <row r="2" spans="1:7">
      <c r="A2" s="1868">
        <v>1</v>
      </c>
      <c r="B2" s="1867" t="s">
        <v>1985</v>
      </c>
      <c r="C2" s="1868">
        <f>'数据-汇总表'!E19+'数据-汇总表'!E21</f>
        <v>72550.03</v>
      </c>
      <c r="D2" s="1868">
        <f ca="1">'主表(商业）'!F35</f>
        <v>5630</v>
      </c>
      <c r="E2" s="1868">
        <f>6130*'2002基准地价'!C11</f>
        <v>3845.9619999999995</v>
      </c>
      <c r="F2" s="1868">
        <f ca="1">'主表(商业）'!F36</f>
        <v>40843.345300000001</v>
      </c>
      <c r="G2">
        <f>C2*E2/10000</f>
        <v>27902.465847885996</v>
      </c>
    </row>
    <row r="3" spans="1:7">
      <c r="A3" s="1868">
        <v>2</v>
      </c>
      <c r="B3" s="1867" t="s">
        <v>1986</v>
      </c>
      <c r="C3" s="1868">
        <f>'数据-汇总表'!E20</f>
        <v>3358.16</v>
      </c>
      <c r="D3" s="1868">
        <f ca="1">'[3]主表(办公）'!$F$35</f>
        <v>6524</v>
      </c>
      <c r="E3" s="1868">
        <f>4940*'2002基准地价'!C11</f>
        <v>3099.3559999999998</v>
      </c>
      <c r="F3" s="1868">
        <f ca="1">'[3]主表(办公）'!$F$36</f>
        <v>2190.6957000000002</v>
      </c>
      <c r="G3">
        <f t="shared" ref="G3:G5" si="0">C3*E3/10000</f>
        <v>1040.8133344959999</v>
      </c>
    </row>
    <row r="4" spans="1:7">
      <c r="A4" s="1868">
        <v>3</v>
      </c>
      <c r="B4" s="1867" t="s">
        <v>1987</v>
      </c>
      <c r="C4" s="1868">
        <f>'数据-汇总表'!E22</f>
        <v>15987.419999999998</v>
      </c>
      <c r="D4" s="1868">
        <f ca="1">'[4]主表(车库）'!$F$35</f>
        <v>3951</v>
      </c>
      <c r="E4" s="1868">
        <f>4940/3*'2002基准地价'!C11</f>
        <v>1033.1186666666667</v>
      </c>
      <c r="F4" s="1868">
        <f ca="1">'[4]主表(车库）'!$F$36</f>
        <v>6316.4218000000001</v>
      </c>
      <c r="G4">
        <f t="shared" si="0"/>
        <v>1651.6902033839999</v>
      </c>
    </row>
    <row r="5" spans="1:7">
      <c r="A5" s="1868">
        <v>4</v>
      </c>
      <c r="B5" s="1867" t="s">
        <v>1988</v>
      </c>
      <c r="C5" s="1868">
        <f>'数据-汇总表'!E23</f>
        <v>6914.72</v>
      </c>
      <c r="D5" s="1868">
        <f ca="1">'[5]主表(仓储）'!$F$35</f>
        <v>2978</v>
      </c>
      <c r="E5" s="1868">
        <f>1050/3*'2002基准地价'!C11</f>
        <v>219.58999999999997</v>
      </c>
      <c r="F5" s="1868">
        <f ca="1">'[5]主表(仓储）'!$F$36</f>
        <v>2059.3764999999999</v>
      </c>
      <c r="G5">
        <f t="shared" si="0"/>
        <v>151.84033647999999</v>
      </c>
    </row>
    <row r="6" spans="1:7">
      <c r="A6" s="1913" t="s">
        <v>1989</v>
      </c>
      <c r="B6" s="1913"/>
      <c r="C6" s="1913"/>
      <c r="D6" s="1913"/>
      <c r="E6" s="1869"/>
      <c r="F6" s="1868">
        <f ca="1">SUM(F2:F5)</f>
        <v>51409.839299999992</v>
      </c>
      <c r="G6">
        <f>SUM(G2:G5)</f>
        <v>30746.809722245998</v>
      </c>
    </row>
  </sheetData>
  <mergeCells count="1">
    <mergeCell ref="A6:D6"/>
  </mergeCells>
  <phoneticPr fontId="10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919" t="s">
        <v>1286</v>
      </c>
      <c r="E2" s="1920"/>
      <c r="F2" s="1920"/>
      <c r="G2" s="1920"/>
      <c r="H2" s="1921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44488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13</v>
      </c>
    </row>
    <row r="4" spans="1:18" ht="15.75" customHeight="1">
      <c r="A4" s="1186" t="s">
        <v>1543</v>
      </c>
      <c r="B4" s="515">
        <v>39036</v>
      </c>
      <c r="C4" s="1184"/>
      <c r="D4" s="1192" t="s">
        <v>1287</v>
      </c>
      <c r="E4" s="1193" t="s">
        <v>1582</v>
      </c>
      <c r="F4" s="1194">
        <f ca="1">F5+F8+F9+F10</f>
        <v>2537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1583</v>
      </c>
      <c r="F5" s="1039">
        <f>IF(B4&lt;DATE(2002,12,10),F6,F6-F7)</f>
        <v>1686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>
        <f>'数据-汇总表'!D19+'数据-汇总表'!D21</f>
        <v>8185.16</v>
      </c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3840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2" t="s">
        <v>1577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f>'数据-汇总表'!E19+'数据-汇总表'!E21</f>
        <v>72550.03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2154</v>
      </c>
      <c r="G7" s="1210"/>
      <c r="H7" s="1372" t="s">
        <v>1917</v>
      </c>
      <c r="I7" s="1211" t="s">
        <v>1570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>
        <f>ROUND(B7/B6,2)</f>
        <v>8.86</v>
      </c>
      <c r="C8" s="1184"/>
      <c r="D8" s="1213">
        <v>2</v>
      </c>
      <c r="E8" s="1214" t="s">
        <v>1235</v>
      </c>
      <c r="F8" s="1215">
        <f>ROUND(F5*G8,0)</f>
        <v>51</v>
      </c>
      <c r="G8" s="661">
        <v>0.03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1647</v>
      </c>
      <c r="B9" s="1274">
        <f>面积新!H15</f>
        <v>7.09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105</v>
      </c>
      <c r="G9" s="1217">
        <f ca="1">存贷款利率!G2</f>
        <v>6.1200000000000004E-2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254</v>
      </c>
      <c r="C10" s="1184"/>
      <c r="D10" s="1222">
        <v>4</v>
      </c>
      <c r="E10" s="1223" t="s">
        <v>1237</v>
      </c>
      <c r="F10" s="1224">
        <f>ROUND((F5+F8)*G10,0)</f>
        <v>695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1584</v>
      </c>
      <c r="F11" s="1194">
        <f ca="1">F12+F20+F21+F22</f>
        <v>5282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1915</v>
      </c>
      <c r="C12" s="1184"/>
      <c r="D12" s="1213">
        <v>1</v>
      </c>
      <c r="E12" s="1214" t="s">
        <v>1585</v>
      </c>
      <c r="F12" s="1215">
        <f>F13+F16+F17</f>
        <v>3608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40</v>
      </c>
      <c r="C13" s="1184"/>
      <c r="D13" s="1205" t="s">
        <v>1279</v>
      </c>
      <c r="E13" s="1214" t="s">
        <v>1241</v>
      </c>
      <c r="F13" s="1215">
        <f>F14+F15</f>
        <v>3110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51980</v>
      </c>
      <c r="C14" s="1184"/>
      <c r="D14" s="1213" t="s">
        <v>1282</v>
      </c>
      <c r="E14" s="1214" t="s">
        <v>1242</v>
      </c>
      <c r="F14" s="519">
        <v>2310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35.46</v>
      </c>
      <c r="C15" s="1184"/>
      <c r="D15" s="1213" t="s">
        <v>1283</v>
      </c>
      <c r="E15" s="1214" t="s">
        <v>1243</v>
      </c>
      <c r="F15" s="519">
        <v>800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1648</v>
      </c>
      <c r="B16" s="1274"/>
      <c r="C16" s="1184"/>
      <c r="D16" s="1205" t="s">
        <v>1280</v>
      </c>
      <c r="E16" s="1214" t="s">
        <v>1244</v>
      </c>
      <c r="F16" s="1039">
        <f>ROUND(F13*G16,0)</f>
        <v>187</v>
      </c>
      <c r="G16" s="517">
        <v>0.06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1649</v>
      </c>
      <c r="B17" s="1489">
        <f>IF(B4&lt;DATE(2002,12,10),'1993基准地价'!C23,IF(B4&gt;=DATE(2014,8,28),'2014基准地价'!G20,'2002基准地价'!E10))</f>
        <v>0.04</v>
      </c>
      <c r="C17" s="1184"/>
      <c r="D17" s="1205" t="s">
        <v>1281</v>
      </c>
      <c r="E17" s="1214" t="s">
        <v>1247</v>
      </c>
      <c r="F17" s="1215">
        <f>F18+F19</f>
        <v>311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0.94899999999999995</v>
      </c>
      <c r="C18" s="1184"/>
      <c r="D18" s="1213" t="s">
        <v>1284</v>
      </c>
      <c r="E18" s="1214" t="s">
        <v>1294</v>
      </c>
      <c r="F18" s="1039">
        <f>ROUND(IF(B12="住宅/居住",F13*G18,0),0)</f>
        <v>0</v>
      </c>
      <c r="G18" s="517">
        <v>0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311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1916</v>
      </c>
      <c r="C20" s="1184"/>
      <c r="D20" s="1213">
        <v>2</v>
      </c>
      <c r="E20" s="1214" t="s">
        <v>1235</v>
      </c>
      <c r="F20" s="1215">
        <f>ROUND(F12*G20,0)</f>
        <v>108</v>
      </c>
      <c r="G20" s="661">
        <f>G8</f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1586</v>
      </c>
      <c r="F21" s="1409">
        <f ca="1">ROUND((F12+F20)*(POWER((1+G21),B23/2)-1),0)</f>
        <v>80</v>
      </c>
      <c r="G21" s="1410">
        <f ca="1">存贷款利率!G1</f>
        <v>4.3499999999999997E-2</v>
      </c>
      <c r="H21" s="1218" t="str">
        <f>"计息期为"&amp;B23&amp;"年，"&amp;"复利计息"</f>
        <v>计息期为1年，复利计息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2008</v>
      </c>
      <c r="C22" s="1184"/>
      <c r="D22" s="1222">
        <v>4</v>
      </c>
      <c r="E22" s="1223" t="s">
        <v>1587</v>
      </c>
      <c r="F22" s="1224">
        <f>ROUND((F12+F20)*G22,0)</f>
        <v>1486</v>
      </c>
      <c r="G22" s="518">
        <f>G10</f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商业用途35%-50%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</v>
      </c>
      <c r="C23" s="1236"/>
      <c r="D23" s="1228" t="s">
        <v>1588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1652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7819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56726.868499999997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922" t="s">
        <v>1288</v>
      </c>
      <c r="E26" s="1923"/>
      <c r="F26" s="1923"/>
      <c r="G26" s="1923"/>
      <c r="H26" s="1924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0.68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0.75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1592</v>
      </c>
      <c r="P29" s="1428" t="s">
        <v>1593</v>
      </c>
      <c r="Q29" s="1428" t="s">
        <v>1594</v>
      </c>
      <c r="R29" s="1429" t="s">
        <v>1595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75</v>
      </c>
      <c r="G30" s="1252">
        <f>IF(ISNUMBER(FIND("砖木",B20)),O30,SUMPRODUCT((N30:N32=E30)*(O29:R29=B20)*(O30:R32)))</f>
        <v>0.2</v>
      </c>
      <c r="H30" s="1253"/>
      <c r="I30" s="1914" t="s">
        <v>1596</v>
      </c>
      <c r="J30" s="1422"/>
      <c r="K30" s="1236"/>
      <c r="L30" s="1236"/>
      <c r="N30" s="1430" t="s">
        <v>1589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75</v>
      </c>
      <c r="G31" s="1252">
        <f>IF(ISNUMBER(FIND("砖木",B20)),O31,SUMPRODUCT((N30:N32=E31)*(O29:R29=B20)*(O30:R32)))</f>
        <v>0.5</v>
      </c>
      <c r="H31" s="1253"/>
      <c r="I31" s="1914"/>
      <c r="J31" s="1422"/>
      <c r="K31" s="1236"/>
      <c r="L31" s="1236"/>
      <c r="N31" s="1430" t="s">
        <v>1590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75</v>
      </c>
      <c r="G32" s="1252">
        <f>IF(ISNUMBER(FIND("砖木",B20)),O32,SUMPRODUCT((N30:N32=E32)*(O29:R29=B20)*(O30:R32)))</f>
        <v>0.3</v>
      </c>
      <c r="H32" s="1253"/>
      <c r="I32" s="1914"/>
      <c r="J32" s="1422"/>
      <c r="K32" s="1236"/>
      <c r="L32" s="1236"/>
      <c r="N32" s="1430" t="s">
        <v>1591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0.72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922" t="s">
        <v>1291</v>
      </c>
      <c r="E34" s="1923"/>
      <c r="F34" s="1923"/>
      <c r="G34" s="1923"/>
      <c r="H34" s="1924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5630</v>
      </c>
      <c r="G35" s="1915" t="s">
        <v>1265</v>
      </c>
      <c r="H35" s="1916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40843.345300000001</v>
      </c>
      <c r="G36" s="1917" t="s">
        <v>1267</v>
      </c>
      <c r="H36" s="1918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 xr:uid="{00000000-0002-0000-0800-000000000000}">
      <formula1>地类判定</formula1>
    </dataValidation>
    <dataValidation type="list" allowBlank="1" showInputMessage="1" showErrorMessage="1" sqref="B13" xr:uid="{00000000-0002-0000-0800-000001000000}">
      <formula1>法定最高年限</formula1>
    </dataValidation>
    <dataValidation type="list" allowBlank="1" showInputMessage="1" showErrorMessage="1" sqref="B20" xr:uid="{00000000-0002-0000-0800-000002000000}">
      <formula1>结构</formula1>
    </dataValidation>
    <dataValidation type="list" allowBlank="1" showInputMessage="1" showErrorMessage="1" sqref="B21" xr:uid="{00000000-0002-0000-0800-000003000000}">
      <formula1>"非生产用房,生产用房,受腐蚀的生产用房"</formula1>
    </dataValidation>
    <dataValidation type="decimal" allowBlank="1" showInputMessage="1" showErrorMessage="1" sqref="G8" xr:uid="{00000000-0002-0000-0800-000004000000}">
      <formula1>0.01</formula1>
      <formula2>0.03</formula2>
    </dataValidation>
    <dataValidation type="decimal" allowBlank="1" showInputMessage="1" showErrorMessage="1" sqref="G10 G22" xr:uid="{00000000-0002-0000-0800-000005000000}">
      <formula1>0.18</formula1>
      <formula2>0.5</formula2>
    </dataValidation>
    <dataValidation type="decimal" allowBlank="1" showInputMessage="1" showErrorMessage="1" sqref="G28" xr:uid="{00000000-0002-0000-0800-000006000000}">
      <formula1>0.3</formula1>
      <formula2>1</formula2>
    </dataValidation>
    <dataValidation type="list" allowBlank="1" showInputMessage="1" showErrorMessage="1" sqref="B10" xr:uid="{00000000-0002-0000-0800-000007000000}">
      <formula1>土地级别</formula1>
    </dataValidation>
    <dataValidation type="list" allowBlank="1" showInputMessage="1" showErrorMessage="1" sqref="B11" xr:uid="{00000000-0002-0000-0800-000008000000}">
      <formula1>INDIRECT($B$10)</formula1>
    </dataValidation>
    <dataValidation type="list" allowBlank="1" showInputMessage="1" showErrorMessage="1" sqref="H7" xr:uid="{00000000-0002-0000-08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800-00000A000000}">
      <formula1>3</formula1>
    </dataValidation>
    <dataValidation type="decimal" allowBlank="1" showInputMessage="1" showErrorMessage="1" sqref="O30:Q30 R32" xr:uid="{00000000-0002-0000-0800-00000B000000}">
      <formula1>0.1</formula1>
      <formula2>0.3</formula2>
    </dataValidation>
    <dataValidation type="decimal" allowBlank="1" showInputMessage="1" showErrorMessage="1" sqref="R30 O32" xr:uid="{00000000-0002-0000-0800-00000C000000}">
      <formula1>0.15</formula1>
      <formula2>0.35</formula2>
    </dataValidation>
    <dataValidation type="decimal" allowBlank="1" showInputMessage="1" showErrorMessage="1" sqref="O31 R31" xr:uid="{00000000-0002-0000-0800-00000D000000}">
      <formula1>0.45</formula1>
      <formula2>0.65</formula2>
    </dataValidation>
    <dataValidation type="decimal" allowBlank="1" showInputMessage="1" showErrorMessage="1" sqref="P31" xr:uid="{00000000-0002-0000-0800-00000E000000}">
      <formula1>0.35</formula1>
      <formula2>0.55</formula2>
    </dataValidation>
    <dataValidation type="decimal" allowBlank="1" showInputMessage="1" showErrorMessage="1" sqref="P32" xr:uid="{00000000-0002-0000-0800-00000F000000}">
      <formula1>0.25</formula1>
      <formula2>0.45</formula2>
    </dataValidation>
    <dataValidation type="decimal" allowBlank="1" showInputMessage="1" showErrorMessage="1" sqref="Q31" xr:uid="{00000000-0002-0000-0800-000010000000}">
      <formula1>0.4</formula1>
      <formula2>0.6</formula2>
    </dataValidation>
    <dataValidation type="decimal" allowBlank="1" showInputMessage="1" showErrorMessage="1" sqref="Q32" xr:uid="{00000000-0002-0000-0800-000011000000}">
      <formula1>0.2</formula1>
      <formula2>0.4</formula2>
    </dataValidation>
    <dataValidation type="whole" operator="lessThanOrEqual" allowBlank="1" showInputMessage="1" showErrorMessage="1" sqref="P33:R33" xr:uid="{00000000-0002-0000-0800-000012000000}">
      <formula1>1</formula1>
    </dataValidation>
    <dataValidation type="whole" allowBlank="1" showInputMessage="1" showErrorMessage="1" sqref="O33" xr:uid="{00000000-0002-0000-08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61</vt:i4>
      </vt:variant>
    </vt:vector>
  </HeadingPairs>
  <TitlesOfParts>
    <vt:vector size="84" baseType="lpstr">
      <vt:lpstr>使用说明</vt:lpstr>
      <vt:lpstr>定义</vt:lpstr>
      <vt:lpstr>数据-汇总表</vt:lpstr>
      <vt:lpstr>面积新</vt:lpstr>
      <vt:lpstr>估价对象房地状况</vt:lpstr>
      <vt:lpstr>系统读取表</vt:lpstr>
      <vt:lpstr>结果表</vt:lpstr>
      <vt:lpstr>汇总表</vt:lpstr>
      <vt:lpstr>主表(商业）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'数据-汇总表'!Print_Area</vt:lpstr>
      <vt:lpstr>'主表(商业）'!Print_Area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项目类型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2021-10-19T07:30:56Z</dcterms:modified>
</cp:coreProperties>
</file>